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-01\Private\sales\Альпина Паблишер\ПРАЙС\"/>
    </mc:Choice>
  </mc:AlternateContent>
  <xr:revisionPtr revIDLastSave="0" documentId="13_ncr:1_{DF14DDE1-C37F-4E2A-98D2-67E0BA6AA611}" xr6:coauthVersionLast="36" xr6:coauthVersionMax="36" xr10:uidLastSave="{00000000-0000-0000-0000-000000000000}"/>
  <bookViews>
    <workbookView xWindow="0" yWindow="0" windowWidth="11400" windowHeight="5895" tabRatio="331" xr2:uid="{00000000-000D-0000-FFFF-FFFF00000000}"/>
  </bookViews>
  <sheets>
    <sheet name="Прайс" sheetId="1" r:id="rId1"/>
  </sheets>
  <calcPr calcId="191029" refMode="R1C1" fullCalcOnLoad="1" fullPrecision="1"/>
</workbook>
</file>

<file path=xl/sharedStrings.xml><?xml version="1.0" encoding="utf-8"?>
<sst xmlns="http://schemas.openxmlformats.org/spreadsheetml/2006/main" count="10355" uniqueCount="10355">
  <si>
    <t>15.06.2026</t>
  </si>
  <si>
    <t>Заказ</t>
  </si>
  <si>
    <t>ВСЕГО</t>
  </si>
  <si>
    <t>заказ, руб</t>
  </si>
  <si>
    <t>Наименований</t>
  </si>
  <si>
    <t>Штук</t>
  </si>
  <si>
    <t>Пачек</t>
  </si>
  <si>
    <t>Штук всего (пачки + россыпь)</t>
  </si>
  <si>
    <t>Общий вес, кг</t>
  </si>
  <si>
    <t xml:space="preserve">Прайс-лист.  Издательская группа "Альпина"</t>
  </si>
  <si>
    <t>заказ</t>
  </si>
  <si>
    <t>Издат. цена, руб. вкл. НДС</t>
  </si>
  <si>
    <t>Реком. розн. цена Онлайн</t>
  </si>
  <si>
    <t>ID</t>
  </si>
  <si>
    <t>Старый ID</t>
  </si>
  <si>
    <t>Автор(ы)</t>
  </si>
  <si>
    <t>Наименование</t>
  </si>
  <si>
    <t>Издательство</t>
  </si>
  <si>
    <t>Перевод</t>
  </si>
  <si>
    <t>Год изд.</t>
  </si>
  <si>
    <t>Артикул</t>
  </si>
  <si>
    <t>EAN</t>
  </si>
  <si>
    <t>ISBN</t>
  </si>
  <si>
    <t>Стр.</t>
  </si>
  <si>
    <t>Вес</t>
  </si>
  <si>
    <t>Ширина</t>
  </si>
  <si>
    <t>Высота</t>
  </si>
  <si>
    <t>Ст.</t>
  </si>
  <si>
    <t>Формат</t>
  </si>
  <si>
    <t>Серия</t>
  </si>
  <si>
    <t>Тираж</t>
  </si>
  <si>
    <t>Особенности исполнения</t>
  </si>
  <si>
    <t>Ограничение по возрасту</t>
  </si>
  <si>
    <t>НДС</t>
  </si>
  <si>
    <t>Сертификат</t>
  </si>
  <si>
    <t>Дата последнего поступления</t>
  </si>
  <si>
    <t>НОВИНКИ Июнь 2026</t>
  </si>
  <si>
    <t>Рид Виолета</t>
  </si>
  <si>
    <t>«Я тоже» не значит «люблю»</t>
  </si>
  <si>
    <t>Marshmallow Books</t>
  </si>
  <si>
    <t>Пер. с исп.</t>
  </si>
  <si>
    <t>AWW2511166-P</t>
  </si>
  <si>
    <t>978-5-0063-1660-7</t>
  </si>
  <si>
    <t>60x90/16</t>
  </si>
  <si>
    <t>Обложка</t>
  </si>
  <si>
    <t>18+</t>
  </si>
  <si>
    <t>02.06.2026</t>
  </si>
  <si>
    <t>Лукашенко Марианна, Сидельникова Антонина</t>
  </si>
  <si>
    <t>[синий] 6 минут для детей: управление временем. Первый ежедневник ребёнка</t>
  </si>
  <si>
    <t>Альпина. Дети</t>
  </si>
  <si>
    <t>ADK2505154-P</t>
  </si>
  <si>
    <t>978-5-0063-0805-3</t>
  </si>
  <si>
    <t>70x90/16</t>
  </si>
  <si>
    <t>Ежедневники "6 минут"</t>
  </si>
  <si>
    <t>Переплет + суперобложка</t>
  </si>
  <si>
    <t>6+</t>
  </si>
  <si>
    <t>21.05.2026</t>
  </si>
  <si>
    <t>Нет автора</t>
  </si>
  <si>
    <t>Анкета для друзей</t>
  </si>
  <si>
    <t>ADK2306030-P</t>
  </si>
  <si>
    <t>978-5-9614-9011-4</t>
  </si>
  <si>
    <t xml:space="preserve">[
"https://api-enni.alpina.ru/FileCertificateProject/144"
]</t>
  </si>
  <si>
    <t>Мадзукко Мелания Гайя</t>
  </si>
  <si>
    <t>Архитекторша</t>
  </si>
  <si>
    <t>Бель Летр</t>
  </si>
  <si>
    <t>Пер. с итал.</t>
  </si>
  <si>
    <t>ABB2410357-P</t>
  </si>
  <si>
    <t>978-5-0063-0285-3</t>
  </si>
  <si>
    <t>Главная героиня: романы-биографии</t>
  </si>
  <si>
    <t>16+</t>
  </si>
  <si>
    <t>29.05.2026</t>
  </si>
  <si>
    <t>Престон Пол</t>
  </si>
  <si>
    <t>Архитекторы террора. Паранойя, теории заговора и антисемитизм во франкистской Испании</t>
  </si>
  <si>
    <t>Альпина нон-фикшн</t>
  </si>
  <si>
    <t>Пер. с англ</t>
  </si>
  <si>
    <t>NNN2404097-P</t>
  </si>
  <si>
    <t>978-5-00223-345-8</t>
  </si>
  <si>
    <t>Переплет</t>
  </si>
  <si>
    <t>25.05.2026</t>
  </si>
  <si>
    <t>Обен Жан-Батист, Леманн Анита</t>
  </si>
  <si>
    <t>Большая книга числа пи : Такое знаменитое и такое загадочное число</t>
  </si>
  <si>
    <t>ADK2506176-P</t>
  </si>
  <si>
    <t>978-5-00283-000-8</t>
  </si>
  <si>
    <t>60x90/8</t>
  </si>
  <si>
    <t>Ясперс Карл</t>
  </si>
  <si>
    <t>Вопрос о виновности. О политической ответственности Германии</t>
  </si>
  <si>
    <t>Альпина Паблишер</t>
  </si>
  <si>
    <t>Пер. с нем.</t>
  </si>
  <si>
    <t>AAA2604117-P</t>
  </si>
  <si>
    <t>978-5-0063-0658-5</t>
  </si>
  <si>
    <t>84x108/32</t>
  </si>
  <si>
    <t>12+</t>
  </si>
  <si>
    <t>23.04.2026</t>
  </si>
  <si>
    <t>Антонова Анастасия</t>
  </si>
  <si>
    <t>Гибкость как образ жизни: Практическое руководство по адаптивности</t>
  </si>
  <si>
    <t>Альпина PRO</t>
  </si>
  <si>
    <t>PGR2511307-P</t>
  </si>
  <si>
    <t>978-5-206-00648-3</t>
  </si>
  <si>
    <t>09.06.2026</t>
  </si>
  <si>
    <t>Лотт Тим</t>
  </si>
  <si>
    <t>Да! Нет! Хотя…Погоди: Главное, что нужно знать, чтобы написать роман</t>
  </si>
  <si>
    <t>NNN2410127-P</t>
  </si>
  <si>
    <t>978-5-91671-681-8</t>
  </si>
  <si>
    <t>12.05.2026</t>
  </si>
  <si>
    <t>Лебедев Дмитрий</t>
  </si>
  <si>
    <t>Деньги делают деньги: От зарплаты до финансовой свободы</t>
  </si>
  <si>
    <t>AAA2603177-P</t>
  </si>
  <si>
    <t>978-5-0063-2011-6</t>
  </si>
  <si>
    <t>18.05.2026</t>
  </si>
  <si>
    <t>Хэйр Брайан, Вудс Ваннеса</t>
  </si>
  <si>
    <t>Детский сад для щенков: Как воспитать замечательную собаку</t>
  </si>
  <si>
    <t>NNN2102038-P</t>
  </si>
  <si>
    <t>978-5-00223-748-7</t>
  </si>
  <si>
    <t>27.05.2026</t>
  </si>
  <si>
    <t>Пушкин Александр</t>
  </si>
  <si>
    <t>Евгений Онегин [Классика. Изящное оформление]</t>
  </si>
  <si>
    <t>ADK2507261-P</t>
  </si>
  <si>
    <t>978-5-00283-090-9</t>
  </si>
  <si>
    <t>Классика. Изящное оформление</t>
  </si>
  <si>
    <t>11.06.2026</t>
  </si>
  <si>
    <t>Евгений Онегин [Классика. Новая эстетика в мягкой обложке]</t>
  </si>
  <si>
    <t>ADK2603146-P</t>
  </si>
  <si>
    <t>978-5-00283-094-7</t>
  </si>
  <si>
    <t>70x100/16</t>
  </si>
  <si>
    <t>Классика. Новая эстетика</t>
  </si>
  <si>
    <t>Веденеева Варвара</t>
  </si>
  <si>
    <t>Ежедневники Веденеевой: Моя личная философия</t>
  </si>
  <si>
    <t>AAA2509161-P</t>
  </si>
  <si>
    <t>978-5-0063-1252-4</t>
  </si>
  <si>
    <t>Ежедневники Веденеевой</t>
  </si>
  <si>
    <t>Тогоева Ольга</t>
  </si>
  <si>
    <t>Еретичка, ставшая святой: Две жизни Жанны д'Арк</t>
  </si>
  <si>
    <t>NNN2507053-P</t>
  </si>
  <si>
    <t>978-5-00223-721-0</t>
  </si>
  <si>
    <t>Страдающее Средневековье</t>
  </si>
  <si>
    <t>04.06.2026</t>
  </si>
  <si>
    <t>Марти Хулия</t>
  </si>
  <si>
    <t>Женщины, которые слишком многого от себя требуют: Практики против перфекционизма, тревоги и выгорания</t>
  </si>
  <si>
    <t>AAA2511047-P</t>
  </si>
  <si>
    <t>978-5-0063-1023-0</t>
  </si>
  <si>
    <t>Кеннеди Дэн, Шах Партив</t>
  </si>
  <si>
    <t>Жесткий маркетинг: Как использовать искусственный интеллект и сервисы автоматизации на практике</t>
  </si>
  <si>
    <t>AAA2508036-P</t>
  </si>
  <si>
    <t>978-5-0063-1080-3</t>
  </si>
  <si>
    <t>08.05.2026</t>
  </si>
  <si>
    <t>Феррарио Джузеппе</t>
  </si>
  <si>
    <t>За рекой. Комикс-перевертыш</t>
  </si>
  <si>
    <t>ADK2507337-P</t>
  </si>
  <si>
    <t>978-5-00283-051-0</t>
  </si>
  <si>
    <t>28.05.2026</t>
  </si>
  <si>
    <t>Джанноне Франческа</t>
  </si>
  <si>
    <t>Завтра, завтра</t>
  </si>
  <si>
    <t>ABB2604133-P</t>
  </si>
  <si>
    <t>978-5-0063-0672-1</t>
  </si>
  <si>
    <t>Сиско Лена</t>
  </si>
  <si>
    <t>Защита от темной психологии: 13 способов дать отпор психологическому насилию</t>
  </si>
  <si>
    <t>AAA2510229-P</t>
  </si>
  <si>
    <t>978-5-0063-1581-5</t>
  </si>
  <si>
    <t>Жемм Пьер, Рюо Матильда</t>
  </si>
  <si>
    <t>Испытание Геракла</t>
  </si>
  <si>
    <t>Пер. с фр.</t>
  </si>
  <si>
    <t>ADK2511287-P</t>
  </si>
  <si>
    <t>978-5-00283-041-1</t>
  </si>
  <si>
    <t>Приключения Тео и Теи в Древней Греции</t>
  </si>
  <si>
    <t>Минцберг Генри</t>
  </si>
  <si>
    <t>Как на самом деле устроены организации: 7 типов организационных структур. Механизмы и принципы координации</t>
  </si>
  <si>
    <t>AAA2510286-P</t>
  </si>
  <si>
    <t>978-5-0063-1596-9</t>
  </si>
  <si>
    <t>Классика менеджмента</t>
  </si>
  <si>
    <t>Хачатрян Сероб</t>
  </si>
  <si>
    <t>Капан</t>
  </si>
  <si>
    <t>Альпина. Проза</t>
  </si>
  <si>
    <t>NFP2403234-P</t>
  </si>
  <si>
    <t>978-5-00223-323-6</t>
  </si>
  <si>
    <t>Трымбовецкий Эдуард</t>
  </si>
  <si>
    <t>Код переговорщика. Механизм успешных сделок</t>
  </si>
  <si>
    <t>PGR2601224-P</t>
  </si>
  <si>
    <t>978-5-00206-016-0</t>
  </si>
  <si>
    <t>13.05.2026</t>
  </si>
  <si>
    <t>Шнайдер Лиана, Гёрриссен Янина</t>
  </si>
  <si>
    <t>Конни говорит "нет"</t>
  </si>
  <si>
    <t>ADK2512170-P</t>
  </si>
  <si>
    <t>978-5-00283-050-3</t>
  </si>
  <si>
    <t>Лучший друг - Конни</t>
  </si>
  <si>
    <t>0+</t>
  </si>
  <si>
    <t>07.05.2026</t>
  </si>
  <si>
    <t>Нэш Патрик</t>
  </si>
  <si>
    <t>Короткометражки: Как написать сценарий</t>
  </si>
  <si>
    <t>NNN2503078-P</t>
  </si>
  <si>
    <t>978-5-00223-614-5</t>
  </si>
  <si>
    <t>70x100/32</t>
  </si>
  <si>
    <t>Константинопольский Григорий</t>
  </si>
  <si>
    <t>Кошечка</t>
  </si>
  <si>
    <t>NFP2601223-P</t>
  </si>
  <si>
    <t>978-5-00223-924-5</t>
  </si>
  <si>
    <t>Роуз Кристина</t>
  </si>
  <si>
    <t>Крылья мечты: Медитативная раскраска для отдыха и вдохновения</t>
  </si>
  <si>
    <t>AAA2604130-P</t>
  </si>
  <si>
    <t>978-5-0063-0440-6</t>
  </si>
  <si>
    <t>Грасс Гюнтер</t>
  </si>
  <si>
    <t>[обложка] Крысиха</t>
  </si>
  <si>
    <t>NFP2603250-P</t>
  </si>
  <si>
    <t>978-5-00223-982-5</t>
  </si>
  <si>
    <t>Медведев Владимир</t>
  </si>
  <si>
    <t>Ловушка для сверчков</t>
  </si>
  <si>
    <t>NFP2512144-P</t>
  </si>
  <si>
    <t>978-5-00223-881-1</t>
  </si>
  <si>
    <t>Булгаков Михаил</t>
  </si>
  <si>
    <t>Мастер и Маргарита [Классика. Изящное оформление]</t>
  </si>
  <si>
    <t>DDK2507259-P</t>
  </si>
  <si>
    <t>978-5-0063-0438-3</t>
  </si>
  <si>
    <t>10.06.2026</t>
  </si>
  <si>
    <t>Мастер и Маргарита [Классика. Новая эстетика в мягкой обложке]</t>
  </si>
  <si>
    <t>DDK2603145-P</t>
  </si>
  <si>
    <t>978-5-0063-0439-0</t>
  </si>
  <si>
    <t>Обине Мари</t>
  </si>
  <si>
    <t>Медвежонок Тёпа злится</t>
  </si>
  <si>
    <t>ADK2405067-P</t>
  </si>
  <si>
    <t>978-5-9614-9838-7</t>
  </si>
  <si>
    <t>Медвежонок Тёпа</t>
  </si>
  <si>
    <t xml:space="preserve">[
"https://api-enni.alpina.ru/FileCertificateProject/171"
]</t>
  </si>
  <si>
    <t>Медвежонок Тёпа одевается сам</t>
  </si>
  <si>
    <t>ADK2403049-P</t>
  </si>
  <si>
    <t>978-5-9614-9685-7</t>
  </si>
  <si>
    <t>Медвежонок Тёпа ревнует</t>
  </si>
  <si>
    <t>ADK2405068-P</t>
  </si>
  <si>
    <t>978-5-9614-9839-4</t>
  </si>
  <si>
    <t>Миссия "Троянский конь"</t>
  </si>
  <si>
    <t>ADK2511286-P</t>
  </si>
  <si>
    <t>978-5-00283-040-4</t>
  </si>
  <si>
    <t>Тендрякова Мария</t>
  </si>
  <si>
    <t>Многообразие типичного: Очерки по культурно-исторической психологии народов</t>
  </si>
  <si>
    <t>AAA2602165-P</t>
  </si>
  <si>
    <t>978-5-0063-1947-9</t>
  </si>
  <si>
    <t>Сафронов Андрей</t>
  </si>
  <si>
    <t>Мозг в хорошей форме: Как прокачать память, развить внимание и выйти на пик продуктивности за 15 минут в день</t>
  </si>
  <si>
    <t>AAA2508150-P</t>
  </si>
  <si>
    <t>978-5-0063-1198-5</t>
  </si>
  <si>
    <t>Бушуева Юлия, Кубяк Ирина</t>
  </si>
  <si>
    <t>Мудрое родительство: Как воспитать счастливого и успешного ребенка</t>
  </si>
  <si>
    <t>AAA2509271-P</t>
  </si>
  <si>
    <t>978-5-0063-1270-8</t>
  </si>
  <si>
    <t>Вонг Эдвард</t>
  </si>
  <si>
    <t>На краю империи: Судьба одной семьи на фоне истории Китая</t>
  </si>
  <si>
    <t>NNN2404099-P</t>
  </si>
  <si>
    <t>978-5-00223-347-2</t>
  </si>
  <si>
    <t>08.06.2026</t>
  </si>
  <si>
    <t>Полански Роман</t>
  </si>
  <si>
    <t>Не бегите! Идите шагом! Как мы пережили Холокост</t>
  </si>
  <si>
    <t>AAA2505197-P</t>
  </si>
  <si>
    <t>978-5-0063-0833-6</t>
  </si>
  <si>
    <t>04.05.2026</t>
  </si>
  <si>
    <t xml:space="preserve"> Купор  Юлия</t>
  </si>
  <si>
    <t>Небесное тело</t>
  </si>
  <si>
    <t>NFP2509269-P</t>
  </si>
  <si>
    <t>978-5-00223-788-3</t>
  </si>
  <si>
    <t>Халилов Дамир</t>
  </si>
  <si>
    <t>Нейросети для маркетинга, SMM и создания контента</t>
  </si>
  <si>
    <t>AAA2601145-P</t>
  </si>
  <si>
    <t>978-5-0063-1837-3</t>
  </si>
  <si>
    <t xml:space="preserve">Дай списать промт:  Лаборатория Дамира Халилова</t>
  </si>
  <si>
    <t>Нейросети для переговоров, публичных выступлений и продаж</t>
  </si>
  <si>
    <t>AAA2601146-P</t>
  </si>
  <si>
    <t>978-5-0063-1838-0</t>
  </si>
  <si>
    <t>Нейросети для торговли на маркетплейсах</t>
  </si>
  <si>
    <t>AAA2603041-P</t>
  </si>
  <si>
    <t>978-5-0063-1971-4</t>
  </si>
  <si>
    <t>26.05.2026</t>
  </si>
  <si>
    <t>автора нет</t>
  </si>
  <si>
    <t>Немного нежности к себе: Маленькая книга поддержки</t>
  </si>
  <si>
    <t>AAA2512063-P</t>
  </si>
  <si>
    <t>978-5-0063-1735-2</t>
  </si>
  <si>
    <t>Книга-поддержка с картинками</t>
  </si>
  <si>
    <t>Митчелл Дэвид</t>
  </si>
  <si>
    <t>Неугомонные: История английских королей и королев</t>
  </si>
  <si>
    <t>NNN2503010-P</t>
  </si>
  <si>
    <t>978-5-00223-605-3</t>
  </si>
  <si>
    <t>Одиссей и его команда</t>
  </si>
  <si>
    <t>ADK2511288-P</t>
  </si>
  <si>
    <t>978-5-00283-042-8</t>
  </si>
  <si>
    <t>Тургенев Иван</t>
  </si>
  <si>
    <t>Отцы и дети [Классика. Изящное оформление]</t>
  </si>
  <si>
    <t>ADK2507262-P</t>
  </si>
  <si>
    <t>978-5-00283-091-6</t>
  </si>
  <si>
    <t>Отцы и дети [Классика. Новая эстетика в мягкой обложке]</t>
  </si>
  <si>
    <t>ADK2603147-P</t>
  </si>
  <si>
    <t>978-5-00283-095-4</t>
  </si>
  <si>
    <t>Локвуд Мэттью</t>
  </si>
  <si>
    <t>Первопроходцы: Новая история географических открытий</t>
  </si>
  <si>
    <t>NNN2412140-P</t>
  </si>
  <si>
    <t>978-5-00223-540-7</t>
  </si>
  <si>
    <t>Ильяхов Максим, Сарычева Людмила</t>
  </si>
  <si>
    <t>Пиши, сокращай 2025: Как создавать сильный текст</t>
  </si>
  <si>
    <t>AAA2603170-P</t>
  </si>
  <si>
    <t>978-5-0063-2004-8</t>
  </si>
  <si>
    <t>По следам Минотавра</t>
  </si>
  <si>
    <t>ADK2511285-P</t>
  </si>
  <si>
    <t>978-5-00283-039-8</t>
  </si>
  <si>
    <t>Хасэгава Цуёси</t>
  </si>
  <si>
    <t>Последний царь: Как Николай II хотел сохранить самодержавие, а потерял империю</t>
  </si>
  <si>
    <t>AAA2406119-P</t>
  </si>
  <si>
    <t>978-5-9614-9948-3</t>
  </si>
  <si>
    <t>Побяржина Хелена</t>
  </si>
  <si>
    <t>Пособие по особенным сновидениям</t>
  </si>
  <si>
    <t>NFP2511363-P</t>
  </si>
  <si>
    <t>978-5-00223-866-8</t>
  </si>
  <si>
    <t>Почтальонша</t>
  </si>
  <si>
    <t>ABB2604134-P</t>
  </si>
  <si>
    <t>978-5-0063-0677-6</t>
  </si>
  <si>
    <t>Достоевский Федор</t>
  </si>
  <si>
    <t>Преступление и наказание [Классика. Изящное оформление]</t>
  </si>
  <si>
    <t>ADK2507257-P</t>
  </si>
  <si>
    <t>978-5-00283-088-6</t>
  </si>
  <si>
    <t>Преступление и наказание [Классика. Новая эстетика в мягкой обложке]</t>
  </si>
  <si>
    <t>ADK2603144-P</t>
  </si>
  <si>
    <t>978-5-00283-092-3</t>
  </si>
  <si>
    <t>Соловьева Лилия</t>
  </si>
  <si>
    <t>Продавец, который смог! Как победить выгорание и сохранить себя в профессии вопреки всему</t>
  </si>
  <si>
    <t>PGR2601226-P</t>
  </si>
  <si>
    <t>978-5-00206-018-4</t>
  </si>
  <si>
    <t>Оно Тайити</t>
  </si>
  <si>
    <t>Производственная система Toyota: Уходя от массового производства</t>
  </si>
  <si>
    <t>AAA2510123-P</t>
  </si>
  <si>
    <t>978-5-0063-1561-7</t>
  </si>
  <si>
    <t>Рейзбих Екатерина</t>
  </si>
  <si>
    <t>Пространство желания: Раскраска-исследование интимности в разных культурах</t>
  </si>
  <si>
    <t>AAA2507198-P</t>
  </si>
  <si>
    <t>978-5-0063-1029-2</t>
  </si>
  <si>
    <t>84x108/16</t>
  </si>
  <si>
    <t>Логачева Элина, Потапова Надежда, Стоянова Элина</t>
  </si>
  <si>
    <t>Профессия 一 биоинженер : От бактерий до киборгов</t>
  </si>
  <si>
    <t>ADK2403177-P</t>
  </si>
  <si>
    <t>978-5-00283-087-9</t>
  </si>
  <si>
    <t>Крутая работа</t>
  </si>
  <si>
    <t>Воротынцев Илья, Зарипова Наталья</t>
  </si>
  <si>
    <t>Профессия 一 химик : От пробирки до завода</t>
  </si>
  <si>
    <t>ADK2501093-P</t>
  </si>
  <si>
    <t>978-5-0063-0450-5</t>
  </si>
  <si>
    <t>Бирмингем Кевин</t>
  </si>
  <si>
    <t>Самая опасная книга: Как «Улисс» Джойса навсегда изменил литературу</t>
  </si>
  <si>
    <t>NNN2501287-P</t>
  </si>
  <si>
    <t>978-5-00223-566-7</t>
  </si>
  <si>
    <t>20.05.2026</t>
  </si>
  <si>
    <t>Клейсон Джордж</t>
  </si>
  <si>
    <t>Самый богатый человек в Вавилоне</t>
  </si>
  <si>
    <t>AAA2511368-P</t>
  </si>
  <si>
    <t>978-5-0063-1701-7</t>
  </si>
  <si>
    <t>Бестселлеры саморазвития</t>
  </si>
  <si>
    <t>Астраби Софи</t>
  </si>
  <si>
    <t>Секрет Жанны</t>
  </si>
  <si>
    <t>ABB2506181-P</t>
  </si>
  <si>
    <t>978-5-0063-0927-2</t>
  </si>
  <si>
    <t>Белонощенко Юрий</t>
  </si>
  <si>
    <t>Сила маленьких шагов: Цель, фокус, регулярность, результат</t>
  </si>
  <si>
    <t>AAA2603033-P</t>
  </si>
  <si>
    <t>978-5-0063-1970-7</t>
  </si>
  <si>
    <t>Фицпатрик Шейла</t>
  </si>
  <si>
    <t>Смерть Сталина</t>
  </si>
  <si>
    <t>NNN2511031-P</t>
  </si>
  <si>
    <t>978-5-00223-831-6</t>
  </si>
  <si>
    <t>Большие события</t>
  </si>
  <si>
    <t>Агекян Айше</t>
  </si>
  <si>
    <t>Созидательное лидерство: Человекоцентричный бизнес в эпоху перемен</t>
  </si>
  <si>
    <t>PGR2601173-P</t>
  </si>
  <si>
    <t>978-5-00206-013-9</t>
  </si>
  <si>
    <t>Колосов Семён</t>
  </si>
  <si>
    <t>Стратегия без иллюзий. Как управлять своей жизнью, чтобы обрести устойчивость и достигать большего в условиях перемен</t>
  </si>
  <si>
    <t>PGR2510081-P</t>
  </si>
  <si>
    <t>978-5-206-00603-2</t>
  </si>
  <si>
    <t>Сергеев Александр</t>
  </si>
  <si>
    <t>Стратегия второй половины жизни: Как не застрять в дне сурка и не растерять радость жизни</t>
  </si>
  <si>
    <t>PGR2602162-P</t>
  </si>
  <si>
    <t>978-5-00206-029-0</t>
  </si>
  <si>
    <t>Петелина Екатерина</t>
  </si>
  <si>
    <t>Счастливый понедельник: Как расти, добиваться успеха и получать удовольствие от работы каждый день</t>
  </si>
  <si>
    <t>AAA2606114-P</t>
  </si>
  <si>
    <t>978-5-0063-1839-7</t>
  </si>
  <si>
    <t>Сара Мая</t>
  </si>
  <si>
    <t>Терра и турнир Тринадцати</t>
  </si>
  <si>
    <t>ADK2505172-P</t>
  </si>
  <si>
    <t>978-5-00283-117-3</t>
  </si>
  <si>
    <t>Young Adult</t>
  </si>
  <si>
    <t>Рубанов Андрей</t>
  </si>
  <si>
    <t>Тоже Родина</t>
  </si>
  <si>
    <t>NFP2510023-P</t>
  </si>
  <si>
    <t>978-5-00223-797-5</t>
  </si>
  <si>
    <t>Юон Анн-Гаэль</t>
  </si>
  <si>
    <t>У счастья нет морщин</t>
  </si>
  <si>
    <t>ABB2604132-P</t>
  </si>
  <si>
    <t>978-5-0063-0671-4</t>
  </si>
  <si>
    <t>Лусеро Хосе Антонио</t>
  </si>
  <si>
    <t>Учительница из Севильи</t>
  </si>
  <si>
    <t>ABB2503183-P</t>
  </si>
  <si>
    <t>978-5-0063-0638-7</t>
  </si>
  <si>
    <t>Сингх Манвир</t>
  </si>
  <si>
    <t>Шаманизм: Древняя религия в современном мире</t>
  </si>
  <si>
    <t>NNN2504193-P</t>
  </si>
  <si>
    <t>978-5-00223-663-3</t>
  </si>
  <si>
    <t>Егорова Олеся</t>
  </si>
  <si>
    <t>Я с собой дружу: Практический курс бережного отношения к себе</t>
  </si>
  <si>
    <t>PGR2604164-P</t>
  </si>
  <si>
    <t>978-5-00206-056-6</t>
  </si>
  <si>
    <t>Айер Пико</t>
  </si>
  <si>
    <t>Япония с первого взгляда</t>
  </si>
  <si>
    <t>NNN2506217-P</t>
  </si>
  <si>
    <t>978-5-00223-709-8</t>
  </si>
  <si>
    <t>Ильяхов Максим</t>
  </si>
  <si>
    <t>Ясно, понятно: Как доносить мысли и убеждать людей с помощью слов</t>
  </si>
  <si>
    <t>AAA2603169-P</t>
  </si>
  <si>
    <t>978-5-0063-2003-1</t>
  </si>
  <si>
    <t>19.05.2026</t>
  </si>
  <si>
    <t>СНОВА В ПРОДАЖЕ Июнь 2026</t>
  </si>
  <si>
    <t>Иванов Алексей Викторович</t>
  </si>
  <si>
    <t xml:space="preserve"> Сердце пармы</t>
  </si>
  <si>
    <t>NNP2212118-P</t>
  </si>
  <si>
    <t>978-5-00139-500-3</t>
  </si>
  <si>
    <t>С00192</t>
  </si>
  <si>
    <t>Эдмондсон Эми</t>
  </si>
  <si>
    <t>102_т_Работа без страха : Как создать в компании психологически безопасную среду для максимальной командной эффективности</t>
  </si>
  <si>
    <t>Пер. с англ.</t>
  </si>
  <si>
    <t>978-5-907394-19-3</t>
  </si>
  <si>
    <t>Библиотека Сбера</t>
  </si>
  <si>
    <t>С00193</t>
  </si>
  <si>
    <t>Новек Бет Симон</t>
  </si>
  <si>
    <t>103_т_Решение общественных проблем: Практическое руководство по изменению мира к лучшему</t>
  </si>
  <si>
    <t>978-5-907534-14-8</t>
  </si>
  <si>
    <t>С00194</t>
  </si>
  <si>
    <t>Бриль Герман</t>
  </si>
  <si>
    <t>104_т_Устойчивое инвестирование: Навигатор по миру ESG</t>
  </si>
  <si>
    <t>978-5-907534-72-8</t>
  </si>
  <si>
    <t>С00201</t>
  </si>
  <si>
    <t>Кантровиц Алекс</t>
  </si>
  <si>
    <t>106_т_Сохраняя энергию стартапа: Как техногиганты ежедневно изобретают будущее и остаются на вершине</t>
  </si>
  <si>
    <t>978-5-206-00212-6</t>
  </si>
  <si>
    <t>С00199</t>
  </si>
  <si>
    <t>Болл Мэтью</t>
  </si>
  <si>
    <t>107_т_Метавселенная: Как она меняет наш мир</t>
  </si>
  <si>
    <t>978-5-206-00210-2</t>
  </si>
  <si>
    <t>С00196</t>
  </si>
  <si>
    <t>Чейлефф Айра</t>
  </si>
  <si>
    <t>110_т_Осознанное неподчинение: Как реагировать на спорные распоряжения</t>
  </si>
  <si>
    <t>978-5-206-00255-3</t>
  </si>
  <si>
    <t>Оруэлл Джордж</t>
  </si>
  <si>
    <t>1984 (новый перевод)</t>
  </si>
  <si>
    <t>AAA2605125-P</t>
  </si>
  <si>
    <t>978-5-9614-2525-3</t>
  </si>
  <si>
    <t>Альпина. Антиутопии</t>
  </si>
  <si>
    <t>Джонсон Вик</t>
  </si>
  <si>
    <t>[покет-серия] 52 понедельника: Как за год добиться любых целей</t>
  </si>
  <si>
    <t>AAA2601196-P</t>
  </si>
  <si>
    <t>978-5-9614-2133-0</t>
  </si>
  <si>
    <t>Альпина. Саморазвитие</t>
  </si>
  <si>
    <t>Спенст Доминик</t>
  </si>
  <si>
    <t>6 минут PURE. Ежедневник, который изменит вашу жизнь (продолжение, мятный)</t>
  </si>
  <si>
    <t>AAA2401136-P</t>
  </si>
  <si>
    <t>978-5-9614-7292-9</t>
  </si>
  <si>
    <t>[жираф] 6 минут для детей: Первый мотивационный ежедневник ребенка</t>
  </si>
  <si>
    <t>ADH2603097-P</t>
  </si>
  <si>
    <t>978-5-9614-9583-6</t>
  </si>
  <si>
    <t xml:space="preserve">[
"https://api-enni.alpina.ru/FileCertificateProject/136"
]</t>
  </si>
  <si>
    <t>[желтый] 6 минут для детей: Первый мотивационный ежедневник ребенка</t>
  </si>
  <si>
    <t>ADH2502235-P</t>
  </si>
  <si>
    <t>978-5-0063-0563-2</t>
  </si>
  <si>
    <t>[лавандовый] 6 минут. Дневник успеха. Inspired by Gunta Stölzl</t>
  </si>
  <si>
    <t>AAA2603020-P</t>
  </si>
  <si>
    <t>978-5-9614-8388-8</t>
  </si>
  <si>
    <t>6 минут. Ежедневник, который изменит вашу жизнь (базальт)</t>
  </si>
  <si>
    <t>AAA2502067-P</t>
  </si>
  <si>
    <t>978-5-9614-3326-5</t>
  </si>
  <si>
    <t>Кови Стивен Р.</t>
  </si>
  <si>
    <t>7 навыков высокоэффективных профессионалов сетевого маркетинга</t>
  </si>
  <si>
    <t>PGR2605277-P</t>
  </si>
  <si>
    <t>978-5-907470-76-7</t>
  </si>
  <si>
    <t>ChatGPT на каждый день: 333 промта для бизнеса и маркетинга</t>
  </si>
  <si>
    <t>AAA2509330-P</t>
  </si>
  <si>
    <t>978-5-9614-9782-3</t>
  </si>
  <si>
    <t>Филиппов Сергей</t>
  </si>
  <si>
    <t>Sales-детонатор: Как добиться взрывного роста продаж</t>
  </si>
  <si>
    <t>PGR2605256-P</t>
  </si>
  <si>
    <t>978-5-907274-52-5</t>
  </si>
  <si>
    <t>Лобанов Михаил , Петрущенкова Татьяна</t>
  </si>
  <si>
    <t>Альтернативное кредитование. Инвестиции нового поколения</t>
  </si>
  <si>
    <t>g181128</t>
  </si>
  <si>
    <t>978-5-6042319-7-5</t>
  </si>
  <si>
    <t>Курилла Иван</t>
  </si>
  <si>
    <t>Американцы и все остальные: Истоки и смысл внешней политики США</t>
  </si>
  <si>
    <t>AAA2411200-P</t>
  </si>
  <si>
    <t>978-5-9614-8142-6</t>
  </si>
  <si>
    <t>[покет-серия] Американцы и все остальные: Истоки и смысл внешней политики США</t>
  </si>
  <si>
    <t>AAA2502262-P</t>
  </si>
  <si>
    <t>978-5-0063-0579-3</t>
  </si>
  <si>
    <t>Популярная наука</t>
  </si>
  <si>
    <t>Постнов Олег</t>
  </si>
  <si>
    <t>Антиквар. Повести и рассказы</t>
  </si>
  <si>
    <t>NNP2303027-P</t>
  </si>
  <si>
    <t>978-5-00223-075-4</t>
  </si>
  <si>
    <t>Рэнд Айн</t>
  </si>
  <si>
    <t>[в 3-х книгах] Атлант расправил плечи</t>
  </si>
  <si>
    <t>AAP2512097-P</t>
  </si>
  <si>
    <t>978-5-9614-6742-0</t>
  </si>
  <si>
    <t xml:space="preserve"> Герольд Кори</t>
  </si>
  <si>
    <t>Бабушкина история. Дневник воспоминаний и размышлений для моей семьи</t>
  </si>
  <si>
    <t>ADK2603037-P</t>
  </si>
  <si>
    <t>978-5-0063-1222-7</t>
  </si>
  <si>
    <t>Рукописные истории</t>
  </si>
  <si>
    <t>06.04.2026</t>
  </si>
  <si>
    <t>Белая гвардия</t>
  </si>
  <si>
    <t>AFP2601172-P</t>
  </si>
  <si>
    <t>978-5-9614-8528-8</t>
  </si>
  <si>
    <t>Главные книги русской литературы</t>
  </si>
  <si>
    <t>Бесы</t>
  </si>
  <si>
    <t>AFP2601163-P</t>
  </si>
  <si>
    <t>978-5-9614-8521-9</t>
  </si>
  <si>
    <t>Десницкий Андрей</t>
  </si>
  <si>
    <t>[покет-серия] Библия: что было «на самом деле»?</t>
  </si>
  <si>
    <t>NNN2604017-P</t>
  </si>
  <si>
    <t>978-5-00223-483-7</t>
  </si>
  <si>
    <t>Сапольски Роберт</t>
  </si>
  <si>
    <t>Биология добра и зла. Как наука объясняет наши поступки</t>
  </si>
  <si>
    <t>NNN2604223-P</t>
  </si>
  <si>
    <t>978-5-00139-039-8</t>
  </si>
  <si>
    <t>[покет-серия] Битва за прошлое: Как политика меняет историю</t>
  </si>
  <si>
    <t>AAA2502261-P</t>
  </si>
  <si>
    <t>978-5-0063-0578-6</t>
  </si>
  <si>
    <t>Шнайдер Лиана</t>
  </si>
  <si>
    <t>Большая книга приключений Конни. Эмоции</t>
  </si>
  <si>
    <t>ADK2603182-P</t>
  </si>
  <si>
    <t>978-5-9614-8749-7</t>
  </si>
  <si>
    <t xml:space="preserve">[
"https://api-enni.alpina.ru/FileCertificateProject/4"
]</t>
  </si>
  <si>
    <t>Борис Годунов. Капитанская дочка</t>
  </si>
  <si>
    <t>AFP2601169-P</t>
  </si>
  <si>
    <t>978-5-9614-8483-0</t>
  </si>
  <si>
    <t>Братья Карамазовы</t>
  </si>
  <si>
    <t>AFP2601161-P</t>
  </si>
  <si>
    <t>978-5-9614-9174-6</t>
  </si>
  <si>
    <t>Перес Себастьен, Паро Аннелор</t>
  </si>
  <si>
    <t>В саду Базилика. Умеют ли растения любить?</t>
  </si>
  <si>
    <t>ADK2406093-P</t>
  </si>
  <si>
    <t>978-5-9614-9928-5</t>
  </si>
  <si>
    <t>В саду Базилика</t>
  </si>
  <si>
    <t xml:space="preserve">[
"https://api-enni.alpina.ru/FileCertificateProject/57"
]</t>
  </si>
  <si>
    <t>Ремизов Виктор</t>
  </si>
  <si>
    <t>Вечная мерзлота</t>
  </si>
  <si>
    <t>NFP2603116-P</t>
  </si>
  <si>
    <t>978-5-00139-839-4</t>
  </si>
  <si>
    <t>24.04.2026</t>
  </si>
  <si>
    <t>Фрайер Дэниел</t>
  </si>
  <si>
    <t>Вредные мысли: Четыре психологические установки, которые мешают нам жить</t>
  </si>
  <si>
    <t>AAA2605207-P</t>
  </si>
  <si>
    <t>978-5-9614-4045-4</t>
  </si>
  <si>
    <t>Всё решено: Жизнь без свободы воли</t>
  </si>
  <si>
    <t>NNN2502075-P</t>
  </si>
  <si>
    <t>978-5-00223-158-4</t>
  </si>
  <si>
    <t>Семихатов Алексей</t>
  </si>
  <si>
    <t>Всё, что движется: Прогулки по беспокойной Вселенной</t>
  </si>
  <si>
    <t>NNN2601048-P</t>
  </si>
  <si>
    <t>978-5-00139-749-6</t>
  </si>
  <si>
    <t>Каку Митио</t>
  </si>
  <si>
    <t>Гиперпространство: научная одиссея через параллельные миры, дыры во времени и десятое измерение</t>
  </si>
  <si>
    <t>NNN2604045-P</t>
  </si>
  <si>
    <t>978-5-00139-035-0</t>
  </si>
  <si>
    <t>Непряхин Никита</t>
  </si>
  <si>
    <t>[покет-серия] Гни свою линию: Приемы эффективной коммуникации</t>
  </si>
  <si>
    <t>AAA2512257-P</t>
  </si>
  <si>
    <t>978-5-9614-2622-9</t>
  </si>
  <si>
    <t>Переговоры и риторика</t>
  </si>
  <si>
    <t>Салтыков-Щедрин Михаил</t>
  </si>
  <si>
    <t>Господа Головлевы</t>
  </si>
  <si>
    <t>AFP2601165-P</t>
  </si>
  <si>
    <t>978-5-9614-8510-3</t>
  </si>
  <si>
    <t>Дворянское гнездо</t>
  </si>
  <si>
    <t>AFP2601166-P</t>
  </si>
  <si>
    <t>978-5-9614-8354-3</t>
  </si>
  <si>
    <t>Иванов Алексей Викторович, Зайцева Юлия</t>
  </si>
  <si>
    <t>Дебри</t>
  </si>
  <si>
    <t>NNN2604179-P</t>
  </si>
  <si>
    <t>978-5-00139-709-0</t>
  </si>
  <si>
    <t>Девушка с деньгами (комплект) [Девушка с деньгами; Девушка с деньгами рабочая тетрадь]</t>
  </si>
  <si>
    <t>AAA2210002-C</t>
  </si>
  <si>
    <t>978-5-9614-8352-9</t>
  </si>
  <si>
    <t>AAA2512096-P</t>
  </si>
  <si>
    <t>978-5-9614-3318-0</t>
  </si>
  <si>
    <t>Марьевич Ирина</t>
  </si>
  <si>
    <t>Дети деньги не зарабатывают. Разрешите себе вырасти и обрести финансовую свободу</t>
  </si>
  <si>
    <t>PGR2509053-P</t>
  </si>
  <si>
    <t>978-5-907470-72-9</t>
  </si>
  <si>
    <t>Толстой Лев</t>
  </si>
  <si>
    <t>Детство. Отрочество. Юность</t>
  </si>
  <si>
    <t>AAP2601167-P</t>
  </si>
  <si>
    <t>978-5-9614-8376-5</t>
  </si>
  <si>
    <t>Сугралинов Данияр</t>
  </si>
  <si>
    <t>Дисгардиум. Книга 13. Часть 1 : Последняя битва</t>
  </si>
  <si>
    <t>Zerde Publishing</t>
  </si>
  <si>
    <t>ZGZ2605268-P</t>
  </si>
  <si>
    <t>978-601-82435-5-4</t>
  </si>
  <si>
    <t>Дисгардиум. Книга 13. Часть 2 : Последняя битва</t>
  </si>
  <si>
    <t>ZGZ2605177-P</t>
  </si>
  <si>
    <t>978-601-82435-2-3</t>
  </si>
  <si>
    <t>Клещенко Елена</t>
  </si>
  <si>
    <t>ДНК и её человек. Краткая история ДНК-идентификации</t>
  </si>
  <si>
    <t>NNN2601071-P</t>
  </si>
  <si>
    <t>978-5-00139-120-3</t>
  </si>
  <si>
    <t>Ергин Дэниел</t>
  </si>
  <si>
    <t>Добыча:Всемирная история борьбы за нефть, деньги и власть</t>
  </si>
  <si>
    <t>PGR2511268-P</t>
  </si>
  <si>
    <t>978-5-9614-3788-1</t>
  </si>
  <si>
    <t>Клири Скай</t>
  </si>
  <si>
    <t>Жажда подлинности: Как идеи Симоны де Бовуар помогают стать собой</t>
  </si>
  <si>
    <t>NNN2506072-P</t>
  </si>
  <si>
    <t>978-5-00139-808-0</t>
  </si>
  <si>
    <t>Грин Роберт</t>
  </si>
  <si>
    <t>Законы человеческой природы</t>
  </si>
  <si>
    <t>AAA2510152-P</t>
  </si>
  <si>
    <t>978-5-9614-4015-7</t>
  </si>
  <si>
    <t>Берджесс Эндрю</t>
  </si>
  <si>
    <t>Искусственный интеллект — для вашего бизнеса : Руководство по оценке и применению</t>
  </si>
  <si>
    <t>PGR2605276-P</t>
  </si>
  <si>
    <t>978-5-907274-81-5</t>
  </si>
  <si>
    <t>Эгри Лайош</t>
  </si>
  <si>
    <t>Искусство Драматургии. Творческая интерпретация человеческих мотивов</t>
  </si>
  <si>
    <t>NNN2606165-P</t>
  </si>
  <si>
    <t>978-5-00139-227-9</t>
  </si>
  <si>
    <t>Бредемайер Карстен</t>
  </si>
  <si>
    <t>[покет-серия] Искусство словесной атаки: Практическое руководство</t>
  </si>
  <si>
    <t>AAA2603218-P</t>
  </si>
  <si>
    <t>978-5-9614-2615-1</t>
  </si>
  <si>
    <t>[в 2-х книгах] Источник</t>
  </si>
  <si>
    <t>AAA2602166-P</t>
  </si>
  <si>
    <t>978-5-9614-6537-2</t>
  </si>
  <si>
    <t>09.04.2026</t>
  </si>
  <si>
    <t>Дозорцева Наталья</t>
  </si>
  <si>
    <t>К счастью – да! Система личного благополучия</t>
  </si>
  <si>
    <t>PGR2510106-P</t>
  </si>
  <si>
    <t>978-5-206-00609-4</t>
  </si>
  <si>
    <t>Корчак Януш</t>
  </si>
  <si>
    <t>Как любить ребенка</t>
  </si>
  <si>
    <t>Пер. с польс.</t>
  </si>
  <si>
    <t>AAA2606132-P</t>
  </si>
  <si>
    <t>978-5-0063-0241-9</t>
  </si>
  <si>
    <t>Меркурьева Алёна</t>
  </si>
  <si>
    <t>Как правильно? Пишем и говорим без ошибок</t>
  </si>
  <si>
    <t>AAA2606109-P</t>
  </si>
  <si>
    <t>978-5-9614-8136-5</t>
  </si>
  <si>
    <t>Кинг Ларри</t>
  </si>
  <si>
    <t>[покет-серия] Как разговаривать с кем угодно, когда угодно и где угодно</t>
  </si>
  <si>
    <t>AAA2512093-P</t>
  </si>
  <si>
    <t>978-5-9614-1179-9</t>
  </si>
  <si>
    <t>[переплет] Как разговаривать с кем угодно, когда угодно и где угодно</t>
  </si>
  <si>
    <t>AAA2605151-P</t>
  </si>
  <si>
    <t>978-5-0063-0192-4</t>
  </si>
  <si>
    <t>Долин Антон</t>
  </si>
  <si>
    <t>Как смотреть кино</t>
  </si>
  <si>
    <t>ADP2502343-P</t>
  </si>
  <si>
    <t>978-5-0063-0225-9</t>
  </si>
  <si>
    <t>Иванова Светлана</t>
  </si>
  <si>
    <t>Кандидат.Новичок.Сотрудник: Комплексная типология метапрограмм в управлении</t>
  </si>
  <si>
    <t>AAA2605132-P</t>
  </si>
  <si>
    <t>978-5-9614-3418-7</t>
  </si>
  <si>
    <t>Капитализм: Незнакомый идеал</t>
  </si>
  <si>
    <t>AAA2605235-P</t>
  </si>
  <si>
    <t>978-5-9614-6693-5</t>
  </si>
  <si>
    <t>Карл Маршалл Дэвид Маршалл</t>
  </si>
  <si>
    <t>[изумруд] Книга обо мне: 201 вопрос, ответы на которые будут интересны моим детям и внукам</t>
  </si>
  <si>
    <t>AAA2601111-P</t>
  </si>
  <si>
    <t>978-5-0063-0098-9</t>
  </si>
  <si>
    <t>[рубин] Книга обо мне: 201 вопрос, ответы на которые будут интересны моим детям и внукам</t>
  </si>
  <si>
    <t>AAA2601112-P</t>
  </si>
  <si>
    <t>978-5-0063-0099-6</t>
  </si>
  <si>
    <t>Гридасов Станислав</t>
  </si>
  <si>
    <t>Книга Уткина: Мы тут жизнь живём</t>
  </si>
  <si>
    <t>NNN2605112-P</t>
  </si>
  <si>
    <t>978-5-00223-722-7</t>
  </si>
  <si>
    <t>Комплект "Говорить - легко" (Я говорю - меня слушают + Черная риторика+ Как разговаривать с кем угодно + На эмоциях</t>
  </si>
  <si>
    <t>AAA2210160-C</t>
  </si>
  <si>
    <t>978-5-9614-8402-1</t>
  </si>
  <si>
    <t>28101</t>
  </si>
  <si>
    <t>Конни катается на велосипеде</t>
  </si>
  <si>
    <t>ADH2506251-P</t>
  </si>
  <si>
    <t>978-5-00283-049-7</t>
  </si>
  <si>
    <t>Конни помогает папе</t>
  </si>
  <si>
    <t>ADH2604051-P</t>
  </si>
  <si>
    <t>978-5-9614-9483-9</t>
  </si>
  <si>
    <t>Герасичев Владимир, Рябуха Арсен, Маурах Иван</t>
  </si>
  <si>
    <t>Контекст жизни: Как научиться управлять привычками, которые управляют нами</t>
  </si>
  <si>
    <t>AAA2605131-P</t>
  </si>
  <si>
    <t>978-5-9614-3619-8</t>
  </si>
  <si>
    <t>Саган Карл</t>
  </si>
  <si>
    <t>Космос</t>
  </si>
  <si>
    <t>NNN2601051-P</t>
  </si>
  <si>
    <t>978-5-91671-000-7</t>
  </si>
  <si>
    <t>18.03.2026</t>
  </si>
  <si>
    <t>Чатфилд Том</t>
  </si>
  <si>
    <t>Критическое мышление: Анализируй, сомневайся, формируй свое мнение</t>
  </si>
  <si>
    <t>AAA2603073-P</t>
  </si>
  <si>
    <t>978-5-9614-2081-4</t>
  </si>
  <si>
    <t>07.04.2026</t>
  </si>
  <si>
    <t>Гришина Анна</t>
  </si>
  <si>
    <t>Кулачок</t>
  </si>
  <si>
    <t>AWW2603039-P</t>
  </si>
  <si>
    <t>978-5-9614-8881-4</t>
  </si>
  <si>
    <t>31.03.2026</t>
  </si>
  <si>
    <t>Герчик Александр</t>
  </si>
  <si>
    <t>Курс активного трейдера: Покупай, продавай, зарабатывай</t>
  </si>
  <si>
    <t>AAA2506143-P</t>
  </si>
  <si>
    <t>978-5-9614-2374-7</t>
  </si>
  <si>
    <t>Орбан Кристин</t>
  </si>
  <si>
    <t>Леди Ди</t>
  </si>
  <si>
    <t>ABB2603162-P</t>
  </si>
  <si>
    <t>978-5-0063-0823-7</t>
  </si>
  <si>
    <t>Лайкер Джеффри, Трахилис Йорго</t>
  </si>
  <si>
    <t>Лидерство на всех уровнях бережливого производства: Практическое руководство</t>
  </si>
  <si>
    <t>AAA2604163-P</t>
  </si>
  <si>
    <t>978-5-9614-6858-8</t>
  </si>
  <si>
    <t>Зверева Нина</t>
  </si>
  <si>
    <t>[покет-серия] Магия общения: Практика успешной коммуникации</t>
  </si>
  <si>
    <t>AAA2602077-P</t>
  </si>
  <si>
    <t>978-5-9614-8582-0</t>
  </si>
  <si>
    <t>26.03.2026</t>
  </si>
  <si>
    <t>Бехтерев Сергей</t>
  </si>
  <si>
    <t>Майнд-менеджмент: решение бизнес-задач с помощью интеллект-карт</t>
  </si>
  <si>
    <t>AAA2605009-P</t>
  </si>
  <si>
    <t>978-5-9614-7033-8</t>
  </si>
  <si>
    <t>Кункель Даниэла</t>
  </si>
  <si>
    <t>Маленький Мы: История о том, как найти и не потерять лучшего друга</t>
  </si>
  <si>
    <t>ADH2001072-P</t>
  </si>
  <si>
    <t>978-5-9614-3304-3</t>
  </si>
  <si>
    <t>Другие сказки</t>
  </si>
  <si>
    <t xml:space="preserve">[
"https://api-enni.alpina.ru/FileCertificateProject/115"
]</t>
  </si>
  <si>
    <t>Котлер Филип</t>
  </si>
  <si>
    <t>Маркетинг от А до Я: 80 концепций, которые должен знать каждый менеджер</t>
  </si>
  <si>
    <t>AAA2511086-P</t>
  </si>
  <si>
    <t>978-5-9614-6745-1</t>
  </si>
  <si>
    <t>Сологуб Федор</t>
  </si>
  <si>
    <t>Мелкий бес</t>
  </si>
  <si>
    <t>AFP2601170-P</t>
  </si>
  <si>
    <t>978-5-9614-8520-2</t>
  </si>
  <si>
    <t>Расиел Итан</t>
  </si>
  <si>
    <t>Метод McKinsey: как решить любую проблему</t>
  </si>
  <si>
    <t>AAA2604206-P</t>
  </si>
  <si>
    <t>978-5-0063-0952-4</t>
  </si>
  <si>
    <t>Сейсембай Маргулан</t>
  </si>
  <si>
    <t>Миссия выполнима 2.0. Счастье как система</t>
  </si>
  <si>
    <t>PGR2603120-P</t>
  </si>
  <si>
    <t>978-5-206-00423-6</t>
  </si>
  <si>
    <t>17.03.2026</t>
  </si>
  <si>
    <t>Вульф Наоми</t>
  </si>
  <si>
    <t>[покет] Миф о красоте: Стереотипы против женщин</t>
  </si>
  <si>
    <t>NNN2601247-P</t>
  </si>
  <si>
    <t>978-5-00139-024-4</t>
  </si>
  <si>
    <t>Да Коста Мелисса</t>
  </si>
  <si>
    <t>Мои яблочные дни</t>
  </si>
  <si>
    <t>ABB2507066-P</t>
  </si>
  <si>
    <t>978-5-0063-0970-8</t>
  </si>
  <si>
    <t>25.03.2026</t>
  </si>
  <si>
    <t>Лимонов Эдуард</t>
  </si>
  <si>
    <t>Молодой негодяй</t>
  </si>
  <si>
    <t>NFP2506131-P</t>
  </si>
  <si>
    <t>978-5-00139-525-6</t>
  </si>
  <si>
    <t>Мэнсон Марк</t>
  </si>
  <si>
    <t>Мужские правила: Отношения, секс, психология</t>
  </si>
  <si>
    <t>AAA2502020-P</t>
  </si>
  <si>
    <t>978-5-9614-3212-1</t>
  </si>
  <si>
    <t>Бреан Аре, Скейе Гейр Ульве</t>
  </si>
  <si>
    <t>[покет-серия] Музыка и мозг: Как музыка влияет на эмоции, здоровье и интеллект</t>
  </si>
  <si>
    <t>Пер. с норв.</t>
  </si>
  <si>
    <t>AAA2512026-P</t>
  </si>
  <si>
    <t>978-5-9614-8581-3</t>
  </si>
  <si>
    <t>Мы живые</t>
  </si>
  <si>
    <t>AAA2601197-P</t>
  </si>
  <si>
    <t>978-5-9614-6746-8</t>
  </si>
  <si>
    <t>Невьянская башня</t>
  </si>
  <si>
    <t>NFP2601239-P</t>
  </si>
  <si>
    <t>978-5-00223-733-3</t>
  </si>
  <si>
    <t>10.04.2026</t>
  </si>
  <si>
    <t>Нейросети могут всё: 254 универсальных промта для счастливой, здоровой и яркой жизни</t>
  </si>
  <si>
    <t>AAA2601113-P</t>
  </si>
  <si>
    <t>978-5-0063-0610-3</t>
  </si>
  <si>
    <t>20.03.2026</t>
  </si>
  <si>
    <t>Флотская Ирина</t>
  </si>
  <si>
    <t>О чем спросил бы психолог: Вопросы, которые помогут понять себя в трудных ситуациях</t>
  </si>
  <si>
    <t>AAA2606183-P</t>
  </si>
  <si>
    <t>978-5-9614-9963-6</t>
  </si>
  <si>
    <t>[релакс] Один вопрос в день: Дневник на пять лет</t>
  </si>
  <si>
    <t>AAA2603075-P</t>
  </si>
  <si>
    <t>978-5-9614-9104-3</t>
  </si>
  <si>
    <t>Латыпов Илья</t>
  </si>
  <si>
    <t>[обложка с клапанами] Один на один с жизнью: Книга, которая поможет найти смысл</t>
  </si>
  <si>
    <t>AAA2509230-P</t>
  </si>
  <si>
    <t>978-5-9614-9026-8</t>
  </si>
  <si>
    <t>Ястребов Сергей</t>
  </si>
  <si>
    <t>[обложка] От атомов к древу. Введение в современную науку о жизни</t>
  </si>
  <si>
    <t>NNN2605261-P</t>
  </si>
  <si>
    <t>978-5-00139-960-5</t>
  </si>
  <si>
    <t>Уокер Стивен</t>
  </si>
  <si>
    <t>Первый: Новая история Гагарина и космической гонки</t>
  </si>
  <si>
    <t>NNN2605037-P</t>
  </si>
  <si>
    <t>978-5-00139-664-2</t>
  </si>
  <si>
    <t>AAA2411128-P</t>
  </si>
  <si>
    <t>978-5-9614-8714-5</t>
  </si>
  <si>
    <t>Оборин Лев, Архангельский Александр, Шубинский Валерий, Бодрова Алина , Долинин Александр , Магомедова Дина</t>
  </si>
  <si>
    <t>Полка: История русской поэзии</t>
  </si>
  <si>
    <t>NNN2506130-P</t>
  </si>
  <si>
    <t>978-5-00223-150-8</t>
  </si>
  <si>
    <t>Ибука Масару</t>
  </si>
  <si>
    <t>После трех уже поздно (обложка с клапанами)</t>
  </si>
  <si>
    <t>NNN2603240-P</t>
  </si>
  <si>
    <t>978-5-91671-826-3</t>
  </si>
  <si>
    <t>15.05.2026</t>
  </si>
  <si>
    <t>После трех уже поздно (переплет, суперобложка)</t>
  </si>
  <si>
    <t>NNN2605038-P</t>
  </si>
  <si>
    <t>978-5-91671-789-1</t>
  </si>
  <si>
    <t>После трех уже поздно</t>
  </si>
  <si>
    <t>Остервальдер Александр, Пинье Ив</t>
  </si>
  <si>
    <t>Построение бизнес-моделей: Настольная книга стратега и новатора</t>
  </si>
  <si>
    <t>AAA2602011-P</t>
  </si>
  <si>
    <t>978-5-9614-7075-8</t>
  </si>
  <si>
    <t>Бизнес-модели Остервальдера</t>
  </si>
  <si>
    <t>Чиксентмихайи Михай</t>
  </si>
  <si>
    <t>Поток: Психология оптимального переживания (7БЦ)</t>
  </si>
  <si>
    <t>NNN2603238-P</t>
  </si>
  <si>
    <t>978-5-00223-670-1</t>
  </si>
  <si>
    <t>ABB2604060-P</t>
  </si>
  <si>
    <t>978-5-9614-9164-7</t>
  </si>
  <si>
    <t>Дерцап Сергей, Минкевич Алексей</t>
  </si>
  <si>
    <t>Проджект-менеджмент: Как быть профессионалом</t>
  </si>
  <si>
    <t>PGR2605272-P</t>
  </si>
  <si>
    <t>978-5-206-00519-6</t>
  </si>
  <si>
    <t>Никитин Михаил</t>
  </si>
  <si>
    <t>[покет-серия] Происхождение жизни. От туманности до клетки</t>
  </si>
  <si>
    <t>NNN2601132-P</t>
  </si>
  <si>
    <t>978-5-00139-920-9</t>
  </si>
  <si>
    <t>Триго Ана</t>
  </si>
  <si>
    <t>Проклятые драгоценности: Как алмазы, сапфиры и жемчуг меняли судьбы людей и ход истории</t>
  </si>
  <si>
    <t>AAA2603222-P</t>
  </si>
  <si>
    <t>978-5-0063-0185-6</t>
  </si>
  <si>
    <t>28.04.2026</t>
  </si>
  <si>
    <t>Асмолов Александр</t>
  </si>
  <si>
    <t>Психология достоинства: Искусство быть человеком</t>
  </si>
  <si>
    <t>AAA2603221-P</t>
  </si>
  <si>
    <t>978-5-0063-0157-3</t>
  </si>
  <si>
    <t>Психология любви: Загадочный дар эволюции</t>
  </si>
  <si>
    <t>AAA2603018-P</t>
  </si>
  <si>
    <t>978-5-0063-1202-9</t>
  </si>
  <si>
    <t>17.04.2026</t>
  </si>
  <si>
    <t>Власенко Ольга</t>
  </si>
  <si>
    <t>Птица</t>
  </si>
  <si>
    <t>AWW2602029-P</t>
  </si>
  <si>
    <t>978-5-9614-9906-3</t>
  </si>
  <si>
    <t>Мансон Мэтти</t>
  </si>
  <si>
    <t>Разломы</t>
  </si>
  <si>
    <t>AWW2511119-P</t>
  </si>
  <si>
    <t>978-5-0063-0102-3</t>
  </si>
  <si>
    <t>Грэм Бенджамин</t>
  </si>
  <si>
    <t>Разумный инвестор: Полное руководство по стоимостному инвестированию</t>
  </si>
  <si>
    <t>AAA2511329-P</t>
  </si>
  <si>
    <t>978-5-0063-0483-3</t>
  </si>
  <si>
    <t>Сажайте, и вырастет</t>
  </si>
  <si>
    <t>NFP2606028-P</t>
  </si>
  <si>
    <t>978-5-00223-700-5</t>
  </si>
  <si>
    <t>[переплет] Семь навыков высокоэффективных людей: Мощные инструменты развития личности (Юбилейное издание, дополненное)</t>
  </si>
  <si>
    <t>AAA2601008-P</t>
  </si>
  <si>
    <t>978-5-9614-8722-0</t>
  </si>
  <si>
    <t>Сильный текст и деловая переписка: Книжный бокс Максима Ильяхова</t>
  </si>
  <si>
    <t>AAA2112129-C</t>
  </si>
  <si>
    <t>978-5-9614-7707-8</t>
  </si>
  <si>
    <t>Ветлужских Елена</t>
  </si>
  <si>
    <t>Система вознаграждения: Как разработать цели и KPI</t>
  </si>
  <si>
    <t>AAA2605134-P</t>
  </si>
  <si>
    <t>978-5-9614-6905-9</t>
  </si>
  <si>
    <t>Франкл Виктор</t>
  </si>
  <si>
    <t>Сказать жизни "ДА!": психолог в концлагере</t>
  </si>
  <si>
    <t>NNN2603237-P</t>
  </si>
  <si>
    <t>978-5-91671-838-6</t>
  </si>
  <si>
    <t>70x90/32</t>
  </si>
  <si>
    <t>30.04.2026</t>
  </si>
  <si>
    <t>Собачьи годы</t>
  </si>
  <si>
    <t>NFP2606166-P</t>
  </si>
  <si>
    <t>978-5-00223-995-5</t>
  </si>
  <si>
    <t>Данцигская трилогия</t>
  </si>
  <si>
    <t>Слат Джонатан</t>
  </si>
  <si>
    <t>Совы во льдах: Как спасали самого большого филина в мире</t>
  </si>
  <si>
    <t>NNN2510150-P</t>
  </si>
  <si>
    <t>978-5-00139-866-0</t>
  </si>
  <si>
    <t>Животные</t>
  </si>
  <si>
    <t>Сузуки Венди, Фицпатрик Билли</t>
  </si>
  <si>
    <t>[покет-серия] Странная девочка, которая влюбилась в мозг: Как знание нейробиологии помогает стать привлекательнее, счастливее и лучше</t>
  </si>
  <si>
    <t>AAA2601195-P</t>
  </si>
  <si>
    <t>978-5-9614-9388-7</t>
  </si>
  <si>
    <t>Соколов Александр</t>
  </si>
  <si>
    <t>Странная обезьяна: Куда делась шерсть и почему люди разного цвета</t>
  </si>
  <si>
    <t>NNN2510014-P</t>
  </si>
  <si>
    <t>978-5-00139-302-3</t>
  </si>
  <si>
    <t>Кириллов Иван</t>
  </si>
  <si>
    <t>Стресс-серфинг: Как перестать бояться стресса и обратить его себе на пользу</t>
  </si>
  <si>
    <t>AAA2605279-P</t>
  </si>
  <si>
    <t>978-5-0063-0652-3</t>
  </si>
  <si>
    <t>Дойч Дэвид</t>
  </si>
  <si>
    <t>Структура реальности: Наука параллельных вселенных</t>
  </si>
  <si>
    <t>NNN2604044-P</t>
  </si>
  <si>
    <t>978-5-91671-841-6</t>
  </si>
  <si>
    <t>Терра и тайна созвездий. Книга 1</t>
  </si>
  <si>
    <t>ADH2511283-P</t>
  </si>
  <si>
    <t>978-5-9614-9071-8</t>
  </si>
  <si>
    <t>[переплет] Тонкое искусство пофигизма: Парадоксальный способ жить счастливо</t>
  </si>
  <si>
    <t>AAA2512094-P</t>
  </si>
  <si>
    <t>978-5-9614-7219-6</t>
  </si>
  <si>
    <t>Фаер Сергей</t>
  </si>
  <si>
    <t>Траблшутинг: Как решать нерешаемые задачи, посмотрев на проблему с другой стороны</t>
  </si>
  <si>
    <t>AAA2605208-P</t>
  </si>
  <si>
    <t>978-5-9614-6960-8</t>
  </si>
  <si>
    <t>Адлер Алина</t>
  </si>
  <si>
    <t>Ты в порядке: Книга о том, как нельзя с собой и не надо с другими</t>
  </si>
  <si>
    <t>AAA2412259-P</t>
  </si>
  <si>
    <t>978-5-9614-5776-6</t>
  </si>
  <si>
    <t>Коллектив авторов (HBR)</t>
  </si>
  <si>
    <t>Управление во время кризиса</t>
  </si>
  <si>
    <t>AAA2511341-P</t>
  </si>
  <si>
    <t>978-5-9614-7882-2</t>
  </si>
  <si>
    <t>Harvard Business Review: 10 лучших статей</t>
  </si>
  <si>
    <t>Кокинз Гэри</t>
  </si>
  <si>
    <t>Управление результативностью: Как преодолеть разрыв между объявленной стратегией и реальными процессами</t>
  </si>
  <si>
    <t>PGR2605184-P</t>
  </si>
  <si>
    <t>978-5-907274-62-4</t>
  </si>
  <si>
    <t>34900</t>
  </si>
  <si>
    <t>[Развивающие тетради, Лучший друг — Конни] Учим время. Минуты и секунды. Планируем свой день. Развивающие тетради вместе с Конни!</t>
  </si>
  <si>
    <t>ADK2604052-P</t>
  </si>
  <si>
    <t>978-5-00283-128-9</t>
  </si>
  <si>
    <t xml:space="preserve">[
"https://api-enni.alpina.ru/FileCertificateProject/10"
]</t>
  </si>
  <si>
    <t>32793</t>
  </si>
  <si>
    <t>[Развивающие тетради, Лучший друг — Конни] Учим время. Час, полчаса, четверть часа. Знакомимся с часами и учимся определять время. Развивающие тетради вместе с Конни!</t>
  </si>
  <si>
    <t>ADK2604087-P</t>
  </si>
  <si>
    <t>978-5-00283-127-2</t>
  </si>
  <si>
    <t>Матвеев Станислав</t>
  </si>
  <si>
    <t>Феноменальная память: Методы запоминания информации</t>
  </si>
  <si>
    <t>AAA2606108-P</t>
  </si>
  <si>
    <t>978-5-9614-7009-3</t>
  </si>
  <si>
    <t>Фокс Кабейн Оливия</t>
  </si>
  <si>
    <t>[покет-серия] Харизма: Как влиять, убеждать и вдохновлять</t>
  </si>
  <si>
    <t>AAA2512025-P</t>
  </si>
  <si>
    <t>978-5-9614-7140-3</t>
  </si>
  <si>
    <t>Гловер Роберт</t>
  </si>
  <si>
    <t>[покет-серия] Хватит быть славным парнем! Как добиться желаемого в любви, работе и жизни</t>
  </si>
  <si>
    <t>AAA2602141-P</t>
  </si>
  <si>
    <t>978-5-9614-2741-7</t>
  </si>
  <si>
    <t>Альпина.Бизнес</t>
  </si>
  <si>
    <t>Кукушкин Николай</t>
  </si>
  <si>
    <t>Хлопок одной ладонью: Как неживая природа породила человеческий разум</t>
  </si>
  <si>
    <t>NNN2603052-P</t>
  </si>
  <si>
    <t>978-5-00139-301-6</t>
  </si>
  <si>
    <t>PRIMUS</t>
  </si>
  <si>
    <t>08.04.2026</t>
  </si>
  <si>
    <t>Ханипаев Ислам</t>
  </si>
  <si>
    <t>Холодные глаза</t>
  </si>
  <si>
    <t>NFP2512319-P</t>
  </si>
  <si>
    <t>978-5-00139-622-2</t>
  </si>
  <si>
    <t>Эрхардт Уте</t>
  </si>
  <si>
    <t>[покет-серия] Хорошие девочки отправляются на небеса, а плохие - куда захотят...</t>
  </si>
  <si>
    <t>AAA2604200-P</t>
  </si>
  <si>
    <t>978-5-9614-6892-2</t>
  </si>
  <si>
    <t>Альпина: психология и философия</t>
  </si>
  <si>
    <t>Нараянан Арвинд , Капур Саяш</t>
  </si>
  <si>
    <t>Хороший, плохой, искусственный: Мифы вокруг ИИ и реальные примеры его использования</t>
  </si>
  <si>
    <t>PGR2606133-P</t>
  </si>
  <si>
    <t>978-5-206-00652-0</t>
  </si>
  <si>
    <t>Голдратт Элияху</t>
  </si>
  <si>
    <t>Цель. Процесс непрерывного улучшения</t>
  </si>
  <si>
    <t>PGR2604230-P</t>
  </si>
  <si>
    <t>978-5-206-00497-7</t>
  </si>
  <si>
    <t>[покет-серия] Черная риторика: Власть и магия слова</t>
  </si>
  <si>
    <t>AAA2604196-P</t>
  </si>
  <si>
    <t>978-5-9614-2592-5</t>
  </si>
  <si>
    <t>[переплет] Черная риторика: Власть и магия слова</t>
  </si>
  <si>
    <t>AAA2509174-P</t>
  </si>
  <si>
    <t>978-5-9614-6958-5</t>
  </si>
  <si>
    <t>Аткинсон Мэрилин, Стефани Питер</t>
  </si>
  <si>
    <t>Четыре типа мышления: Принципы трансформации личности (Книга I)</t>
  </si>
  <si>
    <t>AAA2606110-P</t>
  </si>
  <si>
    <t>978-5-9614-7554-8</t>
  </si>
  <si>
    <t>Беркман Оливер</t>
  </si>
  <si>
    <t>Четыре тысячи недель на всё: Меньше планов — больше жизни</t>
  </si>
  <si>
    <t>AAA2601102-P</t>
  </si>
  <si>
    <t>978-5-0063-0216-7</t>
  </si>
  <si>
    <t>Хакамада Ирина</t>
  </si>
  <si>
    <t>Чиллософия: Опыты выхода из безвыходности</t>
  </si>
  <si>
    <t>AAA2505059-P</t>
  </si>
  <si>
    <t>978-5-9614-7454-1</t>
  </si>
  <si>
    <t>Милгром Пол</t>
  </si>
  <si>
    <t>Экономика, организация и менеджмент</t>
  </si>
  <si>
    <t>PGR2605073-P</t>
  </si>
  <si>
    <t>978-5-206-00022-1</t>
  </si>
  <si>
    <t>Сизов Андрей</t>
  </si>
  <si>
    <t>Энергетические аспекты международной политики : Тенденции и перспективы</t>
  </si>
  <si>
    <t>PGR2404114-P</t>
  </si>
  <si>
    <t>978-5-206-00294-2</t>
  </si>
  <si>
    <t>Карлова Светлана</t>
  </si>
  <si>
    <t>[картонная книга] Я иду искать в Москве</t>
  </si>
  <si>
    <t>ADH2511209-P</t>
  </si>
  <si>
    <t>978-5-9614-8986-6</t>
  </si>
  <si>
    <t>Виммельбух для всей семьи</t>
  </si>
  <si>
    <t xml:space="preserve">[
"https://api-enni.alpina.ru/FileCertificateProject/170"
]</t>
  </si>
  <si>
    <t>Я манипулирую тобой: Методы противодействия скрытому влиянию</t>
  </si>
  <si>
    <t>AAA2509168-P</t>
  </si>
  <si>
    <t>978-5-9614-6541-9</t>
  </si>
  <si>
    <t>Гримм Сандра</t>
  </si>
  <si>
    <t>[картонная книга] Якоб всё делает сам</t>
  </si>
  <si>
    <t>ADH2511199-P</t>
  </si>
  <si>
    <t>978-5-9614-7753-5</t>
  </si>
  <si>
    <t>Якоб - лучший друг Конни</t>
  </si>
  <si>
    <t xml:space="preserve">[
"https://api-enni.alpina.ru/FileCertificateProject/168"
]</t>
  </si>
  <si>
    <t>[картонная книга] Якоб занимается гимнастикой</t>
  </si>
  <si>
    <t>ADH2511193-P</t>
  </si>
  <si>
    <t>978-5-9614-8443-4</t>
  </si>
  <si>
    <t>[картонная книга] Якоб учит правила дорожного движения</t>
  </si>
  <si>
    <t>ADH2511196-P</t>
  </si>
  <si>
    <t>978-5-9614-8446-5</t>
  </si>
  <si>
    <t>Гримм Сандра, Бансер Неле, Айнвольт Илона, Хофманн Юлия</t>
  </si>
  <si>
    <t>[Якоб — лучший друг Конни] Якоб учится самостоятельности. 10 историй в одной книге</t>
  </si>
  <si>
    <t>ADK2512124-P</t>
  </si>
  <si>
    <t>978-5-0063-0202-0</t>
  </si>
  <si>
    <t>Бансер Неле</t>
  </si>
  <si>
    <t>[картонная книга] Якоб чистит зубы</t>
  </si>
  <si>
    <t>ADH2511200-P</t>
  </si>
  <si>
    <t>978-5-0063-0221-1</t>
  </si>
  <si>
    <t>БЕСТСЕЛЛЕРЫ</t>
  </si>
  <si>
    <t>КАТАЛОГ</t>
  </si>
  <si>
    <t>01. Психология и ментальное здоровье</t>
  </si>
  <si>
    <t>1.01. Прикладная психология</t>
  </si>
  <si>
    <t xml:space="preserve"> Как перестать быть хорошей девочкой: Рабочая тетрадь</t>
  </si>
  <si>
    <t>AAA2502044-P</t>
  </si>
  <si>
    <t>978-5-0063-0522-9</t>
  </si>
  <si>
    <t>Долганова Мария</t>
  </si>
  <si>
    <t xml:space="preserve"> Обычный вторник: Как полюбить будни и находить радость в каждом дне</t>
  </si>
  <si>
    <t>AAA2503134-P</t>
  </si>
  <si>
    <t>978-5-9614-8583-7</t>
  </si>
  <si>
    <t>Билеран Ариана</t>
  </si>
  <si>
    <t>12 комплексов Геракла. Как мифология помогает нам выбраться из собственных Авгиевых конюшен и добыть золотые яблоки в саду Гесперид</t>
  </si>
  <si>
    <t>PGR2511312-P</t>
  </si>
  <si>
    <t>978-5-206-00649-0</t>
  </si>
  <si>
    <t>Гоулман Дэниел</t>
  </si>
  <si>
    <t>12 элементов эмоционального интеллекта: Как стать вдохновляющим лидером</t>
  </si>
  <si>
    <t>AAA2504183-P</t>
  </si>
  <si>
    <t>978-5-0063-0732-2</t>
  </si>
  <si>
    <t>Глазунов Ярослав, Митрова Татьяна</t>
  </si>
  <si>
    <t>8 1/2 шагов : Жить, любить, работать на полной мощности</t>
  </si>
  <si>
    <t>LGA1912177-P</t>
  </si>
  <si>
    <t>978-5-907274-35-8</t>
  </si>
  <si>
    <t>Ленгольд Катерина</t>
  </si>
  <si>
    <t>Agile life: Как вывести жизнь на новую орбиту, используя методы agile-планирования, нейрофизиологию и самокоучинг</t>
  </si>
  <si>
    <t>AAA2512255-P</t>
  </si>
  <si>
    <t>978-5-9614-3915-1</t>
  </si>
  <si>
    <t>Макгиннис Патрик</t>
  </si>
  <si>
    <t>FOMO sapiens: Как избавиться от страха упущенных возможностей и начать принимать правильные решения</t>
  </si>
  <si>
    <t>AAA2604205-P</t>
  </si>
  <si>
    <t>978-5-9614-5968-5</t>
  </si>
  <si>
    <t>Травкина Настя</t>
  </si>
  <si>
    <t>Homo Mutabilis: Как наука о мозге помогла мне преодолеть стереотипы, поверить в себя и круто изменить жизнь</t>
  </si>
  <si>
    <t>AAA2102143-P</t>
  </si>
  <si>
    <t>978-5-9614-3846-8</t>
  </si>
  <si>
    <t>Калиничев Сергей</t>
  </si>
  <si>
    <t>Адекватность. Как видеть суть происходящего, принимать хорошие решения и создавать результат без стресса</t>
  </si>
  <si>
    <t>PGR2511359-P</t>
  </si>
  <si>
    <t>978-5-206-00017-7</t>
  </si>
  <si>
    <t>Адекватный настрой за пару минут в день. Тренажёр счастья и результативности</t>
  </si>
  <si>
    <t>PGA2510244-P</t>
  </si>
  <si>
    <t>978-5-206-00587-5</t>
  </si>
  <si>
    <t>Анатомия заблуждений: Большая книга по критическому мышлению</t>
  </si>
  <si>
    <t>AAA2510184-P</t>
  </si>
  <si>
    <t>978-5-9614-3144-5</t>
  </si>
  <si>
    <t>Мартин Лора Мэй</t>
  </si>
  <si>
    <t>Аптайм: Оптимальный способ управления временем и энергией</t>
  </si>
  <si>
    <t>AAA2410029-P</t>
  </si>
  <si>
    <t>978-5-9614-9616-1</t>
  </si>
  <si>
    <t>Михалченко Елена</t>
  </si>
  <si>
    <t>Архитектура перемен. Как перестроить жизнь: от проекта до реализации</t>
  </si>
  <si>
    <t>PGR2501079-P</t>
  </si>
  <si>
    <t>978-5-206-00321-5</t>
  </si>
  <si>
    <t>Малионова Марина, Турышева Ольга</t>
  </si>
  <si>
    <t>Без оглядки на маму: Как обрести внутренние опоры и завершить сепарацию</t>
  </si>
  <si>
    <t>AAA2511068-P</t>
  </si>
  <si>
    <t>978-5-9614-9041-1</t>
  </si>
  <si>
    <t>Оноре Карл</t>
  </si>
  <si>
    <t>Без суеты: Как перестать спешить и начать жить</t>
  </si>
  <si>
    <t>AAA2602146-P</t>
  </si>
  <si>
    <t>978-5-9614-8460-1</t>
  </si>
  <si>
    <t>Суханова Елизавета</t>
  </si>
  <si>
    <t>Беременность после потери: Как справиться с чувствами и снова решиться стать родителями</t>
  </si>
  <si>
    <t>AAA2502186-P</t>
  </si>
  <si>
    <t>978-5-0063-0556-4</t>
  </si>
  <si>
    <t xml:space="preserve">Гольдфарб  Анна</t>
  </si>
  <si>
    <t>Близкие люди: Как сохранить друзей в современном мире</t>
  </si>
  <si>
    <t>AAA2402048-P</t>
  </si>
  <si>
    <t>978-5-9614-9610-9</t>
  </si>
  <si>
    <t>Фомичева Наталья</t>
  </si>
  <si>
    <t>Близость: Книга о хорошем сексе</t>
  </si>
  <si>
    <t>AAA2510266-P</t>
  </si>
  <si>
    <t>978-5-9614-9487-7</t>
  </si>
  <si>
    <t>Большая книга про работу: Как не страдать в найме и успевать жить</t>
  </si>
  <si>
    <t>AAA2603078-P</t>
  </si>
  <si>
    <t>978-5-0063-0909-8</t>
  </si>
  <si>
    <t>27.04.2026</t>
  </si>
  <si>
    <t>Вэбер Шарлотта Фокс</t>
  </si>
  <si>
    <t>Больше чем желание: Разговоры с психологом о сокровенном</t>
  </si>
  <si>
    <t>AAA2009045-P</t>
  </si>
  <si>
    <t>978-5-9614-8270-6</t>
  </si>
  <si>
    <t>Шварценеггер Арнольд</t>
  </si>
  <si>
    <t>Будь нужным: Семь правил жизни</t>
  </si>
  <si>
    <t>AAA2510049-P</t>
  </si>
  <si>
    <t>978-5-9614-8763-3</t>
  </si>
  <si>
    <t>AAA2603176-P</t>
  </si>
  <si>
    <t>978-5-0063-2010-9</t>
  </si>
  <si>
    <t>20.04.2026</t>
  </si>
  <si>
    <t>Джарретт Кристиан</t>
  </si>
  <si>
    <t>Будь тем, кем хочешь: Наука о том, как изменить себя</t>
  </si>
  <si>
    <t>AAA2109020-P</t>
  </si>
  <si>
    <t>978-5-9614-8008-5</t>
  </si>
  <si>
    <t>Сил Ребекка</t>
  </si>
  <si>
    <t>Бунт хорошей девочки: Как перестать всем нравиться и начать жить своей жизнью</t>
  </si>
  <si>
    <t>AAA2401157-P</t>
  </si>
  <si>
    <t>978-5-9614-9581-2</t>
  </si>
  <si>
    <t>Ремес Оливия</t>
  </si>
  <si>
    <t>Быстрая самотерапия: Скорая помощь при тревоге, панике и стрессе</t>
  </si>
  <si>
    <t>AAA2504092-P</t>
  </si>
  <si>
    <t>978-5-9614-8062-7</t>
  </si>
  <si>
    <t>Маркс-Бил Эбби</t>
  </si>
  <si>
    <t>Быстрое чтение за 10 дней</t>
  </si>
  <si>
    <t>AAA2604115-P</t>
  </si>
  <si>
    <t>978-5-9614-6715-4</t>
  </si>
  <si>
    <t>Демьянова Ольга</t>
  </si>
  <si>
    <t>Быстрые и эффективные шаги к цели. Практикум для тех, кто хочет изменить свою жизнь</t>
  </si>
  <si>
    <t>PGR2112071-P</t>
  </si>
  <si>
    <t>978-5-907534-57-5</t>
  </si>
  <si>
    <t>Ермошина Марина</t>
  </si>
  <si>
    <t>Быстрый мозг: 30 дней для улучшения памяти и внимания</t>
  </si>
  <si>
    <t>AAA2409071-P</t>
  </si>
  <si>
    <t>978-5-0063-0150-4</t>
  </si>
  <si>
    <t>Райли Рэд</t>
  </si>
  <si>
    <t>Быть готовым ко всему: Приемы агентов МИ-6 для гражданских</t>
  </si>
  <si>
    <t>AAA2502304-P</t>
  </si>
  <si>
    <t>978-5-9614-8420-5</t>
  </si>
  <si>
    <t>Фишер Татьяна</t>
  </si>
  <si>
    <t>Быть, а не стыдиться: Если стыд управляет вашей жизнью...</t>
  </si>
  <si>
    <t>AAA2604199-P</t>
  </si>
  <si>
    <t>978-5-0063-0425-3</t>
  </si>
  <si>
    <t>Степанчук Алина</t>
  </si>
  <si>
    <t>В плену у достижений: От выгорания к целостности</t>
  </si>
  <si>
    <t>AAA2305098-P</t>
  </si>
  <si>
    <t>978-5-9614-8982-8</t>
  </si>
  <si>
    <t>Цикунов Евгений</t>
  </si>
  <si>
    <t>В поисках Лунного зайца. Книга-практикум. Как найти свою вторую половину</t>
  </si>
  <si>
    <t>PGR2412027-P</t>
  </si>
  <si>
    <t>978-5-206-00288-1</t>
  </si>
  <si>
    <t>Нахманович Стивен</t>
  </si>
  <si>
    <t>В состоянии потока: Импровизация в жизни и в искусстве</t>
  </si>
  <si>
    <t>AAA2312007-P</t>
  </si>
  <si>
    <t>978-5-9614-9492-1</t>
  </si>
  <si>
    <t>В тебе есть всё: Психология полноты жизни</t>
  </si>
  <si>
    <t>AAA2412231-P</t>
  </si>
  <si>
    <t>978-5-9614-9971-1</t>
  </si>
  <si>
    <t>В тебе есть всё: Тетрадь для самопознания</t>
  </si>
  <si>
    <t>AAA2412192-P</t>
  </si>
  <si>
    <t>978-5-0063-0387-4</t>
  </si>
  <si>
    <t>Фаулер Сьюзен</t>
  </si>
  <si>
    <t>[покет-серия] Ваш источник мотивации: Как захотеть сделать то, что нужно</t>
  </si>
  <si>
    <t>AAA2404197-P</t>
  </si>
  <si>
    <t>978-5-9614-9801-1</t>
  </si>
  <si>
    <t>Керре Наталья</t>
  </si>
  <si>
    <t>Вернуть вкус к жизни: Что делать, когда вроде все хорошо, но счастья и радости мало</t>
  </si>
  <si>
    <t>AAA2506142-P</t>
  </si>
  <si>
    <t>978-5-9614-3840-6</t>
  </si>
  <si>
    <t>[покет-серия] Вернуть вкус к жизни: Что делать, когда вроде все хорошо, но счастья и радости мало</t>
  </si>
  <si>
    <t>AAA2511324-P</t>
  </si>
  <si>
    <t>978-5-0063-0172-6</t>
  </si>
  <si>
    <t>Малуф Молли</t>
  </si>
  <si>
    <t>[покет-серия] Вернуть энергию: Как наука помогает женщине сохранить молодость, здоровье и жизненную силу</t>
  </si>
  <si>
    <t>AAA2509094-P</t>
  </si>
  <si>
    <t>978-5-0063-1231-9</t>
  </si>
  <si>
    <t>Беккер Мишель</t>
  </si>
  <si>
    <t>Взаимная поддержка и любовь: Навыки гармоничного общения в паре</t>
  </si>
  <si>
    <t>AAA2312195-P</t>
  </si>
  <si>
    <t>978-5-9614-9527-0</t>
  </si>
  <si>
    <t>Мэнн Сэнди</t>
  </si>
  <si>
    <t>[покет-серия] Взлом психологии: Все психологические теории в одной книге</t>
  </si>
  <si>
    <t>AAA2508116-P</t>
  </si>
  <si>
    <t>978-5-9614-8526-4</t>
  </si>
  <si>
    <t xml:space="preserve"> Робертс Триш</t>
  </si>
  <si>
    <t>Взрывной характер: Как помешать гневу контролировать вашу жизнь</t>
  </si>
  <si>
    <t>AAA2404231-P</t>
  </si>
  <si>
    <t>978-5-9614-9816-5</t>
  </si>
  <si>
    <t>Сордо Пилар</t>
  </si>
  <si>
    <t>Возраст: Инструкция по применению</t>
  </si>
  <si>
    <t>AAA2312233-P</t>
  </si>
  <si>
    <t>978-5-9614-9537-9</t>
  </si>
  <si>
    <t xml:space="preserve">Уолтман Скотт, Кодд III  Трэнт, Пирс Кейси</t>
  </si>
  <si>
    <t>Воспитай в себе стоика: Как мудрость Марка Аврелия, Эпиктета и Сократа поможет преодолеть трудности жизни</t>
  </si>
  <si>
    <t>AAA2408117-P</t>
  </si>
  <si>
    <t>978-5-0063-0090-3</t>
  </si>
  <si>
    <t>Дневник самотерапии</t>
  </si>
  <si>
    <t>[обложка с клапанами] Восьмой навык: От эффективности к величию</t>
  </si>
  <si>
    <t>AAA2502190-P</t>
  </si>
  <si>
    <t>978-5-9614-6943-1</t>
  </si>
  <si>
    <t>[покет-серия] Вредные мысли: Четыре психологические установки, которые мешают нам жить</t>
  </si>
  <si>
    <t>AAA2410182-P</t>
  </si>
  <si>
    <t>978-5-9614-9126-5</t>
  </si>
  <si>
    <t>Ариели Дэн</t>
  </si>
  <si>
    <t>Время заблуждений: Почему умные люди поддаются фальсификациям, распространяют слухи и верят в теории заговора</t>
  </si>
  <si>
    <t>AAA2511248-P</t>
  </si>
  <si>
    <t>978-5-9614-9015-2</t>
  </si>
  <si>
    <t>Кэмерон Донна</t>
  </si>
  <si>
    <t>Время стать добрее: Раскрыть в себе источник доброты и сделать жизнь немного лучше</t>
  </si>
  <si>
    <t>AAA2305083-P</t>
  </si>
  <si>
    <t>978-5-9614-8973-6</t>
  </si>
  <si>
    <t>Мутон Нина</t>
  </si>
  <si>
    <t>Всё начинается с заботы о себе</t>
  </si>
  <si>
    <t>Пер. с голл.</t>
  </si>
  <si>
    <t>AAA2211206-P</t>
  </si>
  <si>
    <t>978-5-9614-8477-9</t>
  </si>
  <si>
    <t>Шабшин Илья</t>
  </si>
  <si>
    <t>Все проблемы в голове: 40 способов помочь себе в разных жизненных ситуациях</t>
  </si>
  <si>
    <t>AAA2602010-P</t>
  </si>
  <si>
    <t>978-5-0063-0459-8</t>
  </si>
  <si>
    <t>24.03.2026</t>
  </si>
  <si>
    <t>[обложка] Всё хреново: Книга о надежде</t>
  </si>
  <si>
    <t>AAA2403139-P</t>
  </si>
  <si>
    <t>978-5-9614-2662-5</t>
  </si>
  <si>
    <t>Эмерсон Клинт</t>
  </si>
  <si>
    <t>Выживание по методике спецслужб: 100 ключевых навыков</t>
  </si>
  <si>
    <t>NNN2604096-P</t>
  </si>
  <si>
    <t>978-5-91671-880-5</t>
  </si>
  <si>
    <t>14.05.2026</t>
  </si>
  <si>
    <t>Моррисон Байрон</t>
  </si>
  <si>
    <t>Выйти из колеи: Как перестать саботировать свою жизнь</t>
  </si>
  <si>
    <t>AAA2308039-P</t>
  </si>
  <si>
    <t>978-5-9614-9162-3</t>
  </si>
  <si>
    <t>Селигман Мартин</t>
  </si>
  <si>
    <t>Выученный оптимизм: Как изменить свой образ мыслей при помощи позитивной психологии</t>
  </si>
  <si>
    <t>AAA2403164-P</t>
  </si>
  <si>
    <t>978-5-9614-9709-0</t>
  </si>
  <si>
    <t>Позитивная психология</t>
  </si>
  <si>
    <t>Хохбрунн Клаудия, Боттлингер Андреа</t>
  </si>
  <si>
    <t>[обложка] Герои книг на приеме у психотерапевта: Прогулки с врачом по страницам литературных произведений. От Ромео и Джульетты до Гарри Поттера</t>
  </si>
  <si>
    <t>AAA2501237-P</t>
  </si>
  <si>
    <t>978-5-9614-5890-9</t>
  </si>
  <si>
    <t>Джонсон Брайан</t>
  </si>
  <si>
    <t>Герой своей жизни: 451 способ активировать ваш скрытый потенциал</t>
  </si>
  <si>
    <t>AAA2312065-P</t>
  </si>
  <si>
    <t>978-5-9614-9505-8</t>
  </si>
  <si>
    <t>Град Лиля</t>
  </si>
  <si>
    <t>Год одиноких: Как перестать бояться быть без других</t>
  </si>
  <si>
    <t>AAA2504090-P</t>
  </si>
  <si>
    <t>978-5-9614-9968-1</t>
  </si>
  <si>
    <t>Машковский Евгений</t>
  </si>
  <si>
    <t>Давай сейчас! Практические советы: как начать, закончить или продолжить любое дело</t>
  </si>
  <si>
    <t>PGR2207084-P</t>
  </si>
  <si>
    <t>978-5-206-00085-6</t>
  </si>
  <si>
    <t>Роббинс Мел</t>
  </si>
  <si>
    <t>Дай пять! Как одна простая привычка изменит вашу жизнь к лучшему</t>
  </si>
  <si>
    <t>AAA2202173-P</t>
  </si>
  <si>
    <t>978-5-9614-7823-5</t>
  </si>
  <si>
    <t>Кауфман Эндрю Д.</t>
  </si>
  <si>
    <t>Дайте шанс «Войне и миру»: Лев Толстой о том, как жить сейчас</t>
  </si>
  <si>
    <t>AAA2412153-P</t>
  </si>
  <si>
    <t>978-5-0063-0382-9</t>
  </si>
  <si>
    <t>Мур Гарет, Геллерсен Хелена</t>
  </si>
  <si>
    <t>Дворец памяти: 70 задач для развития памяти</t>
  </si>
  <si>
    <t>AAA2509240-P</t>
  </si>
  <si>
    <t>978-5-9614-7821-1</t>
  </si>
  <si>
    <t>Тренажеры мозга Гарета Мура</t>
  </si>
  <si>
    <t>Кови Стивен Р., Кови Хэллер Синтия</t>
  </si>
  <si>
    <t>[покет-серия] Девять принципов жизни со смыслом: Менталитет крещендо</t>
  </si>
  <si>
    <t>AAA2403203-P</t>
  </si>
  <si>
    <t>978-5-9614-9719-9</t>
  </si>
  <si>
    <t>Идеи Стивена Кови</t>
  </si>
  <si>
    <t>Бакингем Маркус</t>
  </si>
  <si>
    <t>Делаю, что хочу: Как понять, что ты любишь, и работать в удовольствие</t>
  </si>
  <si>
    <t>AAA2301120-P</t>
  </si>
  <si>
    <t>978-5-9614-8641-4</t>
  </si>
  <si>
    <t>Харрисон Томас, Форестер Брент</t>
  </si>
  <si>
    <t>Деменция: Как жить, если близкий человек болен. Полное руководство по общению, помощи и уходу</t>
  </si>
  <si>
    <t>AAA2212077-P</t>
  </si>
  <si>
    <t>978-5-9614-8552-3</t>
  </si>
  <si>
    <t>Семенчук Алексей</t>
  </si>
  <si>
    <t>Держи баланс! Самоучитель по осознанному движению к счастью</t>
  </si>
  <si>
    <t>PGR2111331-P</t>
  </si>
  <si>
    <t>978-5-907534-39-1</t>
  </si>
  <si>
    <t>Эванс Дэйв, Бернетт Билл</t>
  </si>
  <si>
    <t>[покет-серия] Дизайн вашей жизни: Живите так, как нужно именно вам</t>
  </si>
  <si>
    <t>AAA2511225-P</t>
  </si>
  <si>
    <t>978-5-9614-9531-7</t>
  </si>
  <si>
    <t>Дизайн вашей жизни: Живите так, как нужно именно вам</t>
  </si>
  <si>
    <t>AAA2512266-P</t>
  </si>
  <si>
    <t>978-5-0063-0802-2</t>
  </si>
  <si>
    <t>Дизайн работы мечты: Как улучшить свою рабочую жизнь и быть счастливым не только в выходные</t>
  </si>
  <si>
    <t>AAA2407092-P</t>
  </si>
  <si>
    <t>978-5-0063-0012-5</t>
  </si>
  <si>
    <t>Санд Илсе</t>
  </si>
  <si>
    <t>Дистанция счастья: Правила гармоничной жизни для интровертов и сверхчувствительных людей</t>
  </si>
  <si>
    <t>Пер. с дат.</t>
  </si>
  <si>
    <t>AAA2502130-P</t>
  </si>
  <si>
    <t>978-5-9614-8502-8</t>
  </si>
  <si>
    <t>Книги Илсе Санд</t>
  </si>
  <si>
    <t>Клапес Элизабет</t>
  </si>
  <si>
    <t>Дорогая я, нам надо поговорить: Правильные вопросы для психологической разгрузки</t>
  </si>
  <si>
    <t>AAA2401127-P</t>
  </si>
  <si>
    <t>978-5-9614-9568-3</t>
  </si>
  <si>
    <t>Аткинсон Мэрилин, Чойс Рае Т.</t>
  </si>
  <si>
    <t>Достижение целей: Пошаговая система</t>
  </si>
  <si>
    <t>AAA2512108-P</t>
  </si>
  <si>
    <t>978-5-9614-9153-1</t>
  </si>
  <si>
    <t>Трансформационный коучинг: наука и искусство</t>
  </si>
  <si>
    <t>Оакли Барбара</t>
  </si>
  <si>
    <t>[покет-серия] Думай как математик: Как решать любые задачи быстрее и эффективнее</t>
  </si>
  <si>
    <t>AAA2603220-P</t>
  </si>
  <si>
    <t>978-5-9614-8512-7</t>
  </si>
  <si>
    <t>06.05.2026</t>
  </si>
  <si>
    <t>Думай как математик: Как решать любые задачи быстрее и эффективнее</t>
  </si>
  <si>
    <t>AAA2605128-P</t>
  </si>
  <si>
    <t>978-5-9614-6624-9</t>
  </si>
  <si>
    <t>Бреддок Джон</t>
  </si>
  <si>
    <t>[покет-серия] Думай как шпион: Как принимать решения в критических ситуациях</t>
  </si>
  <si>
    <t>AAA2412194-P</t>
  </si>
  <si>
    <t>978-5-9614-8495-3</t>
  </si>
  <si>
    <t>Нечаева Ольга</t>
  </si>
  <si>
    <t>Женщина с Марса: Искусство жить собой</t>
  </si>
  <si>
    <t>AAA2009083-P</t>
  </si>
  <si>
    <t>978-5-9614-4047-8</t>
  </si>
  <si>
    <t>Кеннеди Дэн</t>
  </si>
  <si>
    <t>Жесткий тайм-менеджмент: Возьмите свою жизнь под контроль</t>
  </si>
  <si>
    <t>AAA2601211-P</t>
  </si>
  <si>
    <t>978-5-9614-7076-5</t>
  </si>
  <si>
    <t>Кроль Леонид</t>
  </si>
  <si>
    <t>[покет-серия] Жизнь без выгорания: Как сохранить эмоциональную устойчивость и позаботиться о себе</t>
  </si>
  <si>
    <t>AAA2603091-P</t>
  </si>
  <si>
    <t>978-5-9614-9243-9</t>
  </si>
  <si>
    <t>Аткинсон Мэрилин</t>
  </si>
  <si>
    <t>Жизнь в потоке: Коучинг</t>
  </si>
  <si>
    <t>AAA2602014-P</t>
  </si>
  <si>
    <t>978-5-9614-8538-7</t>
  </si>
  <si>
    <t>Хидекель Марина</t>
  </si>
  <si>
    <t>Жизнь в ресурсе: Как справиться с эмоциональным выгоранием</t>
  </si>
  <si>
    <t>AAA2304157-P</t>
  </si>
  <si>
    <t>978-5-9614-7860-0</t>
  </si>
  <si>
    <t>Зэйферт Клаудиа, Девива Джейсон</t>
  </si>
  <si>
    <t>Жизнь после травмы: Как помочь близкому с посттравматическим стрессовым расстройством</t>
  </si>
  <si>
    <t>AAA2211271-P</t>
  </si>
  <si>
    <t>978-5-9614-8514-1</t>
  </si>
  <si>
    <t>Абдаал Али</t>
  </si>
  <si>
    <t>Жизнь, игра и продуктивность: Как сфокусироваться на важном и делать это с удовольствием</t>
  </si>
  <si>
    <t>AAA2601209-P</t>
  </si>
  <si>
    <t>978-5-9614-9831-8</t>
  </si>
  <si>
    <t>Джексон Светлана</t>
  </si>
  <si>
    <t>За кадром. О скрытой работе нашей психики</t>
  </si>
  <si>
    <t>PGR2505079-P</t>
  </si>
  <si>
    <t>978-5-206-00153-2</t>
  </si>
  <si>
    <t>Беннет Майкл, Беннет Сара</t>
  </si>
  <si>
    <t>Забей на любовь! Руководство по рациональному выбору партнера</t>
  </si>
  <si>
    <t>AAA1809098-P</t>
  </si>
  <si>
    <t>978-5-9614-6513-6</t>
  </si>
  <si>
    <t>Агинян Марат</t>
  </si>
  <si>
    <t>Зависимость и ее человек: записки психиатра-нарколога</t>
  </si>
  <si>
    <t>NNN2510237-P</t>
  </si>
  <si>
    <t>978-5-00139-992-6</t>
  </si>
  <si>
    <t>Законы жизни на каждый день</t>
  </si>
  <si>
    <t>AAA2601013-P</t>
  </si>
  <si>
    <t>978-5-9614-7893-8</t>
  </si>
  <si>
    <t>Флейшер Евгений</t>
  </si>
  <si>
    <t>Зачем? Как достичь счастливой и гармоничной жизни</t>
  </si>
  <si>
    <t>PGR2312114-P</t>
  </si>
  <si>
    <t>978-5-206-00313-0</t>
  </si>
  <si>
    <t xml:space="preserve">Колосова  Светлана</t>
  </si>
  <si>
    <t>Звезда эфира : Прокачиваем навыки онлайн-коммуникации</t>
  </si>
  <si>
    <t>PGR2107045-P</t>
  </si>
  <si>
    <t>978-5-907534-06-3</t>
  </si>
  <si>
    <t>Бернс Дэвид</t>
  </si>
  <si>
    <t>Здоровая самооценка: 10 шагов к уверенности в себе</t>
  </si>
  <si>
    <t>AAA2511232-P</t>
  </si>
  <si>
    <t>978-5-9614-8773-2</t>
  </si>
  <si>
    <t>Дулепина Ольга</t>
  </si>
  <si>
    <t>Здоровые отношения: Почему так трудно просто любить друг друга</t>
  </si>
  <si>
    <t>AAA2412019-P</t>
  </si>
  <si>
    <t>978-5-9614-9040-4</t>
  </si>
  <si>
    <t>Козорез Сергей</t>
  </si>
  <si>
    <t>Зеркальная природа людей. Мир отражений</t>
  </si>
  <si>
    <t>PGR2510207-P</t>
  </si>
  <si>
    <t>978-5-206-00616-2</t>
  </si>
  <si>
    <t>Зотимова Алиса</t>
  </si>
  <si>
    <t>Из Москвы в Лондон. Заметки о счастье и бизнесе</t>
  </si>
  <si>
    <t>LGA2105007-P</t>
  </si>
  <si>
    <t>978-5-907470-01-9</t>
  </si>
  <si>
    <t>Белашева Ирина, Мужицкая Татьяна</t>
  </si>
  <si>
    <t>[покет-серия] Измени жизнь, оставаясь собой: Личный ребрендинг</t>
  </si>
  <si>
    <t>AAA2501235-P</t>
  </si>
  <si>
    <t>978-5-9614-8504-2</t>
  </si>
  <si>
    <t>Брегман Питер, Джейкобсон Хауи</t>
  </si>
  <si>
    <t>Изменить других можно! Как помочь сотрудникам, друзьям и любимым расти и развиваться</t>
  </si>
  <si>
    <t>AAA2508023-P</t>
  </si>
  <si>
    <t>978-5-9614-8048-1</t>
  </si>
  <si>
    <t>Макарушкина Мария</t>
  </si>
  <si>
    <t>[покет-серия] Интервью с самим собой: Индивидуальный ассесмент как инструмент самоанализа руководителя</t>
  </si>
  <si>
    <t>AAA2311235-P</t>
  </si>
  <si>
    <t>978-5-9614-8505-9</t>
  </si>
  <si>
    <t>Иванова Мария</t>
  </si>
  <si>
    <t>Искусство внутренней свободы: Живи по своим правилам</t>
  </si>
  <si>
    <t>PGA2109188-P</t>
  </si>
  <si>
    <t>978-5-907534-03-2</t>
  </si>
  <si>
    <t>Лоро Доминик</t>
  </si>
  <si>
    <t>[переплет] Искусство жить просто: Как избавиться от лишнего и обогатить свою жизнь</t>
  </si>
  <si>
    <t>AAA2509101-P</t>
  </si>
  <si>
    <t>978-5-9614-6950-9</t>
  </si>
  <si>
    <t>Баннов Роман</t>
  </si>
  <si>
    <t>Исполняй себя: Как мы создаем собственную жизнь</t>
  </si>
  <si>
    <t>PGR2506195-P</t>
  </si>
  <si>
    <t>978-5-206-00523-3</t>
  </si>
  <si>
    <t>Инина Наталия</t>
  </si>
  <si>
    <t>Испытание детством: Встреча с прошлым во имя настоящего и будущего</t>
  </si>
  <si>
    <t>AAA2508112-P</t>
  </si>
  <si>
    <t>978-5-9614-9969-8</t>
  </si>
  <si>
    <t>Асфари Зарина</t>
  </si>
  <si>
    <t>История искусства для развития навыков будущего: Девять уроков от Рафаэля, Пикассо, Врубеля и других великих художников</t>
  </si>
  <si>
    <t>AAA2406022-P</t>
  </si>
  <si>
    <t>978-5-9614-9907-0</t>
  </si>
  <si>
    <t>Хоффман Дамона</t>
  </si>
  <si>
    <t>К чёрту сказки: Правда и мифы о поиске идеального партнера</t>
  </si>
  <si>
    <t>AAA2406057-P</t>
  </si>
  <si>
    <t>978-5-9614-9917-9</t>
  </si>
  <si>
    <t>Карнеги Дейл</t>
  </si>
  <si>
    <t>Как выработать уверенность в себе и влиять на людей, выступая публично</t>
  </si>
  <si>
    <t>AAA2405092-P</t>
  </si>
  <si>
    <t>978-5-9614-9857-8</t>
  </si>
  <si>
    <t>Кови Шон, Хьюлинг Джим, Макчесни Крис</t>
  </si>
  <si>
    <t>Как достичь цели: Четыре дисциплины исполнения</t>
  </si>
  <si>
    <t>AAA2603022-P</t>
  </si>
  <si>
    <t>978-5-9614-6120-6</t>
  </si>
  <si>
    <t>Сиверс Дерек</t>
  </si>
  <si>
    <t>Как жить: 27 противоречивых ответов и один странный вопрос</t>
  </si>
  <si>
    <t>AAA2307179-P</t>
  </si>
  <si>
    <t>978-5-9614-9145-6</t>
  </si>
  <si>
    <t>Как завоевывать друзей и оказывать влияние на людей</t>
  </si>
  <si>
    <t>AAA2405090-P</t>
  </si>
  <si>
    <t>978-5-9614-9855-4</t>
  </si>
  <si>
    <t>Бозер Ульрих</t>
  </si>
  <si>
    <t>[покет-серия] Как научиться учиться: Навыки осознанного усвоения знаний</t>
  </si>
  <si>
    <t>AAA2505184-P</t>
  </si>
  <si>
    <t>978-5-0063-0828-2</t>
  </si>
  <si>
    <t>Эннесли Майк</t>
  </si>
  <si>
    <t>[покет-серия] Как общаться с трудными людьми: Слышать, понимать, договариваться и справляться с эмоциями</t>
  </si>
  <si>
    <t>AAA2506087-P</t>
  </si>
  <si>
    <t>978-5-9614-9211-8</t>
  </si>
  <si>
    <t>Как перестать беспокоиться и начать жить</t>
  </si>
  <si>
    <t>AAA2405091-P</t>
  </si>
  <si>
    <t>978-5-9614-9856-1</t>
  </si>
  <si>
    <t>Кардальда Альба</t>
  </si>
  <si>
    <t>Как посылать к черту вежливо</t>
  </si>
  <si>
    <t>AAA2601117-P</t>
  </si>
  <si>
    <t>978-5-9614-9570-6</t>
  </si>
  <si>
    <t>Как справляться с трудными ситуациями: Стресс, тревога, перемены, кризис, проблемы в отношениях</t>
  </si>
  <si>
    <t>AAA2209161-P</t>
  </si>
  <si>
    <t>978-5-9614-8340-6</t>
  </si>
  <si>
    <t>Сесно Фрэнк</t>
  </si>
  <si>
    <t>[покет-серия] Как узнать всё что нужно, задавая правильные вопросы</t>
  </si>
  <si>
    <t>AAA2511321-P</t>
  </si>
  <si>
    <t>978-5-9614-8919-4</t>
  </si>
  <si>
    <t>Морозов Игорь, Айсина Оксана</t>
  </si>
  <si>
    <t>Карьера? Легко! Невредные советы, как найти свою вершину и покорить ее</t>
  </si>
  <si>
    <t>PGR2209151-P</t>
  </si>
  <si>
    <t>978-5-206-00114-3</t>
  </si>
  <si>
    <t>Тран Эми</t>
  </si>
  <si>
    <t>Книга любви к себе: Терапевтическая стратегия поддержки и принятия себя</t>
  </si>
  <si>
    <t>AAA2511229-P</t>
  </si>
  <si>
    <t>978-5-9614-9012-1</t>
  </si>
  <si>
    <t>Вандеркам Лора</t>
  </si>
  <si>
    <t>[переплет] Книга о потерянном времени: У вас больше возможностей, чем вы думаете</t>
  </si>
  <si>
    <t>AAA2601026-P</t>
  </si>
  <si>
    <t>978-5-9614-6802-1</t>
  </si>
  <si>
    <t>Кимси-Хаус Карен, Кимси-Хаус Генри, Сандал Филлип, Уитворт Лаура</t>
  </si>
  <si>
    <t>Коактивный коучинг: Проверенные принципы личностного и профессионального роста</t>
  </si>
  <si>
    <t>AAA2507080-P</t>
  </si>
  <si>
    <t>978-5-9614-2827-8</t>
  </si>
  <si>
    <t>Гриева Александра</t>
  </si>
  <si>
    <t>Контакт с телом: Как научиться слышать себя, чтобы жить аутентично</t>
  </si>
  <si>
    <t>AAA2511083-P</t>
  </si>
  <si>
    <t>978-5-9614-8314-7</t>
  </si>
  <si>
    <t>Елфимова Елена</t>
  </si>
  <si>
    <t>Кризисы личных отношений: Как распознать и преодолеть</t>
  </si>
  <si>
    <t>PGR2412130-P</t>
  </si>
  <si>
    <t>978-5-907274-76-1</t>
  </si>
  <si>
    <t>Торопова Анастасия</t>
  </si>
  <si>
    <t>Культ красоты: Как общество заставляет женщин изменять свои тела</t>
  </si>
  <si>
    <t>AAA2504111-P</t>
  </si>
  <si>
    <t>978-5-0063-0712-4</t>
  </si>
  <si>
    <t>Баллестерос Эмили</t>
  </si>
  <si>
    <t>Лекарство от выгорания: Как перестать быть удобным для всех и не работать на износ</t>
  </si>
  <si>
    <t>AAA2407083-P</t>
  </si>
  <si>
    <t>978-5-0063-0008-8</t>
  </si>
  <si>
    <t>Афонина Мария</t>
  </si>
  <si>
    <t>Лисосказки. Тёплые истории о поиске уверенности и обретении внутренней силы</t>
  </si>
  <si>
    <t>PGR2503122-P</t>
  </si>
  <si>
    <t>978-5-206-00342-0</t>
  </si>
  <si>
    <t>Личное лидерство: Семь навыков независимой и осмысленной жизни</t>
  </si>
  <si>
    <t>AAA2412043-P</t>
  </si>
  <si>
    <t>978-5-0063-0365-2</t>
  </si>
  <si>
    <t>Стэйпли Лайонел</t>
  </si>
  <si>
    <t>Личность и групповая динамика: Как каждый из нас влияет на окружающих</t>
  </si>
  <si>
    <t>AAA2604070-P</t>
  </si>
  <si>
    <t>978-5-9614-7809-9</t>
  </si>
  <si>
    <t>Сенницкая Анна</t>
  </si>
  <si>
    <t>Лишний вес не вернется: Пищевое поведение под контролем</t>
  </si>
  <si>
    <t>AAA2406149-P</t>
  </si>
  <si>
    <t>978-5-9614-9961-2</t>
  </si>
  <si>
    <t>Коупли Лора</t>
  </si>
  <si>
    <t>Любить — не больно: Как залечить травмы прошлого и построить гармоничные отношения</t>
  </si>
  <si>
    <t>AAA2308185-P</t>
  </si>
  <si>
    <t>978-5-9614-9212-5</t>
  </si>
  <si>
    <t>Малинина Ольга, Орлова Анна</t>
  </si>
  <si>
    <t>Любовная травма: Как пережить расставание и прочие неприятности</t>
  </si>
  <si>
    <t>AAA2306087-P</t>
  </si>
  <si>
    <t>978-5-9614-9038-1</t>
  </si>
  <si>
    <t>Чэнь Юн Кан</t>
  </si>
  <si>
    <t>[покет-серия] Любовь внутри: Путь от одиночества к по-настоящему близким отношениям</t>
  </si>
  <si>
    <t>AAA2503222-P</t>
  </si>
  <si>
    <t>978-5-0063-0646-2</t>
  </si>
  <si>
    <t>Суним Гемин</t>
  </si>
  <si>
    <t xml:space="preserve">Любовь к несовершенству:  Принять себя и других со всеми недостатками</t>
  </si>
  <si>
    <t>AAA2509090-P</t>
  </si>
  <si>
    <t>978-5-9614-2710-3</t>
  </si>
  <si>
    <t>Хольцберг Оскар</t>
  </si>
  <si>
    <t>Любовь нуждается в любви: Как сохранить чувства на всю жизнь</t>
  </si>
  <si>
    <t>AAA2406141-P</t>
  </si>
  <si>
    <t>978-5-9614-9955-1</t>
  </si>
  <si>
    <t>Мастерство жизни: Внутренняя динамика развития</t>
  </si>
  <si>
    <t>AAA2511255-P</t>
  </si>
  <si>
    <t>978-5-9614-8686-5</t>
  </si>
  <si>
    <t>Кристиан Брайан, Гриффитс Том</t>
  </si>
  <si>
    <t>Математика жизни: Простые алгоритмы принятия верных решений</t>
  </si>
  <si>
    <t>AAA2509112-P</t>
  </si>
  <si>
    <t>978-5-9614-3914-4</t>
  </si>
  <si>
    <t>Новоселова Елена</t>
  </si>
  <si>
    <t>Материнская власть: Психологические последствия в жизни взрослых людей. Как начать жить своей жизнью</t>
  </si>
  <si>
    <t>AAA2410015-P</t>
  </si>
  <si>
    <t>978-5-9614-8541-7</t>
  </si>
  <si>
    <t>Паддикомб Энди</t>
  </si>
  <si>
    <t>[покет-серия] Медитация и осознанность. 10 минут в день, которые приведут ваши мысли в порядок.</t>
  </si>
  <si>
    <t>NNN2511066-P</t>
  </si>
  <si>
    <t>978-5-00223-019-8</t>
  </si>
  <si>
    <t>Ровира Алекс</t>
  </si>
  <si>
    <t>Менталитет удачи: 30 шагов, чтобы научиться управлять своей жизнью</t>
  </si>
  <si>
    <t>AAA2412189-P</t>
  </si>
  <si>
    <t>978-5-9614-9510-2</t>
  </si>
  <si>
    <t>Кукла Андре</t>
  </si>
  <si>
    <t>[покет-серия] Ментальные ловушки: Глупости, которые делают разумные люди, чтобы испортить себе жизнь</t>
  </si>
  <si>
    <t>AAA2602140-P</t>
  </si>
  <si>
    <t>978-5-9614-8724-4</t>
  </si>
  <si>
    <t>Киселев Максим</t>
  </si>
  <si>
    <t>[покет-серия] Ментальные привычки критически мыслящего человека</t>
  </si>
  <si>
    <t>AAA2403076-P</t>
  </si>
  <si>
    <t>978-5-9614-9687-1</t>
  </si>
  <si>
    <t>Чубаров Владислав</t>
  </si>
  <si>
    <t>Меня всё бесит! Как преобразовать гнев в созидательную энергию</t>
  </si>
  <si>
    <t>AAA2502033-P</t>
  </si>
  <si>
    <t>978-5-9614-9791-5</t>
  </si>
  <si>
    <t>Твиггер Роберт</t>
  </si>
  <si>
    <t>Микро-мастер-классы: Как освоить максимум интересного быстро и легко</t>
  </si>
  <si>
    <t>a180311</t>
  </si>
  <si>
    <t>978-5-9614-6610-2</t>
  </si>
  <si>
    <t>Сосновцева Елена</t>
  </si>
  <si>
    <t>Мозг в порядке: Как улучшить память, справиться с перегрузкой и вернуть ясность ума</t>
  </si>
  <si>
    <t>AAA2310058-P</t>
  </si>
  <si>
    <t>978-5-9614-9326-9</t>
  </si>
  <si>
    <t>Рок Дэвид</t>
  </si>
  <si>
    <t>МОЗГ. Инструкция по применению: Как использовать свои возможности по максимуму и без перегрузок</t>
  </si>
  <si>
    <t>AAA2605010-P</t>
  </si>
  <si>
    <t>978-5-9614-7020-8</t>
  </si>
  <si>
    <t>Нисбетт Ричард</t>
  </si>
  <si>
    <t>[покет-серия] Мозгоускорители: Как научиться эффективно мыслить, используя приемы из разных наук</t>
  </si>
  <si>
    <t>AAA2503027-P</t>
  </si>
  <si>
    <t>978-5-9614-9424-2</t>
  </si>
  <si>
    <t>Новара Даниэле</t>
  </si>
  <si>
    <t>[покет-серия] Мои любимые триггеры: Что делать, когда вас задевают за живое</t>
  </si>
  <si>
    <t>AAA2502297-P</t>
  </si>
  <si>
    <t>978-5-0063-0596-0</t>
  </si>
  <si>
    <t>Мой возраст — мои правила: Психология здорового старения</t>
  </si>
  <si>
    <t>AAA2408119-P</t>
  </si>
  <si>
    <t>978-5-0063-0092-7</t>
  </si>
  <si>
    <t>Бэйли Крис</t>
  </si>
  <si>
    <t>Мой продуктивный год: Как я проверил самые известные методики личной эффективности на себе</t>
  </si>
  <si>
    <t>AAA2512192-P</t>
  </si>
  <si>
    <t>978-5-0063-1632-4</t>
  </si>
  <si>
    <t>Рамирес Леффлер Патрисия</t>
  </si>
  <si>
    <t>Мой спокойный год: Техники для приведения в порядок своих чувств, мыслей и поступков</t>
  </si>
  <si>
    <t>AAA2502034-P</t>
  </si>
  <si>
    <t>978-5-9614-9572-0</t>
  </si>
  <si>
    <t>Моя внутренняя сила: Как не бояться рассчитывать на себя</t>
  </si>
  <si>
    <t>AAA2401141-P</t>
  </si>
  <si>
    <t>978-5-9614-9571-3</t>
  </si>
  <si>
    <t xml:space="preserve">Завьялова  Даша</t>
  </si>
  <si>
    <t>[покет-серия] Мы живем на Сатурне: Как помочь человеку с пограничным расстройством личности</t>
  </si>
  <si>
    <t>AAA2502294-P</t>
  </si>
  <si>
    <t>978-5-9614-9565-2</t>
  </si>
  <si>
    <t>Наука о здоровье</t>
  </si>
  <si>
    <t>Блом Филипп</t>
  </si>
  <si>
    <t>Надежда как выбор: Как сохранять ясность и стойкость в непростое время</t>
  </si>
  <si>
    <t>AAA2408138-P</t>
  </si>
  <si>
    <t>978-5-0063-0104-7</t>
  </si>
  <si>
    <t>Непряхин Никита, Скворцов Дмитрий</t>
  </si>
  <si>
    <t>Надо думать! Тренажер мышления</t>
  </si>
  <si>
    <t>AAA2502288-P</t>
  </si>
  <si>
    <t>978-5-9614-9457-0</t>
  </si>
  <si>
    <t>Колризер Джордж</t>
  </si>
  <si>
    <t>[покет-серия] Найти выход: Как сохранить самообладание и выбраться из тупиковой ситуации</t>
  </si>
  <si>
    <t>AAA2401057-P</t>
  </si>
  <si>
    <t>978-5-9614-9551-5</t>
  </si>
  <si>
    <t>Пыжьянова Лариса, Амелина Тамара</t>
  </si>
  <si>
    <t>Не всякая вина виновата: Как простить себя и жить в гармонии</t>
  </si>
  <si>
    <t>AAA2311028-P</t>
  </si>
  <si>
    <t>978-5-9614-9439-6</t>
  </si>
  <si>
    <t>Эллот Кристен, Дуарте Наташа</t>
  </si>
  <si>
    <t>Не корми свою тревогу: Как питание влияет на наше настроение</t>
  </si>
  <si>
    <t>AAA2506009-P</t>
  </si>
  <si>
    <t>978-5-9614-9988-9</t>
  </si>
  <si>
    <t>Бегли Шэрон</t>
  </si>
  <si>
    <t>[покет-серия] Не могу остановиться: откуда берутся навязчивые состояния и как от них избавиться</t>
  </si>
  <si>
    <t>NNN2403239-P</t>
  </si>
  <si>
    <t>978-5-00223-327-4</t>
  </si>
  <si>
    <t>Коэн Айлин, Ричардсон Эдрика</t>
  </si>
  <si>
    <t>Не терпи, если не устраивает: Как сделать отношения честными и гармоничными</t>
  </si>
  <si>
    <t>AAA2411119-P</t>
  </si>
  <si>
    <t>978-5-0063-0327-0</t>
  </si>
  <si>
    <t>Усов Михаил</t>
  </si>
  <si>
    <t>Невидимый клоун: Как не бояться быть собой</t>
  </si>
  <si>
    <t>AAA2005064-P</t>
  </si>
  <si>
    <t>978-5-9614-3670-9</t>
  </si>
  <si>
    <t>Канова Лучано</t>
  </si>
  <si>
    <t>Невидимый слон: Как не попадать в ментальные ловушки</t>
  </si>
  <si>
    <t>AAA2312182-P</t>
  </si>
  <si>
    <t>978-5-9614-9520-1</t>
  </si>
  <si>
    <t>Ампе Петер, Раммант Эмили</t>
  </si>
  <si>
    <t>Нейроотличные: Как жить, используя сильные стороны ваших ментальных особенностей</t>
  </si>
  <si>
    <t>AAA2410296-P</t>
  </si>
  <si>
    <t>978-5-9614-9023-7</t>
  </si>
  <si>
    <t>Стрип Пег</t>
  </si>
  <si>
    <t>Нелюбимая дочь: вопросы и ответы</t>
  </si>
  <si>
    <t>NNN2412219-P</t>
  </si>
  <si>
    <t>978-5-00139-251-4</t>
  </si>
  <si>
    <t>Нелюбимая дочь. Как оставить в прошлом травматичные отношения с матерью и начать новую жизнь</t>
  </si>
  <si>
    <t>NNN2308087-P</t>
  </si>
  <si>
    <t>978-5-00139-093-0</t>
  </si>
  <si>
    <t>Эстеп Ричард</t>
  </si>
  <si>
    <t>Никто не поможет: Подробности преступлений 40 самых опасных маньяков в истории</t>
  </si>
  <si>
    <t>AAA2508124-P</t>
  </si>
  <si>
    <t>978-5-9614-9359-7</t>
  </si>
  <si>
    <t>Гладуэлл Малкольм</t>
  </si>
  <si>
    <t>Новый переломный момент: Социальная инженерия, информационные эпидемии и режиссирование глобальных процессов</t>
  </si>
  <si>
    <t>AAA2411100-P</t>
  </si>
  <si>
    <t>978-5-0063-0317-1</t>
  </si>
  <si>
    <t>Общение с пожилыми родителями: Как сохранить любовь и терпение</t>
  </si>
  <si>
    <t>AAA2511334-P</t>
  </si>
  <si>
    <t>978-5-9614-8244-7</t>
  </si>
  <si>
    <t>[переплет] Один на один с жизнью: Книга, которая поможет найти смысл</t>
  </si>
  <si>
    <t>AAA2512100-P</t>
  </si>
  <si>
    <t>978-5-0063-0223-5</t>
  </si>
  <si>
    <t>Белят Алина</t>
  </si>
  <si>
    <t>Одно расстройство: Как жить с ментальными особенностями</t>
  </si>
  <si>
    <t>AAA2104074-P</t>
  </si>
  <si>
    <t>978-5-9614-7388-9</t>
  </si>
  <si>
    <t>Ламберти Уиллиам</t>
  </si>
  <si>
    <t>Оранжада. Место под Солнцем. Метафорическая сказка, которая открывает новые смысловые грани жизни</t>
  </si>
  <si>
    <t>PGR2304137-P</t>
  </si>
  <si>
    <t>978-5-206-00215-7</t>
  </si>
  <si>
    <t>Обложка + суперобложка</t>
  </si>
  <si>
    <t>Геращенко (Герн) Наталья</t>
  </si>
  <si>
    <t>Осмысленно, творчески, счастливо. Как понять, чего хочешь, и жить так, как мечтаешь</t>
  </si>
  <si>
    <t>PGR2207040-P</t>
  </si>
  <si>
    <t>978-5-206-00081-8</t>
  </si>
  <si>
    <t>[покет-серия] Осознанное неподчинение: Как реагировать на спорные распоряжения</t>
  </si>
  <si>
    <t>AAA2509176-P</t>
  </si>
  <si>
    <t>978-5-9614-8944-6</t>
  </si>
  <si>
    <t>Кателла Стефани, Маккей Мэтью</t>
  </si>
  <si>
    <t>Останови свои эмоциональные качели: Осознаю, принимаю, управляю, переключаюсь</t>
  </si>
  <si>
    <t>AAA2407007-P</t>
  </si>
  <si>
    <t>978-5-9614-9987-2</t>
  </si>
  <si>
    <t>Лестер Джейми</t>
  </si>
  <si>
    <t>Остановись и подумай: Идеи и стратегии, помогающие принимать верные решения</t>
  </si>
  <si>
    <t>AAA2402014-P</t>
  </si>
  <si>
    <t>978-5-9614-9603-1</t>
  </si>
  <si>
    <t>Бурго Джозеф</t>
  </si>
  <si>
    <t>[покет-серия] Осторожно, нарцисс! Как жить и работать с этими самовлюбленными типами</t>
  </si>
  <si>
    <t>AAA2404126-P</t>
  </si>
  <si>
    <t>978-5-9614-9786-1</t>
  </si>
  <si>
    <t>От всего сердца: Как слушать, поддерживать, утешать и не растратить себя</t>
  </si>
  <si>
    <t>AAA2503054-P</t>
  </si>
  <si>
    <t>978-5-9614-8588-2</t>
  </si>
  <si>
    <t>Швец Владимир</t>
  </si>
  <si>
    <t>От джуна до сеньора: Как стать востребованным разработчиком</t>
  </si>
  <si>
    <t>AAA2512200-P</t>
  </si>
  <si>
    <t>978-5-9614-8233-1</t>
  </si>
  <si>
    <t>Гюнеш Адем</t>
  </si>
  <si>
    <t>Отпустить и расслабиться: Как не давать гневу, страху и другим негативным чувствам выбивать вас из колеи</t>
  </si>
  <si>
    <t>Пер. с тур.</t>
  </si>
  <si>
    <t>AAA2305069-P</t>
  </si>
  <si>
    <t>978-5-9614-8970-5</t>
  </si>
  <si>
    <t>Кауфман Скотт, Файнгольд Джордин</t>
  </si>
  <si>
    <t>Пересобрать себя: Как восстановиться после психологической травмы и стать сильнее</t>
  </si>
  <si>
    <t>AAA2211122-P</t>
  </si>
  <si>
    <t>978-5-9614-8455-7</t>
  </si>
  <si>
    <t>Исаев Иван</t>
  </si>
  <si>
    <t>Перестань работать и начни зарабатывать. 10 секретов, как выжать максимум из каждой минуты</t>
  </si>
  <si>
    <t>PGR2307096-P</t>
  </si>
  <si>
    <t>978-5-206-00250-8</t>
  </si>
  <si>
    <t>Тиффин Лиззи</t>
  </si>
  <si>
    <t>Плохие девчонки Древней Греции: Невероятные истории неистовых, страстных, хитрых и бескомпромиссных богинь</t>
  </si>
  <si>
    <t>AAA2603076-P</t>
  </si>
  <si>
    <t>978-5-9614-9498-3</t>
  </si>
  <si>
    <t>Погружение в себя: Как понять, почему мы думаем одно, чувствуем другое, а поступаем как всегда</t>
  </si>
  <si>
    <t>AAA2509008-P</t>
  </si>
  <si>
    <t>978-5-9614-2834-6</t>
  </si>
  <si>
    <t>[покет-серия] Позитивная иррациональность: Как извлекать выгоду из своих нелогичных поступков</t>
  </si>
  <si>
    <t>AAA2410292-P</t>
  </si>
  <si>
    <t>978-5-9614-8663-6</t>
  </si>
  <si>
    <t>Дейли Эллина</t>
  </si>
  <si>
    <t>Пока мне не исполнилось 30: Что важно понять и сделать уже сейчас</t>
  </si>
  <si>
    <t>AAA2509088-P</t>
  </si>
  <si>
    <t>978-5-9614-7255-4</t>
  </si>
  <si>
    <t>[переплет] Пока мне не исполнилось 30: Что важно понять и сделать уже сейчас</t>
  </si>
  <si>
    <t>AAA2505182-P</t>
  </si>
  <si>
    <t>978-5-0063-0827-5</t>
  </si>
  <si>
    <t>Прайор Хенна</t>
  </si>
  <si>
    <t>Полезная неловкость. Как превратить смущение в суперсилу</t>
  </si>
  <si>
    <t>PGR2512014-P</t>
  </si>
  <si>
    <t>978-5-206-00651-3</t>
  </si>
  <si>
    <t>Степаненко Таня</t>
  </si>
  <si>
    <t>Полезная саморефлексия: Книга-практикум для искреннего разговора с собой</t>
  </si>
  <si>
    <t>AAA2412183-P</t>
  </si>
  <si>
    <t>978-5-9614-7309-4</t>
  </si>
  <si>
    <t>Лидс Реджина</t>
  </si>
  <si>
    <t>[покет-серия] Полный порядок: Понедельный план борьбы с хаосом на работе, дома и в голове</t>
  </si>
  <si>
    <t>AAA2601019-P</t>
  </si>
  <si>
    <t>978-5-9614-9618-5</t>
  </si>
  <si>
    <t>Бутман Николас</t>
  </si>
  <si>
    <t>Понравиться за 90 секунд: Как завоевать внимание и расположить к себе</t>
  </si>
  <si>
    <t>AAA2509239-P</t>
  </si>
  <si>
    <t>978-5-9614-8736-7</t>
  </si>
  <si>
    <t>Романина Инна</t>
  </si>
  <si>
    <t>Понять себя и других: Психологические знания, которые нужны каждому человеку</t>
  </si>
  <si>
    <t>AAA2404082-P</t>
  </si>
  <si>
    <t>978-5-9614-9768-7</t>
  </si>
  <si>
    <t>Сентис Викран</t>
  </si>
  <si>
    <t>Почему мы ссоримся с любимыми и как построить здоровые отношения без обид</t>
  </si>
  <si>
    <t>AAA2302012-P</t>
  </si>
  <si>
    <t>978-5-9614-8660-5</t>
  </si>
  <si>
    <t>Крегер Отто, Тьюсен Джанет</t>
  </si>
  <si>
    <t>Почему мы такие? 16 типов личности, определяющих, как мы живём, работаем и любим</t>
  </si>
  <si>
    <t>AAA2512260-P</t>
  </si>
  <si>
    <t>978-5-9614-5161-0</t>
  </si>
  <si>
    <t>Томилова Анастасия</t>
  </si>
  <si>
    <t>Почему я не худею: Дело не в диете, дело – в голове</t>
  </si>
  <si>
    <t>AAA2411136-P</t>
  </si>
  <si>
    <t>978-5-9614-8137-2</t>
  </si>
  <si>
    <t>Правда и мифы о психосоматике: Как тело и психика влияют друг на друга</t>
  </si>
  <si>
    <t>AAA2604065-P</t>
  </si>
  <si>
    <t>978-5-9614-9672-7</t>
  </si>
  <si>
    <t>Темплар Ричард</t>
  </si>
  <si>
    <t>[покет-серия] Правила достижения цели: Как получать то, что хочешь</t>
  </si>
  <si>
    <t>NNN2212080-P</t>
  </si>
  <si>
    <t>978-5-00139-923-0</t>
  </si>
  <si>
    <t>Правила Темплара</t>
  </si>
  <si>
    <t>Правила жизни: Как добиться успеха и стать счастливым</t>
  </si>
  <si>
    <t>AAA2602173-P</t>
  </si>
  <si>
    <t>978-5-9614-1762-3</t>
  </si>
  <si>
    <t>[покет-серия] Правила карьеры: Все, что нужно для служебного роста</t>
  </si>
  <si>
    <t>AAA2212091-P</t>
  </si>
  <si>
    <t>978-5-9614-8556-1</t>
  </si>
  <si>
    <t>Стоун Роджер</t>
  </si>
  <si>
    <t>Правила Стоуна: Как преуспеть в бизнесе, политике и жизни</t>
  </si>
  <si>
    <t>AAA1806017-P</t>
  </si>
  <si>
    <t>978-5-9614-2376-1</t>
  </si>
  <si>
    <t>[покет-серия] Правила, которые стоит нарушать</t>
  </si>
  <si>
    <t>AAA2502032-P</t>
  </si>
  <si>
    <t>978-5-9614-8551-6</t>
  </si>
  <si>
    <t>Привязанность и сепарация: Как выбирать себя, а не родителей, если вы уже выросли</t>
  </si>
  <si>
    <t>AAA2502148-P</t>
  </si>
  <si>
    <t>978-5-9614-4839-9</t>
  </si>
  <si>
    <t>Холт Кэтрин</t>
  </si>
  <si>
    <t>Принимай свое тело и его особенности: Работа с эмоциями, триггерами, комплексами, прошлым опытом</t>
  </si>
  <si>
    <t>AAA2407009-P</t>
  </si>
  <si>
    <t>978-5-9614-9989-6</t>
  </si>
  <si>
    <t>Рязанцев Александр</t>
  </si>
  <si>
    <t>[покет-серия] Принять и пережить потерю, горе, утрату: Как научиться снова радоваться жизни</t>
  </si>
  <si>
    <t>AAA2511074-P</t>
  </si>
  <si>
    <t>978-5-9614-9673-4</t>
  </si>
  <si>
    <t xml:space="preserve">Оманд  Дэвид</t>
  </si>
  <si>
    <t>[покет-серия] Прицельное мышление: Принятие решений по методикам британских спецслужб</t>
  </si>
  <si>
    <t>AAA2404060-P</t>
  </si>
  <si>
    <t>978-5-9614-9766-3</t>
  </si>
  <si>
    <t>Бриджес Уильям, Бриджес Сьюзен</t>
  </si>
  <si>
    <t>[покет-серия] Пройти через: Книга, которая поможет пережить перемены</t>
  </si>
  <si>
    <t>AAA2310201-P</t>
  </si>
  <si>
    <t>978-5-9614-9387-0</t>
  </si>
  <si>
    <t>ван Эссен Таня, Шувенбург Хенри</t>
  </si>
  <si>
    <t>Прокрастинация - это не лень: Избавляемся от привычки откладывать</t>
  </si>
  <si>
    <t>AAA2503026-P</t>
  </si>
  <si>
    <t>978-5-9614-8523-3</t>
  </si>
  <si>
    <t>Джейкоб Гитта, ван Гендерен Ханни, Зибауэр Лаура</t>
  </si>
  <si>
    <t>Прощай, негатив! Как избавиться от разрушительных паттернов поведения</t>
  </si>
  <si>
    <t>AAA2408107-P</t>
  </si>
  <si>
    <t>978-5-0063-0087-3</t>
  </si>
  <si>
    <t>Абитбеков Айболат</t>
  </si>
  <si>
    <t>Проще, чем кажется. Стратегии поступления в топовый зарубежный университет</t>
  </si>
  <si>
    <t>ZGZ2505144-P</t>
  </si>
  <si>
    <t>978-601-82155-4-4</t>
  </si>
  <si>
    <t>Пезешкиан Хамид , Фойгт Конни</t>
  </si>
  <si>
    <t>[покет-серия] Психовампиры: Как общаться с теми, кто крадет у нас энергию</t>
  </si>
  <si>
    <t>AAA2502194-P</t>
  </si>
  <si>
    <t>978-5-9614-9315-3</t>
  </si>
  <si>
    <t>Хорган Джон</t>
  </si>
  <si>
    <t>Психология террориста: Почему люди начинают убивать ради идеи</t>
  </si>
  <si>
    <t>AAA2511089-P</t>
  </si>
  <si>
    <t>978-5-9614-9494-5</t>
  </si>
  <si>
    <t>Далримпл Теодор</t>
  </si>
  <si>
    <t>Психология убийцы: Откровения тюремного психиатра</t>
  </si>
  <si>
    <t>AAA2207025-P</t>
  </si>
  <si>
    <t>978-5-9614-8132-7</t>
  </si>
  <si>
    <t>Бахим Саша</t>
  </si>
  <si>
    <t>Психотерапия на каждый день: 100 техник для счастливой и спокойной жизни</t>
  </si>
  <si>
    <t>AAA2411210-P</t>
  </si>
  <si>
    <t>978-5-9614-8525-7</t>
  </si>
  <si>
    <t>Россохин Андрей</t>
  </si>
  <si>
    <t>Путешествие к подлинному Я: Практика психоанализа</t>
  </si>
  <si>
    <t>AAA2504089-P</t>
  </si>
  <si>
    <t>978-5-0063-0141-2</t>
  </si>
  <si>
    <t>Мэй Ле Йен</t>
  </si>
  <si>
    <t>Путешествие на восходе солнца: 15 японских концепций жизни</t>
  </si>
  <si>
    <t>AAA2410181-P</t>
  </si>
  <si>
    <t>978-5-9614-8375-8</t>
  </si>
  <si>
    <t>Путь к изменению: Трансформационные метафоры</t>
  </si>
  <si>
    <t>AAA2601033-P</t>
  </si>
  <si>
    <t>978-5-9614-8563-9</t>
  </si>
  <si>
    <t>Путь к процветанию: Новое понимание счастья и благополучия</t>
  </si>
  <si>
    <t>AAA2403215-P</t>
  </si>
  <si>
    <t>978-5-9614-9724-3</t>
  </si>
  <si>
    <t>Кауфман Скотт</t>
  </si>
  <si>
    <t>Путь к самоактуализации: Как раздвинуть границы своих возможностей. Новое понимание иерархии потребностей Маслоу</t>
  </si>
  <si>
    <t>AAA1911070-P</t>
  </si>
  <si>
    <t>978-5-9614-7382-7</t>
  </si>
  <si>
    <t>Радость неидеальной жизни: 28 дней на поиск своего пути</t>
  </si>
  <si>
    <t>AAA2409292-P</t>
  </si>
  <si>
    <t>978-5-0063-0196-2</t>
  </si>
  <si>
    <t>Уильямс Риса</t>
  </si>
  <si>
    <t>Разберись с тревогой: Книга-практикум от клинического психолога</t>
  </si>
  <si>
    <t>AAA2104052-P</t>
  </si>
  <si>
    <t>978-5-9614-7457-2</t>
  </si>
  <si>
    <t>Эмпатика Эмпатика</t>
  </si>
  <si>
    <t>Развитие памяти по методикам спецслужб</t>
  </si>
  <si>
    <t>AAA2511071-P</t>
  </si>
  <si>
    <t>978-5-9614-6241-8</t>
  </si>
  <si>
    <t>Развитие памяти по методикам спецслужб: Карманная версия</t>
  </si>
  <si>
    <t>AAA2502195-P</t>
  </si>
  <si>
    <t>978-5-9614-6656-0</t>
  </si>
  <si>
    <t>Дергунова Виктория</t>
  </si>
  <si>
    <t>Разводный мост: Как сохранить отношения с ребенком, если вы решили развестись</t>
  </si>
  <si>
    <t>PGR2206022-P</t>
  </si>
  <si>
    <t>978-5-206-00070-2</t>
  </si>
  <si>
    <t>Саидов Михаил</t>
  </si>
  <si>
    <t>Разговоры, которые меняют жизнь: Техники экспоненциального коучинга</t>
  </si>
  <si>
    <t>AAA2601100-P</t>
  </si>
  <si>
    <t>978-5-9614-4115-4</t>
  </si>
  <si>
    <t>Тацуми Нагиса</t>
  </si>
  <si>
    <t>Расхламление по-японски: Как избавиться от лишнего</t>
  </si>
  <si>
    <t>Пер. с яп.</t>
  </si>
  <si>
    <t>AAA2507123-P</t>
  </si>
  <si>
    <t>978-5-0063-0981-4</t>
  </si>
  <si>
    <t>13.04.2026</t>
  </si>
  <si>
    <t>Колен Катрин</t>
  </si>
  <si>
    <t>Ребенок всё изменит: Как сохранить любовь на новом этапе семейной жизни</t>
  </si>
  <si>
    <t>AAA2312129-P</t>
  </si>
  <si>
    <t>978-5-9614-9509-6</t>
  </si>
  <si>
    <t>Ребенок-оптимист: Как научить ребенка преодолевать трудности</t>
  </si>
  <si>
    <t>AAA2403176-P</t>
  </si>
  <si>
    <t>978-5-9614-9715-1</t>
  </si>
  <si>
    <t>Стюарт-Котце Робин</t>
  </si>
  <si>
    <t>Результативность: Секреты эффективного поведения</t>
  </si>
  <si>
    <t>PGR2603179-P</t>
  </si>
  <si>
    <t>978-5-9614-4019-5</t>
  </si>
  <si>
    <t>Рестарт 2.0: Книга-практикум. Ваш план перезагрузки</t>
  </si>
  <si>
    <t>AAA2408075-P</t>
  </si>
  <si>
    <t>978-5-9614-7433-6</t>
  </si>
  <si>
    <t>[покет-серия] Рестарт: Как прожить много жизней</t>
  </si>
  <si>
    <t>AAA2404188-P</t>
  </si>
  <si>
    <t>978-5-9614-8562-2</t>
  </si>
  <si>
    <t>Рестарт: Как прожить много жизней (новая обложка)</t>
  </si>
  <si>
    <t>AAA2303132-P</t>
  </si>
  <si>
    <t>978-5-9614-3837-6</t>
  </si>
  <si>
    <t>Сигитова Екатерина</t>
  </si>
  <si>
    <t>Рецепт счастья: Принимайте себя три раза в день</t>
  </si>
  <si>
    <t>AAA2604162-P</t>
  </si>
  <si>
    <t>978-5-0063-1042-1</t>
  </si>
  <si>
    <t>Русский способ бросить пить</t>
  </si>
  <si>
    <t>AAA2504046-P</t>
  </si>
  <si>
    <t>978-5-0063-0675-2</t>
  </si>
  <si>
    <t>Яушева Дарья</t>
  </si>
  <si>
    <t>Рядом с травмой. Как помочь близкому человеку с ПТСР и сохранить себя</t>
  </si>
  <si>
    <t>PGR2506214-P</t>
  </si>
  <si>
    <t>978-5-206-00525-7</t>
  </si>
  <si>
    <t>Варламова Дарья, Зайниев Антон</t>
  </si>
  <si>
    <t>[покет-серия] С ума сойти! Путеводитель по психическим расстройствам для жителя большого города (новое, дополненное издание)</t>
  </si>
  <si>
    <t>AAA2601022-P</t>
  </si>
  <si>
    <t>978-5-0063-1828-1</t>
  </si>
  <si>
    <t>22.04.2026</t>
  </si>
  <si>
    <t>Граннеман Дженн, Соло Андре</t>
  </si>
  <si>
    <t>[покет-серия] Сверхчувствительность как суперсила</t>
  </si>
  <si>
    <t>AAA2502175-P</t>
  </si>
  <si>
    <t>978-5-0063-0548-9</t>
  </si>
  <si>
    <t>Филиппов Сергей, Мироненко Антон</t>
  </si>
  <si>
    <t>Свободен! Как вырваться из ментальной тюрьмы</t>
  </si>
  <si>
    <t>PGR2505044-P</t>
  </si>
  <si>
    <t>978-5-907394-55-1</t>
  </si>
  <si>
    <t>Кьезара Мария Лоренца</t>
  </si>
  <si>
    <t>Секст как лекарство от тревоги: Чему мы можем научиться у философов-скептиков</t>
  </si>
  <si>
    <t>AAA2312008-P</t>
  </si>
  <si>
    <t>978-5-9614-9493-8</t>
  </si>
  <si>
    <t>[суперобложка] Семь навыков высокоэффективных людей: Мощные инструменты развития личности (Юбилейное издание, дополненное)</t>
  </si>
  <si>
    <t>AAA2503029-P</t>
  </si>
  <si>
    <t>978-5-9614-8700-8</t>
  </si>
  <si>
    <t>Семь навыков высокоэффективных людей. Мощные инструменты развития личности. Краткая версия</t>
  </si>
  <si>
    <t>AAA2603015-P</t>
  </si>
  <si>
    <t>978-5-9614-8943-9</t>
  </si>
  <si>
    <t>Кови Стивен Р., Кови Шон</t>
  </si>
  <si>
    <t>Семь навыков на каждый день: Вечные истины в эпоху стремительных перемен</t>
  </si>
  <si>
    <t>AAA2502189-P</t>
  </si>
  <si>
    <t>978-5-9614-3674-7</t>
  </si>
  <si>
    <t>[покет-серия] Семь навыков эффективных менеджеров: Самоорганизация, лидерство, раскрытие потенциала</t>
  </si>
  <si>
    <t>AAA2507104-P</t>
  </si>
  <si>
    <t>978-5-9614-9643-7</t>
  </si>
  <si>
    <t>Семья что надо: Как жить счастливо с самыми близкими. Книга о любви</t>
  </si>
  <si>
    <t>AAA2505053-P</t>
  </si>
  <si>
    <t>978-5-9614-8914-9</t>
  </si>
  <si>
    <t>Давыдова Екатерина</t>
  </si>
  <si>
    <t>Сила архетипов: Как работа с бессознательным помогает изменить жизнь и обрести смысл</t>
  </si>
  <si>
    <t>AAA2510183-P</t>
  </si>
  <si>
    <t>978-5-9614-8981-1</t>
  </si>
  <si>
    <t>Рот Боб</t>
  </si>
  <si>
    <t>Сила в спокойствии: Достижение гармонии с помощью трансцендентальной медитации</t>
  </si>
  <si>
    <t>PGR2505109-P</t>
  </si>
  <si>
    <t>978-5-907394-64-3</t>
  </si>
  <si>
    <t>Сила мысли: Самый главный секрет, меняющий жизнь к лучшему</t>
  </si>
  <si>
    <t>AAA2507234-P</t>
  </si>
  <si>
    <t>978-5-0063-1045-2</t>
  </si>
  <si>
    <t>21.03.2026</t>
  </si>
  <si>
    <t>Фельдман Максим</t>
  </si>
  <si>
    <t>Сила окружения: Network-science для бизнеса и дружбы</t>
  </si>
  <si>
    <t>PGR2511181-P</t>
  </si>
  <si>
    <t>978-5-907534-05-6</t>
  </si>
  <si>
    <t>Пинк Дэниел</t>
  </si>
  <si>
    <t>Сила сожалений: Как взгляд назад помогает нам идти вперед</t>
  </si>
  <si>
    <t>AAA2112008-P</t>
  </si>
  <si>
    <t>978-5-9614-7674-3</t>
  </si>
  <si>
    <t>Новоа Марта Мартинес</t>
  </si>
  <si>
    <t>Синдром хорошей девочки: Как перестать угождать всем и начать думать о себе</t>
  </si>
  <si>
    <t>AAA2405057-P</t>
  </si>
  <si>
    <t>978-5-9614-9833-2</t>
  </si>
  <si>
    <t>30.03.2026</t>
  </si>
  <si>
    <t>Калинин Максим, Дзядко Филипп</t>
  </si>
  <si>
    <t>[переплет] Сирийские мистики о любви, страхе, гневе и радости</t>
  </si>
  <si>
    <t>AAA2411225-P</t>
  </si>
  <si>
    <t>978-5-0063-0353-9</t>
  </si>
  <si>
    <t>Суворов Александр</t>
  </si>
  <si>
    <t>Система счастья: Практическое руководство по тренировке счастья</t>
  </si>
  <si>
    <t>AAA2104071-P</t>
  </si>
  <si>
    <t>978-5-9614-7391-9</t>
  </si>
  <si>
    <t>Кови мл. Стивен, Меррилл Ребекка</t>
  </si>
  <si>
    <t>Скорость доверия. То, что меняет все</t>
  </si>
  <si>
    <t>AAA2511250-P</t>
  </si>
  <si>
    <t>978-5-9614-6768-0</t>
  </si>
  <si>
    <t>Ахола Анджела</t>
  </si>
  <si>
    <t>Скрытые мотивы: Истинные причины нашего поведения</t>
  </si>
  <si>
    <t>AAA2601205-P</t>
  </si>
  <si>
    <t>978-5-9614-7385-8</t>
  </si>
  <si>
    <t>Фоер Елена, Рамзаева Мария</t>
  </si>
  <si>
    <t>Смерть в большом городе: Почему мы так боимся умереть и как с этим жить</t>
  </si>
  <si>
    <t>AAA2603230-P</t>
  </si>
  <si>
    <t>978-5-9614-8891-3</t>
  </si>
  <si>
    <t xml:space="preserve">Кисельникова  Наталья</t>
  </si>
  <si>
    <t>Со мной все в порядке: Доказательная психология для ментального здоровья</t>
  </si>
  <si>
    <t>AAA2603079-P</t>
  </si>
  <si>
    <t>978-5-9614-9398-6</t>
  </si>
  <si>
    <t xml:space="preserve">Совершенство, которое мешает жить:  Кто такие нарциссы, как их понять и что делать, если нарцисс – это вы</t>
  </si>
  <si>
    <t>AAA2302094-P</t>
  </si>
  <si>
    <t>978-5-9614-8690-2</t>
  </si>
  <si>
    <t>Спасти Анну Каренину: Герои русской классики на приеме у психолога</t>
  </si>
  <si>
    <t>AAA2605007-P</t>
  </si>
  <si>
    <t>978-5-0063-0782-7</t>
  </si>
  <si>
    <t>Муньос Хуан</t>
  </si>
  <si>
    <t>Спорить полезно: Как научиться вести неудобные разговоры без конфликта</t>
  </si>
  <si>
    <t>AAA2405107-P</t>
  </si>
  <si>
    <t>978-5-9614-9344-3</t>
  </si>
  <si>
    <t>ван Дейк Шери, Маккей Мэтью, Вуд Джеффри, Брэнтли Джеффри, Фаннинг Патрик, Пул Эрика, Зурита Она Патриция</t>
  </si>
  <si>
    <t>Справься со стрессом: Управление сильными эмоциями в тяжелые моменты</t>
  </si>
  <si>
    <t>AAA2407006-P</t>
  </si>
  <si>
    <t>978-5-9614-9986-5</t>
  </si>
  <si>
    <t>Литвинова Татьяна</t>
  </si>
  <si>
    <t>Сталин жил в нашей квартире: Как травмы наших предков мешают нам жить и что с этим делать</t>
  </si>
  <si>
    <t>AAA2604063-P</t>
  </si>
  <si>
    <t>978-5-9614-8238-6</t>
  </si>
  <si>
    <t>Стать другим, оставаясь собой: Меняем привычное поведение - улучшаем жизнь</t>
  </si>
  <si>
    <t>AAA2501072-P</t>
  </si>
  <si>
    <t>978-5-0063-0432-1</t>
  </si>
  <si>
    <t>Щепин Евгений</t>
  </si>
  <si>
    <t>Стать спикером: Как профессионалу монетизировать свои знания, выступая публично</t>
  </si>
  <si>
    <t>AAA2505118-P</t>
  </si>
  <si>
    <t>978-5-0063-0800-8</t>
  </si>
  <si>
    <t>Ёро Такэси</t>
  </si>
  <si>
    <t>Стена невежества: Почему мы ошибаемся в понимании мира и людей — и что с этим делать</t>
  </si>
  <si>
    <t>AAA2507175-P</t>
  </si>
  <si>
    <t>978-5-0063-1014-8</t>
  </si>
  <si>
    <t>Васкес Маркос</t>
  </si>
  <si>
    <t>Стоики побеждают: Ментальные тренировки для преодоления жизненных трудностей</t>
  </si>
  <si>
    <t>AAA2605004-P</t>
  </si>
  <si>
    <t>978-5-9614-7853-2</t>
  </si>
  <si>
    <t>Стайн Александра</t>
  </si>
  <si>
    <t>Страх, любовь и пропаганда: Механизмы влияния в сектах и тоталитарных системах</t>
  </si>
  <si>
    <t>AAA2411201-P</t>
  </si>
  <si>
    <t>978-5-9614-8764-0</t>
  </si>
  <si>
    <t>[покет-серия] Суперпамять за семь шагов: Книга-тренинг</t>
  </si>
  <si>
    <t>AAA2603016-P</t>
  </si>
  <si>
    <t>978-5-9614-9480-8</t>
  </si>
  <si>
    <t>Янг Эмма</t>
  </si>
  <si>
    <t>Суперчувства: 32 способа познавать реальность</t>
  </si>
  <si>
    <t>NNN2102067-P</t>
  </si>
  <si>
    <t>978-5-00139-460-0</t>
  </si>
  <si>
    <t>Долан Пол</t>
  </si>
  <si>
    <t>Счастливы когда-нибудь: Почему не надо верить мифам об идеальной жизни</t>
  </si>
  <si>
    <t>AAA1904112-P</t>
  </si>
  <si>
    <t>978-5-9614-2540-6</t>
  </si>
  <si>
    <t>Кови Стивен Р., Кови Джон, Кови Сандра, Кови Джейн</t>
  </si>
  <si>
    <t>Счастливый союз: Семь навыков высокоэффективных пар</t>
  </si>
  <si>
    <t>AAA2601116-P</t>
  </si>
  <si>
    <t>978-5-9614-4197-0</t>
  </si>
  <si>
    <t>Меццанотте Микеле</t>
  </si>
  <si>
    <t>Счастье - (не) миф: Архетипы, которые помогут разобраться в себе</t>
  </si>
  <si>
    <t>AAA2407079-P</t>
  </si>
  <si>
    <t>978-5-0063-0006-4</t>
  </si>
  <si>
    <t>Ракова Екатерина</t>
  </si>
  <si>
    <t>Счастье не спешить: Практики Slow Life для жизни без стресса и суеты</t>
  </si>
  <si>
    <t>PGR2506108-P</t>
  </si>
  <si>
    <t>978-5-907534-32-2</t>
  </si>
  <si>
    <t>Таинственный лес: Как диалог с бессознательным помогает выйти из жизненного тупика</t>
  </si>
  <si>
    <t>AAA2503091-P</t>
  </si>
  <si>
    <t>978-5-0063-0345-4</t>
  </si>
  <si>
    <t>Архангельский Глеб, Бехтерев Сергей, Лукашенко Марианна, Телегина Татьяна</t>
  </si>
  <si>
    <t>[покет-серия] Тайм-менеджмент: Полный курс</t>
  </si>
  <si>
    <t>AAA2601012-P</t>
  </si>
  <si>
    <t>978-5-9614-8503-5</t>
  </si>
  <si>
    <t>Тайм-менеджмента нет: Психология дружбы со временем</t>
  </si>
  <si>
    <t>AAA2103003-P</t>
  </si>
  <si>
    <t>978-5-9614-4141-3</t>
  </si>
  <si>
    <t>Тайны нашего бессознательного: Теория психоанализа</t>
  </si>
  <si>
    <t>AAA2605236-P</t>
  </si>
  <si>
    <t>978-5-9614-8227-0</t>
  </si>
  <si>
    <t>Лапина Юлия</t>
  </si>
  <si>
    <t>Тело, еда, секс и тревога: Что беспокоит современную женщину. Исследование клинического психолога</t>
  </si>
  <si>
    <t>NNN2511297-P</t>
  </si>
  <si>
    <t>978-5-91671-782-2</t>
  </si>
  <si>
    <t>Теплая кружка, мягкий плед: Как простые вещи помогают справиться с депрессией</t>
  </si>
  <si>
    <t>AAA2509334-P</t>
  </si>
  <si>
    <t>978-5-0063-0577-9</t>
  </si>
  <si>
    <t>[обложка] Терапия беспокойства: Как справляться со страхами, тревогами и паническими атаками без лекарств</t>
  </si>
  <si>
    <t>AAA2511084-P</t>
  </si>
  <si>
    <t>978-5-9614-4775-0</t>
  </si>
  <si>
    <t xml:space="preserve">[обложка] Терапия настроения:  Клинически доказанный способ победить депрессию без таблеток</t>
  </si>
  <si>
    <t>AAA2604201-P</t>
  </si>
  <si>
    <t>978-5-9614-1819-4</t>
  </si>
  <si>
    <t>Терапия одиночества: Как научиться общаться, дружить и любить</t>
  </si>
  <si>
    <t>AAA2510270-P</t>
  </si>
  <si>
    <t>978-5-9614-7672-9</t>
  </si>
  <si>
    <t>Погребняк Анна</t>
  </si>
  <si>
    <t>[покет-серия] Тирания тревоги: Как избавиться от тревожности и беспокойства</t>
  </si>
  <si>
    <t>AAA2502204-P</t>
  </si>
  <si>
    <t>978-5-0063-0559-5</t>
  </si>
  <si>
    <t>[обложка] Тонкое искусство пофигизма: Парадоксальный способ жить счастливо</t>
  </si>
  <si>
    <t>AAA2502030-P</t>
  </si>
  <si>
    <t>978-5-9614-6535-8</t>
  </si>
  <si>
    <t>Давтян Гоар</t>
  </si>
  <si>
    <t>Точка баланса. Как победить выгорание и стать счастливым</t>
  </si>
  <si>
    <t>PGR2605021-P</t>
  </si>
  <si>
    <t>978-5-00206-006-1</t>
  </si>
  <si>
    <t>Фоер Елена, Климочкина Екатерина</t>
  </si>
  <si>
    <t>Травма: Что она с нами делает и что мы можем сделать с ней. Книга про комплексное ПТСР</t>
  </si>
  <si>
    <t>AAA2306088-P</t>
  </si>
  <si>
    <t>978-5-9614-9039-8</t>
  </si>
  <si>
    <t>Джефферс Сьюзен</t>
  </si>
  <si>
    <t>Тревожься... но действуй! Искусство спокойствия в мире неопределённости. Ментальные практики и упражнения</t>
  </si>
  <si>
    <t>AAA2412255-P</t>
  </si>
  <si>
    <t>978-5-0063-0404-8</t>
  </si>
  <si>
    <t>Мур Гарет</t>
  </si>
  <si>
    <t>Тренажер мозга: Как развить гибкость мышления за 40 дней</t>
  </si>
  <si>
    <t>AAA2510260-P</t>
  </si>
  <si>
    <t>978-5-9614-3512-2</t>
  </si>
  <si>
    <t>Тренажер мозга. Продвинутый уровень: 40 дней интенсивных тренировок</t>
  </si>
  <si>
    <t>AAA2509241-P</t>
  </si>
  <si>
    <t>978-5-9614-7452-7</t>
  </si>
  <si>
    <t>Тренажер памяти: Как развить память за 40 дней</t>
  </si>
  <si>
    <t>AAA2502014-P</t>
  </si>
  <si>
    <t>978-5-9614-2458-4</t>
  </si>
  <si>
    <t>Кутчер Дженна</t>
  </si>
  <si>
    <t>Ты как, только честно? Прислушайся к себе и начни жить по-настоящему</t>
  </si>
  <si>
    <t>AAA2209040-P</t>
  </si>
  <si>
    <t>978-5-9614-8313-0</t>
  </si>
  <si>
    <t>Ты можешь: Книга о том, как найти контакт с собой и реальностью</t>
  </si>
  <si>
    <t>AAA2511228-P</t>
  </si>
  <si>
    <t>978-5-9614-8170-9</t>
  </si>
  <si>
    <t>[покет-серия] Ты то, что ты думаешь: Как управлять своими мыслями и менять жизнь к лучшему</t>
  </si>
  <si>
    <t>AAA2412113-P</t>
  </si>
  <si>
    <t>978-5-9614-8462-5</t>
  </si>
  <si>
    <t>Льюис Дэвид</t>
  </si>
  <si>
    <t>Управление стрессом : Как найти дополнительные 10 часов в неделю</t>
  </si>
  <si>
    <t>PGR2510221-P</t>
  </si>
  <si>
    <t>978-5-907394-12-4</t>
  </si>
  <si>
    <t>Стурдален Петтер А., Иле Уле-Мартин</t>
  </si>
  <si>
    <t>Ура, понедельник! 10 правил для жизни с драйвом</t>
  </si>
  <si>
    <t>AAA2101039-P</t>
  </si>
  <si>
    <t>978-5-9614-5892-3</t>
  </si>
  <si>
    <t>Лакшмин Пуджа</t>
  </si>
  <si>
    <t>Услышать себя: Психологическая устойчивость без внешней помощи</t>
  </si>
  <si>
    <t>AAA2301007-P</t>
  </si>
  <si>
    <t>978-5-9614-8604-9</t>
  </si>
  <si>
    <t>Карни Коллин, Манбер Рэйчел</t>
  </si>
  <si>
    <t>Усыпи свою бессонницу: Как справиться с гиперактивным разумом и тревожными мыслями</t>
  </si>
  <si>
    <t>AAA2407010-P</t>
  </si>
  <si>
    <t>978-5-9614-9990-2</t>
  </si>
  <si>
    <t xml:space="preserve"> Руис Хосе Карлос</t>
  </si>
  <si>
    <t>Философия как лекарство от уныния, тревоги и чувства внутренней пустоты</t>
  </si>
  <si>
    <t>AAA2402150-P</t>
  </si>
  <si>
    <t>978-5-9614-9640-6</t>
  </si>
  <si>
    <t>Бессер Лоррейн</t>
  </si>
  <si>
    <t>Философия полной жизни: Как понять, что нужно именно вам, и двигаться в верном направлении</t>
  </si>
  <si>
    <t>AAA2406072-P</t>
  </si>
  <si>
    <t>978-5-9614-9920-9</t>
  </si>
  <si>
    <t>Пуриоль Оливье</t>
  </si>
  <si>
    <t>Французское искусство жить не напрягаясь</t>
  </si>
  <si>
    <t>AAA2309190-P</t>
  </si>
  <si>
    <t>978-5-9614-8312-3</t>
  </si>
  <si>
    <t>Харизма: Как влиять, убеждать и вдохновлять</t>
  </si>
  <si>
    <t>AAA2601091-P</t>
  </si>
  <si>
    <t>978-5-0063-0187-0</t>
  </si>
  <si>
    <t>Хватит быть скромным парнем! Базовый курс по свиданиям</t>
  </si>
  <si>
    <t>AAA2409107-P</t>
  </si>
  <si>
    <t>978-5-9614-8671-1</t>
  </si>
  <si>
    <t xml:space="preserve">Лозовский Леонид , Мордехай  Владимир</t>
  </si>
  <si>
    <t>Хорошая память: Тренируем мозг каждый день</t>
  </si>
  <si>
    <t>AAA2410281-P</t>
  </si>
  <si>
    <t>978-5-9614-8237-9</t>
  </si>
  <si>
    <t>Хорошее настроение: Руководство по борьбе с депрессией и тревожностью. Техники и упражнения</t>
  </si>
  <si>
    <t>AAA2511230-P</t>
  </si>
  <si>
    <t>978-5-9614-8042-9</t>
  </si>
  <si>
    <t>Хо Сара Джейн</t>
  </si>
  <si>
    <t>Хорошие манеры: Как свободно общаться и чувствовать себя уверенно с кем угодно и где угодно</t>
  </si>
  <si>
    <t>AAA2503061-P</t>
  </si>
  <si>
    <t>978-5-9614-9080-0</t>
  </si>
  <si>
    <t>Хочу помочь: Как поддерживать других, сохраняя себя и свои силы</t>
  </si>
  <si>
    <t>AAA2603164-P</t>
  </si>
  <si>
    <t>978-5-9614-8026-9</t>
  </si>
  <si>
    <t>Оносов Алексей</t>
  </si>
  <si>
    <t>Хэппиномика. Теория и практика счастливой жизни</t>
  </si>
  <si>
    <t>PGR2409131-P</t>
  </si>
  <si>
    <t>978-5-206-00439-7</t>
  </si>
  <si>
    <t>Цель вашей жизни: Как обрести мечту и не сбиться с пути</t>
  </si>
  <si>
    <t>AAA2311189-P</t>
  </si>
  <si>
    <t>978-5-9614-9471-6</t>
  </si>
  <si>
    <t>Егоров Егор</t>
  </si>
  <si>
    <t>[покет] Чай с психологом: Как победить тревогу, страхи и панику</t>
  </si>
  <si>
    <t>AAA2501244-P</t>
  </si>
  <si>
    <t>978-5-9614-8539-4</t>
  </si>
  <si>
    <t>Богомолов Виктор</t>
  </si>
  <si>
    <t>Чего хотят мужчины: Открывая заново отношения, секс, силу</t>
  </si>
  <si>
    <t>AAA2311140-P</t>
  </si>
  <si>
    <t>978-5-9614-9456-3</t>
  </si>
  <si>
    <t>Даббс Ким</t>
  </si>
  <si>
    <t>Человек в поисках идентичности: Как найти свое место в жизни</t>
  </si>
  <si>
    <t>AAA2312237-P</t>
  </si>
  <si>
    <t>978-5-9614-9540-9</t>
  </si>
  <si>
    <t>Четвертая форма денег. Путь героя, или Как избавиться от негативных сценариев, выбирать окружение и стать хозяином своей жизни</t>
  </si>
  <si>
    <t>PGR2510203-P</t>
  </si>
  <si>
    <t>978-5-206-00614-8</t>
  </si>
  <si>
    <t>Джонсон Кимберли Энн</t>
  </si>
  <si>
    <t>Четвертый триместр: Как восстановить организм и душевное равновесие после родов</t>
  </si>
  <si>
    <t>AAA2206118-P</t>
  </si>
  <si>
    <t>978-5-9614-8165-5</t>
  </si>
  <si>
    <t>Четыре типа мышления: Практика трансформации личности (Книга II)</t>
  </si>
  <si>
    <t>AAA2601031-P</t>
  </si>
  <si>
    <t>978-5-9614-7553-1</t>
  </si>
  <si>
    <t>AAA2603175-P</t>
  </si>
  <si>
    <t>978-5-0063-2009-3</t>
  </si>
  <si>
    <t>AAA2512103-P</t>
  </si>
  <si>
    <t>978-5-9614-9453-2</t>
  </si>
  <si>
    <t>Фернандо Тони</t>
  </si>
  <si>
    <t>Что бы сделал Будда? Как сохранять спокойствие в мире хаоса</t>
  </si>
  <si>
    <t>AAA2508076-P</t>
  </si>
  <si>
    <t>978-5-0063-0998-2</t>
  </si>
  <si>
    <t>Что видела собака: Про первопроходцев, гениев второго плана, поздние таланты, а также другие истории</t>
  </si>
  <si>
    <t>AAA2511346-P</t>
  </si>
  <si>
    <t>978-5-0063-1696-6</t>
  </si>
  <si>
    <t>Кляйн Штефан</t>
  </si>
  <si>
    <t xml:space="preserve">Чувство времени:  Почему ожидание тянется, а счастье мчится</t>
  </si>
  <si>
    <t>AAA2305152-P</t>
  </si>
  <si>
    <t>978-5-9614-9000-8</t>
  </si>
  <si>
    <t>Джозеф Стивен</t>
  </si>
  <si>
    <t>Шесть способов обрести внутренний баланс: Инсайты психотерапевта</t>
  </si>
  <si>
    <t>AAA2405058-P</t>
  </si>
  <si>
    <t>978-5-9614-9834-9</t>
  </si>
  <si>
    <t>Керре Наталья, Кудряшов Иван</t>
  </si>
  <si>
    <t>Шизофрения без страха: Книга для людей с диагнозом и всех, кто рядом</t>
  </si>
  <si>
    <t>AAA2602022-P</t>
  </si>
  <si>
    <t>978-5-9614-7757-3</t>
  </si>
  <si>
    <t>Хоуэллс Лоуренс</t>
  </si>
  <si>
    <t>Эмоции, которые нами управляют: Как не попасть в ловушки гнева, вины, печали. Когнитивно-поведенческий подход</t>
  </si>
  <si>
    <t>AAA2505033-P</t>
  </si>
  <si>
    <t>978-5-9614-7746-7</t>
  </si>
  <si>
    <t xml:space="preserve">Толстоевский  Иммануил</t>
  </si>
  <si>
    <t>Энциклопедия логических ошибок: Заблуждения, манипуляции, когнитивные искажения и другие враги здравого смысла</t>
  </si>
  <si>
    <t>AAA2512118-P</t>
  </si>
  <si>
    <t>978-5-9614-8247-8</t>
  </si>
  <si>
    <t>Соловьев Алексей</t>
  </si>
  <si>
    <t>Эпоха выгорающих супергероев: Как саморазвитие превратилось в культ, а погоня за счастьем завела нас в тупик</t>
  </si>
  <si>
    <t>AAA2502029-P</t>
  </si>
  <si>
    <t>978-5-9614-9832-5</t>
  </si>
  <si>
    <t>Это не усталость! Как распознать стресс и научиться восстанавливаться</t>
  </si>
  <si>
    <t>AAA2503196-P</t>
  </si>
  <si>
    <t>978-5-9614-9018-3</t>
  </si>
  <si>
    <t>Петрова Евгения</t>
  </si>
  <si>
    <t>Это переходит все границы: Психология эмиграции. Как адаптироваться к жизни в другой стране</t>
  </si>
  <si>
    <t>AAA2302167-P</t>
  </si>
  <si>
    <t>978-5-9614-8704-6</t>
  </si>
  <si>
    <t>Мартин Джен</t>
  </si>
  <si>
    <t>Это просто я: Как наука объясняет наши странности и привычки</t>
  </si>
  <si>
    <t>AAA2304086-P</t>
  </si>
  <si>
    <t>978-5-9614-8000-9</t>
  </si>
  <si>
    <t>Алонци Мария Беатриче</t>
  </si>
  <si>
    <t xml:space="preserve">Я больше не хочу всем нравиться:  Найди в себе смелость любить себя и жить как хочешь</t>
  </si>
  <si>
    <t>AAA2506090-P</t>
  </si>
  <si>
    <t>978-5-9614-8027-6</t>
  </si>
  <si>
    <t>Малесик Джонатан</t>
  </si>
  <si>
    <t>Я всё! Почему мы выгораем на работе и как это изменить</t>
  </si>
  <si>
    <t>AAA2207011-P</t>
  </si>
  <si>
    <t>978-5-9614-8194-5</t>
  </si>
  <si>
    <t>Я и мои деньги: Зарабатываем, тратим и сберегаем осознанно. Психологический практикум</t>
  </si>
  <si>
    <t>AAA2509110-P</t>
  </si>
  <si>
    <t>978-5-9614-8643-8</t>
  </si>
  <si>
    <t>Ларринага Хесус</t>
  </si>
  <si>
    <t>Я и мои эмоции: Как понять и принять свои чувства</t>
  </si>
  <si>
    <t>AAA2503055-P</t>
  </si>
  <si>
    <t>978-5-9614-9084-8</t>
  </si>
  <si>
    <t>Я не буду твоей копией: Как жить, опираясь на свой выбор, а не на семейные сценарии</t>
  </si>
  <si>
    <t>AAA2403003-P</t>
  </si>
  <si>
    <t>978-5-9614-9667-3</t>
  </si>
  <si>
    <t>Зверева Нина, Иконникова Светлана</t>
  </si>
  <si>
    <t>Я спрашиваю — мне отвечают: Инструменты искусного диалога</t>
  </si>
  <si>
    <t>AAA2510052-P</t>
  </si>
  <si>
    <t>978-5-9614-8640-7</t>
  </si>
  <si>
    <t>Ярмолович Ольга</t>
  </si>
  <si>
    <t>Яд материнской любви: Как мама придумывала мне болезни. Личная история о синдроме Мюнхгаузена</t>
  </si>
  <si>
    <t>AAA2207125-P</t>
  </si>
  <si>
    <t>978-5-9614-8239-3</t>
  </si>
  <si>
    <t>Фудзимото Мари, Баклер Дэвид, Кенна Майкл</t>
  </si>
  <si>
    <t>Японское искусство гармоничной жизни</t>
  </si>
  <si>
    <t>AAA2511327-P</t>
  </si>
  <si>
    <t>978-5-9614-9550-8</t>
  </si>
  <si>
    <t>1.02. Серия "Психология и философия" (покеты)</t>
  </si>
  <si>
    <t>[покет-серия] Близко к сердцу: Как жить, если вы слишком чувствительный человек</t>
  </si>
  <si>
    <t>AAA2301055-P</t>
  </si>
  <si>
    <t>978-5-9614-7000-0</t>
  </si>
  <si>
    <t>[покет-серия] Давид и Голиаф: Как аутсайдеры побеждают фаворитов</t>
  </si>
  <si>
    <t>AAA2210191-P</t>
  </si>
  <si>
    <t>978-5-9614-7153-3</t>
  </si>
  <si>
    <t>[покет-серия] Добродетель эгоизма</t>
  </si>
  <si>
    <t>AAA2502193-P</t>
  </si>
  <si>
    <t>978-5-9614-7069-7</t>
  </si>
  <si>
    <t>[покет-серия] Идеальный шторм: Как пережить психологический кризис</t>
  </si>
  <si>
    <t>AAA2502124-P</t>
  </si>
  <si>
    <t>978-5-9614-8984-2</t>
  </si>
  <si>
    <t>Гарсиа [Кирай] Эктор, Миральес Франсеск</t>
  </si>
  <si>
    <t>[покет-серия] Икигай: Японские секреты долгой и счастливой жизни</t>
  </si>
  <si>
    <t>AAA2605059-P</t>
  </si>
  <si>
    <t>978-5-9614-8374-1</t>
  </si>
  <si>
    <t>[покет-серия] Как научиться оптимизму: Измените взгляд на мир и свою жизнь</t>
  </si>
  <si>
    <t>AAA2410113-P</t>
  </si>
  <si>
    <t>978-5-9614-6855-7</t>
  </si>
  <si>
    <t>[покет-серия] Логотерапия и экзистенциальный анализ: статьи и лекции</t>
  </si>
  <si>
    <t>NNN2601070-P</t>
  </si>
  <si>
    <t>978-5-00139-768-7</t>
  </si>
  <si>
    <t>Харрис Cэм</t>
  </si>
  <si>
    <t>[покет-серия] Ложь: Почему говорить правду всегда лучше</t>
  </si>
  <si>
    <t>AAA2502291-P</t>
  </si>
  <si>
    <t>978-5-9614-7071-0</t>
  </si>
  <si>
    <t>Цурхорст Ева-Мария</t>
  </si>
  <si>
    <t>[покет-серия] Люби себя - не важно, с кем ты</t>
  </si>
  <si>
    <t>AAA2511326-P</t>
  </si>
  <si>
    <t>978-5-9614-1761-6</t>
  </si>
  <si>
    <t>Далсегг Ауд, Вессе Инге</t>
  </si>
  <si>
    <t>[покет-серия] На крючке: Как разорвать круг нездоровых отношений</t>
  </si>
  <si>
    <t>AAA2302141-P</t>
  </si>
  <si>
    <t>978-5-9614-7072-7</t>
  </si>
  <si>
    <t>Шапиро Дэниел</t>
  </si>
  <si>
    <t>[покет-серия] На эмоциях: Как улаживать самые болезненные конфликты в семье и на работе</t>
  </si>
  <si>
    <t>AAA2603072-P</t>
  </si>
  <si>
    <t>978-5-9614-2148-4</t>
  </si>
  <si>
    <t>[покет-серия] Нелюбимая дочь. Как оставить в прошлом травматичные отношения с матерью и начать новую жизнь</t>
  </si>
  <si>
    <t>NNN2509353-P</t>
  </si>
  <si>
    <t>978-5-00139-938-4</t>
  </si>
  <si>
    <t>Федэл Тэмсен</t>
  </si>
  <si>
    <t>[покет-серия] Одна и счастлива: Как обрести почву под ногами после расставания или развода</t>
  </si>
  <si>
    <t>AAA2511073-P</t>
  </si>
  <si>
    <t>978-5-9614-1368-7</t>
  </si>
  <si>
    <t>[покет-серия] Переломный момент: Как незначительные изменения приводят к глобальным переменам</t>
  </si>
  <si>
    <t>AAA2509177-P</t>
  </si>
  <si>
    <t>978-5-9614-2287-0</t>
  </si>
  <si>
    <t>Милгрэм Стэнли</t>
  </si>
  <si>
    <t>[покет-серия] Подчинение авторитету: Научный взгляд на власть и мораль</t>
  </si>
  <si>
    <t>NNN2501034-P</t>
  </si>
  <si>
    <t>978-5-00139-034-3</t>
  </si>
  <si>
    <t>Рапсон Джеймс, Инглиш Крейг</t>
  </si>
  <si>
    <t>[покет-серия] Похвалите меня: Как перестать зависеть от чужого мнения и обрести уверенность в себе</t>
  </si>
  <si>
    <t>AAA2312201-P</t>
  </si>
  <si>
    <t>978-5-9614-3851-2</t>
  </si>
  <si>
    <t>[покет-серия] Романтический манифест: Философия литературы</t>
  </si>
  <si>
    <t>AAA2309086-P</t>
  </si>
  <si>
    <t>978-5-9614-7120-5</t>
  </si>
  <si>
    <t>де Врис Манфред Кетс</t>
  </si>
  <si>
    <t>Секс, деньги, счастье и смерть: Как найти себя в этой жизни</t>
  </si>
  <si>
    <t>AAA2605060-P</t>
  </si>
  <si>
    <t>978-5-0063-1264-7</t>
  </si>
  <si>
    <t>[покет-серия] Сила мгновенных решений: Интуиция как навык</t>
  </si>
  <si>
    <t>AAA2510265-P</t>
  </si>
  <si>
    <t>978-5-9614-6894-6</t>
  </si>
  <si>
    <t>Уивер Либби</t>
  </si>
  <si>
    <t>Синдром белки в колесе: Как сохранить здоровье и сберечь нервы в мире бесконечных дел</t>
  </si>
  <si>
    <t>AAA2502328-P</t>
  </si>
  <si>
    <t>978-5-9614-6058-2</t>
  </si>
  <si>
    <t>Гилберт Дэниел</t>
  </si>
  <si>
    <t>[покет-серия] Спотыкаясь о счастье</t>
  </si>
  <si>
    <t>AAA2403186-P</t>
  </si>
  <si>
    <t>978-5-9614-6856-4</t>
  </si>
  <si>
    <t>Шуман Пола</t>
  </si>
  <si>
    <t>[покет-серия] Стратегия семейной жизни: Как реже мыть посуду, чаще заниматься сексом и меньше ссориться</t>
  </si>
  <si>
    <t>AAA2302223-P</t>
  </si>
  <si>
    <t>978-5-9614-1208-6</t>
  </si>
  <si>
    <t>Чаморро-Премузик Томас</t>
  </si>
  <si>
    <t>[покет-серия] Уверенность в себе: Как повысить самооценку, преодолеть страхи и сомнения</t>
  </si>
  <si>
    <t>AAA2510185-P</t>
  </si>
  <si>
    <t>978-5-9614-7068-0</t>
  </si>
  <si>
    <t>Филлипс Холли</t>
  </si>
  <si>
    <t>[покет-серия] Устала уставать: Простые способы восстановления при хроническом переутомлении</t>
  </si>
  <si>
    <t>AAA2412111-P</t>
  </si>
  <si>
    <t>978-5-9614-6999-8</t>
  </si>
  <si>
    <t>Ньюпорт Кэл</t>
  </si>
  <si>
    <t>[покет-серия] Хватит мечтать, займись делом! Почему важнее хорошо работать, чем искать хорошую работу</t>
  </si>
  <si>
    <t>AAA2505024-P</t>
  </si>
  <si>
    <t>978-5-9614-7002-4</t>
  </si>
  <si>
    <t>Форен Кэролайн</t>
  </si>
  <si>
    <t>[покет-серия] Человек уверенный: 12 практических инструментов по избавлению от страхов, комплексов и тревог</t>
  </si>
  <si>
    <t>AAA2503022-P</t>
  </si>
  <si>
    <t>978-5-9614-8687-2</t>
  </si>
  <si>
    <t>1.03. Книги Илсе Санд</t>
  </si>
  <si>
    <t>Близко к сердцу: Как жить, если вы слишком чувствительный человек</t>
  </si>
  <si>
    <t>AAA2601105-P</t>
  </si>
  <si>
    <t>978-5-9614-9884-4</t>
  </si>
  <si>
    <t>Исцеляющие беседы: Как выстраивать разговор, чтобы помочь близкому человеку</t>
  </si>
  <si>
    <t>AAA2605234-P</t>
  </si>
  <si>
    <t>978-5-9614-8893-7</t>
  </si>
  <si>
    <t>Компас эмоций: Как разобраться в своих чувствах</t>
  </si>
  <si>
    <t>AAA2501238-P</t>
  </si>
  <si>
    <t>978-5-9614-8580-6</t>
  </si>
  <si>
    <t>С любовью к себе: Как избавиться от чувства вины и обрести гармонию</t>
  </si>
  <si>
    <t>AAA2404203-P</t>
  </si>
  <si>
    <t>978-5-9614-8537-0</t>
  </si>
  <si>
    <t>Страх близости: Как перестать защищаться и начать любить</t>
  </si>
  <si>
    <t>AAA2411202-P</t>
  </si>
  <si>
    <t>978-5-9614-9008-4</t>
  </si>
  <si>
    <t>Чувство стыда: Как перестать бояться быть неправильно воспринятым</t>
  </si>
  <si>
    <t>AAA2601014-P</t>
  </si>
  <si>
    <t>978-5-9614-8752-7</t>
  </si>
  <si>
    <t>Я тебя прощаю: Как проработать семейные травмы и понять себя</t>
  </si>
  <si>
    <t>AAA2410114-P</t>
  </si>
  <si>
    <t>978-5-9614-9083-1</t>
  </si>
  <si>
    <t>1.04. Классическая психология</t>
  </si>
  <si>
    <t>Поток: Психология оптимального переживания (обложка)</t>
  </si>
  <si>
    <t>NNN2602180-P</t>
  </si>
  <si>
    <t>978-5-00223-678-7</t>
  </si>
  <si>
    <t>То, чего нет в моих книгах: Воспоминания</t>
  </si>
  <si>
    <t>NNN2502047-P</t>
  </si>
  <si>
    <t>978-5-00139-743-4</t>
  </si>
  <si>
    <t>Зимбардо Филип</t>
  </si>
  <si>
    <t>Эффект Люцифера: Почему хорошие люди превращаются в злодеев</t>
  </si>
  <si>
    <t>NNN2511065-P</t>
  </si>
  <si>
    <t>978-5-91671-834-8</t>
  </si>
  <si>
    <t>02. Саморазвитие и личная эффективность</t>
  </si>
  <si>
    <t>2.01. Досуг и творчество</t>
  </si>
  <si>
    <t>Берман Рита</t>
  </si>
  <si>
    <t>Европейские каникулы: Раскраска</t>
  </si>
  <si>
    <t>AAA2509243-P</t>
  </si>
  <si>
    <t>978-5-0063-0771-1</t>
  </si>
  <si>
    <t>Раскрашиваем и дышим: Раскраски-антистресс</t>
  </si>
  <si>
    <t>Моя весенняя прогулка: Раскраска</t>
  </si>
  <si>
    <t>AAA2511103-P</t>
  </si>
  <si>
    <t>978-5-0063-1635-5</t>
  </si>
  <si>
    <t>Моя зимняя прогулка: Раскраска</t>
  </si>
  <si>
    <t>AAA2511101-P</t>
  </si>
  <si>
    <t>978-5-0063-1634-8</t>
  </si>
  <si>
    <t>Моя летняя прогулка: Раскраска</t>
  </si>
  <si>
    <t>AAA2603074-P</t>
  </si>
  <si>
    <t>978-5-0063-1626-3</t>
  </si>
  <si>
    <t>16.04.2026</t>
  </si>
  <si>
    <t>Моя осенняя прогулка: Раскраска</t>
  </si>
  <si>
    <t>AAA2511067-P</t>
  </si>
  <si>
    <t>978-5-0063-1630-0</t>
  </si>
  <si>
    <t>Фануз Набиль</t>
  </si>
  <si>
    <t>Простые правила хорошей жизни: 27 жемчужин мудрости</t>
  </si>
  <si>
    <t>AAA2208067-P</t>
  </si>
  <si>
    <t>978-5-9614-8261-4</t>
  </si>
  <si>
    <t>Путешествие по Азии: Раскраска</t>
  </si>
  <si>
    <t>AAA2602138-P</t>
  </si>
  <si>
    <t>978-5-0063-1625-6</t>
  </si>
  <si>
    <t>01.04.2026</t>
  </si>
  <si>
    <t>Карлинг Катя</t>
  </si>
  <si>
    <t>Скандинавский уют: Раскраска-антистресс</t>
  </si>
  <si>
    <t>AAA2506106-P</t>
  </si>
  <si>
    <t>978-5-0063-0889-3</t>
  </si>
  <si>
    <t>2.02. Серия "Переговоры и риторика" (покеты)</t>
  </si>
  <si>
    <t>Семенчук Вячеслав</t>
  </si>
  <si>
    <t>[покет-серия] 101 способ раскрутки личного бренда: Как сделать себе имя</t>
  </si>
  <si>
    <t>PGR2504045-P</t>
  </si>
  <si>
    <t>978-5-6042879-5-8</t>
  </si>
  <si>
    <t>[покет-серия] Правила делового общения: 33 "нельзя" и 33 "можно"</t>
  </si>
  <si>
    <t>AAA2601103-P</t>
  </si>
  <si>
    <t>978-5-9614-2624-3</t>
  </si>
  <si>
    <t>[покет-серия] Я говорю - меня слушают: Уроки практической риторики</t>
  </si>
  <si>
    <t>AAA2604198-P</t>
  </si>
  <si>
    <t>978-5-9614-2618-2</t>
  </si>
  <si>
    <t>2.03. Мотивационные ежедневники</t>
  </si>
  <si>
    <t xml:space="preserve">[лаванда]  Дневник впечатлений на 5 лет: 5 строчек в день</t>
  </si>
  <si>
    <t>AAA2502153-P</t>
  </si>
  <si>
    <t>978-5-9614-9218-7</t>
  </si>
  <si>
    <t xml:space="preserve">[роза]  Дневник впечатлений на 5 лет: 5 строчек в день</t>
  </si>
  <si>
    <t>AAA2502346-P</t>
  </si>
  <si>
    <t>978-5-0063-0602-8</t>
  </si>
  <si>
    <t xml:space="preserve">[ветер]  Дневник впечатлений на 5 лет: 5 строчек в день (мини)</t>
  </si>
  <si>
    <t>AAA2601094-P</t>
  </si>
  <si>
    <t>978-5-9614-8532-5</t>
  </si>
  <si>
    <t xml:space="preserve">[бутоны]  Дневник впечатлений на 5 лет: 5 строчек в день (мини)</t>
  </si>
  <si>
    <t>AAA2601090-P</t>
  </si>
  <si>
    <t>978-5-9614-8534-9</t>
  </si>
  <si>
    <t xml:space="preserve">[ирис]  Дневник впечатлений на 5 лет: 5 строчек в день (мини)</t>
  </si>
  <si>
    <t>AAA2506115-P</t>
  </si>
  <si>
    <t>978-5-0063-0896-1</t>
  </si>
  <si>
    <t xml:space="preserve">[вереск]  Дневник впечатлений на 5 лет: 5 строчек в день (мини)</t>
  </si>
  <si>
    <t>AAA2506116-P</t>
  </si>
  <si>
    <t>978-5-0063-0897-8</t>
  </si>
  <si>
    <t xml:space="preserve">6 минут PURE. Ежедневник, который изменит вашу жизнь (продолжение,  ежевика)</t>
  </si>
  <si>
    <t>AAA2401138-P</t>
  </si>
  <si>
    <t>978-5-9614-7293-6</t>
  </si>
  <si>
    <t>6 минут PURE. Ежедневник, который изменит вашу жизнь (продолжение, базальт)</t>
  </si>
  <si>
    <t>AAA2401149-P</t>
  </si>
  <si>
    <t>978-5-9614-9574-4</t>
  </si>
  <si>
    <t>6 минут PURE. Ежедневник, который изменит вашу жизнь (продолжение, пудра)</t>
  </si>
  <si>
    <t>AAA2401137-P</t>
  </si>
  <si>
    <t>978-5-9614-4193-2</t>
  </si>
  <si>
    <t>[сиреневый] 6 минут PURE. Ежедневник, который изменит вашу жизнь (продолжение). Inspired by Gunta Stölzl</t>
  </si>
  <si>
    <t>AAA2401185-P</t>
  </si>
  <si>
    <t>978-5-9614-8384-0</t>
  </si>
  <si>
    <t xml:space="preserve">6 минут:  Дневник сна</t>
  </si>
  <si>
    <t>AAA2307087-P</t>
  </si>
  <si>
    <t>978-5-9614-9101-2</t>
  </si>
  <si>
    <t>6 минут. Дневник успеха (хаки)</t>
  </si>
  <si>
    <t>AAA2502073-P</t>
  </si>
  <si>
    <t>978-5-9614-3803-1</t>
  </si>
  <si>
    <t>6 минут. Дневник успеха (шафран)</t>
  </si>
  <si>
    <t>AAA2401174-P</t>
  </si>
  <si>
    <t>978-5-9614-3802-4</t>
  </si>
  <si>
    <t>[синий] 6 минут. Дневник успеха. Inspired by Gunta Stölzl</t>
  </si>
  <si>
    <t>AAA2603019-P</t>
  </si>
  <si>
    <t>978-5-9614-8387-1</t>
  </si>
  <si>
    <t>6 минут. Ежедневник, который изменит вашу жизнь (деним)</t>
  </si>
  <si>
    <t>AAA2401132-P</t>
  </si>
  <si>
    <t>978-5-9614-3897-0</t>
  </si>
  <si>
    <t>6 минут. Ежедневник, который изменит вашу жизнь (ежевика)</t>
  </si>
  <si>
    <t>AAA2502069-P</t>
  </si>
  <si>
    <t>978-5-9614-3364-7</t>
  </si>
  <si>
    <t>6 минут. Ежедневник, который изменит вашу жизнь (корица)</t>
  </si>
  <si>
    <t>AAA2401133-P</t>
  </si>
  <si>
    <t>978-5-9614-3892-5</t>
  </si>
  <si>
    <t>6 минут. Ежедневник, который изменит вашу жизнь (лён)</t>
  </si>
  <si>
    <t>AAA2401131-P</t>
  </si>
  <si>
    <t>978-5-9614-3890-1</t>
  </si>
  <si>
    <t>6 минут. Ежедневник, который изменит вашу жизнь (лимонад)</t>
  </si>
  <si>
    <t>AAA2401130-P</t>
  </si>
  <si>
    <t>978-5-9614-3889-5</t>
  </si>
  <si>
    <t>6 минут. Ежедневник, который изменит вашу жизнь (мятный)</t>
  </si>
  <si>
    <t>AAA2401128-P</t>
  </si>
  <si>
    <t>978-5-9614-2129-3</t>
  </si>
  <si>
    <t>6 минут. Ежедневник, который изменит вашу жизнь (пудра)</t>
  </si>
  <si>
    <t>AAA2502068-P</t>
  </si>
  <si>
    <t>978-5-9614-2130-9</t>
  </si>
  <si>
    <t>[синий] 6 минут. Ежедневник, который изменит вашу жизнь. Inspired by Gunta Stölzl</t>
  </si>
  <si>
    <t>AAA2506205-P</t>
  </si>
  <si>
    <t>978-5-9614-8381-9</t>
  </si>
  <si>
    <t>[пастельный] 6 минут. Ежедневник, который изменит вашу жизнь. Inspired by Gunta Stölzl</t>
  </si>
  <si>
    <t>AAA2506206-P</t>
  </si>
  <si>
    <t>978-5-9614-8383-3</t>
  </si>
  <si>
    <t>[кобальт] 6 минут. Ежедневник, который изменит вашу жизнь. Limited Edition — Porto Collection</t>
  </si>
  <si>
    <t>AAA2505220-P</t>
  </si>
  <si>
    <t>978-5-0063-0849-7</t>
  </si>
  <si>
    <t>[охра] 6 минут. Ежедневник, который изменит вашу жизнь. Limited Edition — Porto Collection</t>
  </si>
  <si>
    <t>AAA2505221-P</t>
  </si>
  <si>
    <t>978-5-0063-0850-3</t>
  </si>
  <si>
    <t>Жукова Наталья</t>
  </si>
  <si>
    <t>90 дней освобождения от созависимости. Рабочая тетрадь</t>
  </si>
  <si>
    <t>AAA2603186-P</t>
  </si>
  <si>
    <t>978-5-0063-0134-4</t>
  </si>
  <si>
    <t>Спиллер Бэкс</t>
  </si>
  <si>
    <t>Антивыгорание: Дневник для тех, кто устал уставать. 12-недельный план избавления от стресса и эмоционального истощения</t>
  </si>
  <si>
    <t>AAA2509238-P</t>
  </si>
  <si>
    <t>978-5-9614-8644-5</t>
  </si>
  <si>
    <t>[золото] Дневник впечатлений на 5 лет: 5 строчек в день (макси)</t>
  </si>
  <si>
    <t>AAA2506145-P</t>
  </si>
  <si>
    <t>978-5-9614-7923-2</t>
  </si>
  <si>
    <t>[мед] Дневник впечатлений на 5 лет: 5 строчек в день (макси)</t>
  </si>
  <si>
    <t>AAA2602171-P</t>
  </si>
  <si>
    <t>978-5-9614-8656-8</t>
  </si>
  <si>
    <t>[акация] Дневник впечатлений на 5 лет: 5 строчек в день (макси)</t>
  </si>
  <si>
    <t>AAA2506112-P</t>
  </si>
  <si>
    <t>978-5-0063-0893-0</t>
  </si>
  <si>
    <t>[сакура] Дневник впечатлений на 5 лет: 5 строчек в день (макси)</t>
  </si>
  <si>
    <t>AAA2506113-P</t>
  </si>
  <si>
    <t>978-5-0063-0894-7</t>
  </si>
  <si>
    <t>[эвкалипт] Дневник впечатлений на 5 лет: 5 строчек в день (макси)</t>
  </si>
  <si>
    <t>AAA2602170-P</t>
  </si>
  <si>
    <t>978-5-0063-0895-4</t>
  </si>
  <si>
    <t>[тропики] Дневник впечатлений на 5 лет: 5 строчек в день (мини)</t>
  </si>
  <si>
    <t>AAA2601089-P</t>
  </si>
  <si>
    <t>978-5-9614-8535-6</t>
  </si>
  <si>
    <t>[пыльный базальт] Дневник заботы о себе</t>
  </si>
  <si>
    <t>AAA2502087-P</t>
  </si>
  <si>
    <t>978-5-0063-0529-8</t>
  </si>
  <si>
    <t>Дневник пофигиста: Тонкое искусство пофигизма на практике</t>
  </si>
  <si>
    <t>AAA2603161-P</t>
  </si>
  <si>
    <t>978-5-9614-7919-5</t>
  </si>
  <si>
    <t>Эммерс Каролин, Адамс Лин</t>
  </si>
  <si>
    <t>Дневник твоей энергии: Чек-листы, советы, упражнения</t>
  </si>
  <si>
    <t>AAA2407058-P</t>
  </si>
  <si>
    <t>978-5-0063-0001-9</t>
  </si>
  <si>
    <t>[синий] Дневник эффективности</t>
  </si>
  <si>
    <t>AAA2411135-P</t>
  </si>
  <si>
    <t>978-5-9614-8010-8</t>
  </si>
  <si>
    <t>[маджента] Дневник эффективности</t>
  </si>
  <si>
    <t>AAA2601092-P</t>
  </si>
  <si>
    <t>978-5-9614-8900-2</t>
  </si>
  <si>
    <t>[латте] Ежедневник: Метод Стивена Кови</t>
  </si>
  <si>
    <t>AAA2401063-P</t>
  </si>
  <si>
    <t>978-5-9614-8737-4</t>
  </si>
  <si>
    <t>[деним] Ежедневник: Метод Стивена Кови</t>
  </si>
  <si>
    <t>AAA2502026-P</t>
  </si>
  <si>
    <t>978-5-9614-8739-8</t>
  </si>
  <si>
    <t>Архангельский Глеб</t>
  </si>
  <si>
    <t>Ежедневник. Метод Глеба Архангельского (недатированный)</t>
  </si>
  <si>
    <t>AAA2510151-P</t>
  </si>
  <si>
    <t>978-5-0063-1597-6</t>
  </si>
  <si>
    <t>Ежедневники Глеба Архангельского</t>
  </si>
  <si>
    <t>Ежедневники Веденеевой. 365 facts about me: 365 фактов обо мне</t>
  </si>
  <si>
    <t>AAA2506200-P</t>
  </si>
  <si>
    <t>978-5-9614-8651-3</t>
  </si>
  <si>
    <t>Ежедневники Веденеевой. 75 questions: Вопросы для самопознания</t>
  </si>
  <si>
    <t>AAA2601110-P</t>
  </si>
  <si>
    <t>978-5-9614-8652-0</t>
  </si>
  <si>
    <t>Ежедневники Веденеевой. Challenge book: Блокнот для наведения порядка в жизни</t>
  </si>
  <si>
    <t>AAA2512041-P</t>
  </si>
  <si>
    <t>978-5-9614-8898-2</t>
  </si>
  <si>
    <t>Ежедневники Веденеевой. Good enough: Работа над самоценностью</t>
  </si>
  <si>
    <t>AAA2410274-P</t>
  </si>
  <si>
    <t>978-5-9614-8899-9</t>
  </si>
  <si>
    <t>Ежедневники Веденеевой. Gratitude Diary: 1000 причин для счастья. Дневник благодарности</t>
  </si>
  <si>
    <t>AAA2601099-P</t>
  </si>
  <si>
    <t>978-5-9614-8897-5</t>
  </si>
  <si>
    <t>Тейлор Эрин</t>
  </si>
  <si>
    <t>Научись отдыхать: Как восстанавливаться после физических и интеллектуальных нагрузок</t>
  </si>
  <si>
    <t>AAA2502188-P</t>
  </si>
  <si>
    <t>978-5-0063-0558-8</t>
  </si>
  <si>
    <t>[пазлы] Наш год: Ежедневник для пар. Один вопрос в день для лучшего понимания друг друга</t>
  </si>
  <si>
    <t>AAA2506207-P</t>
  </si>
  <si>
    <t>978-5-9614-8263-8</t>
  </si>
  <si>
    <t>Головина Юлия</t>
  </si>
  <si>
    <t>О'планнер: Фокус. Гибкость. Мотивация</t>
  </si>
  <si>
    <t>AAA2509013-P</t>
  </si>
  <si>
    <t>978-5-0063-1331-6</t>
  </si>
  <si>
    <t>Эммонс Генри, Буржери Сюзан, Дентон Кэролин, Качер Сандра</t>
  </si>
  <si>
    <t>Обрети утраченную радость: Холистический подход против депрессии</t>
  </si>
  <si>
    <t>AAA2407005-P</t>
  </si>
  <si>
    <t>978-5-9614-9985-8</t>
  </si>
  <si>
    <t>[кит] Один вопрос в день для обретения спокойствия: Дневник на три года</t>
  </si>
  <si>
    <t>AAA2506210-P</t>
  </si>
  <si>
    <t>978-5-9614-8965-1</t>
  </si>
  <si>
    <t>[кораллы] Один вопрос в день для обретения спокойствия: Дневник на три года</t>
  </si>
  <si>
    <t>AAA2506211-P</t>
  </si>
  <si>
    <t>978-5-9614-9842-4</t>
  </si>
  <si>
    <t>[цитрус] Один вопрос в день для хорошего настроения: Дневник на три года</t>
  </si>
  <si>
    <t>AAA2601104-P</t>
  </si>
  <si>
    <t>978-5-9614-8959-0</t>
  </si>
  <si>
    <t>[гранат] Один вопрос в день для хорошего настроения: Дневник на три года</t>
  </si>
  <si>
    <t>AAA2506209-P</t>
  </si>
  <si>
    <t>978-5-9614-9841-7</t>
  </si>
  <si>
    <t>[жар-птица] Один вопрос в день: Дневник на пять лет</t>
  </si>
  <si>
    <t>AAA2601109-P</t>
  </si>
  <si>
    <t>978-5-9614-8304-8</t>
  </si>
  <si>
    <t>[акварель] Один вопрос в день: Дневник на пять лет</t>
  </si>
  <si>
    <t>AAA2601194-P</t>
  </si>
  <si>
    <t>978-5-9614-8423-6</t>
  </si>
  <si>
    <t>[иней] Один вопрос в день: Дневник на пять лет</t>
  </si>
  <si>
    <t>AAA2506202-P</t>
  </si>
  <si>
    <t>978-5-9614-8645-2</t>
  </si>
  <si>
    <t>[мрамор] Один вопрос в день: Дневник на пять лет</t>
  </si>
  <si>
    <t>AAA2501231-P</t>
  </si>
  <si>
    <t>978-5-9614-8646-9</t>
  </si>
  <si>
    <t>[спокойствие] Один вопрос в день: Дневник на пять лет</t>
  </si>
  <si>
    <t>AAA2601108-P</t>
  </si>
  <si>
    <t>978-5-0063-0319-5</t>
  </si>
  <si>
    <t>[ривьера] Один вопрос в день: Дневник на пять лет</t>
  </si>
  <si>
    <t>AAA2506203-P</t>
  </si>
  <si>
    <t>978-5-0063-0320-1</t>
  </si>
  <si>
    <t>Хилл Дайана</t>
  </si>
  <si>
    <t>Отпусти внутреннего критика: Отношусь к себе с добротой, пониманием и состраданием</t>
  </si>
  <si>
    <t>AAA2404223-P</t>
  </si>
  <si>
    <t>978-5-9614-9812-7</t>
  </si>
  <si>
    <t>Погружение в себя. Практики. Рабочий блокнот</t>
  </si>
  <si>
    <t>AAA2410271-P</t>
  </si>
  <si>
    <t>978-5-0063-0279-2</t>
  </si>
  <si>
    <t>Бар Элиас</t>
  </si>
  <si>
    <t>Прощай, грусть! Дневник, который поможет отпустить все плохое из вашей жизни</t>
  </si>
  <si>
    <t>AAA2402015-P</t>
  </si>
  <si>
    <t>978-5-9614-9604-8</t>
  </si>
  <si>
    <t>Семь навыков высокоэффективных людей на практике. Дневник формирования полезных привычек</t>
  </si>
  <si>
    <t>AAA2603219-P</t>
  </si>
  <si>
    <t>978-5-9614-6262-3</t>
  </si>
  <si>
    <t>Тренажер утренних привычек: Дневник-помощник</t>
  </si>
  <si>
    <t>AAA2412105-P</t>
  </si>
  <si>
    <t>978-5-9614-7880-8</t>
  </si>
  <si>
    <t>2.04. Переговоры и риторика</t>
  </si>
  <si>
    <t>Гандапас Радислав</t>
  </si>
  <si>
    <t>101 совет оратору</t>
  </si>
  <si>
    <t>AAA2601020-P</t>
  </si>
  <si>
    <t>978-5-9614-6663-8</t>
  </si>
  <si>
    <t>Аргументируй это! Как убедить кого угодно в чем угодно</t>
  </si>
  <si>
    <t>AAA2505013-P</t>
  </si>
  <si>
    <t>978-5-9614-6649-2</t>
  </si>
  <si>
    <t>Безручко Павел</t>
  </si>
  <si>
    <t>[покет-серия] Без воды: Как писать предложения и отчеты для первых лиц</t>
  </si>
  <si>
    <t>AAA2602080-P</t>
  </si>
  <si>
    <t>978-5-9614-8910-1</t>
  </si>
  <si>
    <t>Сценарное и писательское мастерство</t>
  </si>
  <si>
    <t>Вам слово! Выступление без волнения</t>
  </si>
  <si>
    <t>AAA2510069-P</t>
  </si>
  <si>
    <t>978-5-9614-6997-4</t>
  </si>
  <si>
    <t>Трофимова Надежда</t>
  </si>
  <si>
    <t>Говори: 56 техник, с помощью которых вы преодолеете страх общения и станете лучшим собеседником</t>
  </si>
  <si>
    <t>AAA2511076-P</t>
  </si>
  <si>
    <t>978-5-9614-9396-2</t>
  </si>
  <si>
    <t>Кеннеди Гэвин</t>
  </si>
  <si>
    <t>[переплет] Договориться можно обо всем! Как добиваться максимума в любых переговорах</t>
  </si>
  <si>
    <t>AAA2602081-P</t>
  </si>
  <si>
    <t>978-5-9614-6868-7</t>
  </si>
  <si>
    <t>[обложка] Договориться можно обо всем! Как добиваться максимума в любых переговорах</t>
  </si>
  <si>
    <t>AAA2505018-P</t>
  </si>
  <si>
    <t>978-5-9614-6867-0</t>
  </si>
  <si>
    <t>Кеннеди Дэн, Мэтьюс Дастин</t>
  </si>
  <si>
    <t>Жесткие презентации: Как продать что угодно кому угодно</t>
  </si>
  <si>
    <t>AAA2512112-P</t>
  </si>
  <si>
    <t>978-5-9614-2055-5</t>
  </si>
  <si>
    <t>Федоров Артем</t>
  </si>
  <si>
    <t>Клиент согласен! Пошаговая система успешных переговоров от подготовки предложения до подписания договора</t>
  </si>
  <si>
    <t>LGA2101003-P</t>
  </si>
  <si>
    <t>978-5-907394-61-2</t>
  </si>
  <si>
    <t>Юри Уильям</t>
  </si>
  <si>
    <t>Мы можем договориться: Стратегии разрешения сложных конфликтов</t>
  </si>
  <si>
    <t>AAA2501169-P</t>
  </si>
  <si>
    <t>978-5-9614-9263-7</t>
  </si>
  <si>
    <t>Салякаев Артур</t>
  </si>
  <si>
    <t>Неслучайные связи: Нетворкинг как образ жизни</t>
  </si>
  <si>
    <t>PGR2603149-P</t>
  </si>
  <si>
    <t>978-5-907470-18-7</t>
  </si>
  <si>
    <t>Переговоры за минуту. Экспресс-курс делового общения</t>
  </si>
  <si>
    <t>PGR2604153-P</t>
  </si>
  <si>
    <t>978-5-907534-28-5</t>
  </si>
  <si>
    <t>Переговоры: Полный курс</t>
  </si>
  <si>
    <t>AAA2605005-P</t>
  </si>
  <si>
    <t>978-5-9614-7128-1</t>
  </si>
  <si>
    <t>Я слышу, что вы думаете на самом деле</t>
  </si>
  <si>
    <t>AAA2601125-P</t>
  </si>
  <si>
    <t>978-5-9614-6669-0</t>
  </si>
  <si>
    <t>2.05. Серия "Саморазвитие" (покеты)</t>
  </si>
  <si>
    <t>Круз Кевин</t>
  </si>
  <si>
    <t>[покет-серия] 15 секретов управления временем: Как успешные люди успевают все</t>
  </si>
  <si>
    <t>AAA2508114-P</t>
  </si>
  <si>
    <t>978-5-9614-2518-5</t>
  </si>
  <si>
    <t>[покет-серия] Аутентичность: Как быть собой</t>
  </si>
  <si>
    <t>AAA2409236-P</t>
  </si>
  <si>
    <t>978-5-9614-2888-9</t>
  </si>
  <si>
    <t>[покет-серия] Бойся... но действуй! Как превратить страх из врага в союзника</t>
  </si>
  <si>
    <t>AAA2509170-P</t>
  </si>
  <si>
    <t>978-5-9614-2682-3</t>
  </si>
  <si>
    <t>Бойся... но действуй! Как превратить страх из врага в союзника</t>
  </si>
  <si>
    <t>AAA2505183-P</t>
  </si>
  <si>
    <t>978-5-9614-6967-7</t>
  </si>
  <si>
    <t>Байстер Майк, Лоберг Кристин</t>
  </si>
  <si>
    <t>[покет-серия] Быстрый ум: Как забывать лишнее и помнить нужное</t>
  </si>
  <si>
    <t>NNN2510242-P</t>
  </si>
  <si>
    <t>978-5-00139-099-2</t>
  </si>
  <si>
    <t>[покет-серия] Гиперфокус: Как управлять вниманием в мире, полном отвлечений</t>
  </si>
  <si>
    <t>AAA2508022-P</t>
  </si>
  <si>
    <t>978-5-9614-8341-3</t>
  </si>
  <si>
    <t>[покет-серия] Главное внимание главным вещам: Жить, любить, учиться и оставить наследие</t>
  </si>
  <si>
    <t>AAA2303112-P</t>
  </si>
  <si>
    <t>978-5-9614-1104-1</t>
  </si>
  <si>
    <t>Блюменталь Бретт</t>
  </si>
  <si>
    <t>[покет-серия] Год, прожитый правильно: 52 шага к здоровому образу жизни</t>
  </si>
  <si>
    <t>AAA2601198-P</t>
  </si>
  <si>
    <t>978-5-9614-9723-6</t>
  </si>
  <si>
    <t>Рат Том</t>
  </si>
  <si>
    <t>[покет-серия] Ешь, двигайся, спи: Как повседневные решения влияют на здоровье и долголетие</t>
  </si>
  <si>
    <t>AAA2603160-P</t>
  </si>
  <si>
    <t>978-5-9614-1182-9</t>
  </si>
  <si>
    <t>Браун Питер, Рёдигер Генри, Макдэниэл Марк</t>
  </si>
  <si>
    <t>[покет-серия] Запомнить все: Усвоение знаний без скуки и зубрежки</t>
  </si>
  <si>
    <t>AAA2602079-P</t>
  </si>
  <si>
    <t>978-5-9614-2580-2</t>
  </si>
  <si>
    <t>[покет-серия] Искусство жить просто: Как избавиться от лишнего и обогатить свою жизнь</t>
  </si>
  <si>
    <t>AAA2508118-P</t>
  </si>
  <si>
    <t>978-5-9614-9609-3</t>
  </si>
  <si>
    <t>О' Коннор Джозеф, Макдермотт Иан</t>
  </si>
  <si>
    <t>[покет-серия] Искусство системного мышления: необходимые знания о системах и творческом подходе к решению проблем</t>
  </si>
  <si>
    <t>AAA2508063-P</t>
  </si>
  <si>
    <t>978-5-9614-1175-1</t>
  </si>
  <si>
    <t>Болдогоев Дмитрий, Иванова Светлана</t>
  </si>
  <si>
    <t>[покет-серия] Личная эффективность на 100%: Сбросить балласт, найти себя, достичь цели</t>
  </si>
  <si>
    <t>AAA2502295-P</t>
  </si>
  <si>
    <t>978-5-9614-2644-1</t>
  </si>
  <si>
    <t>Голдсмит Маршалл</t>
  </si>
  <si>
    <t>[покет-серия] Лучшая версия себя: Правила обретения счастья и смысла на работе и в жизни</t>
  </si>
  <si>
    <t>AAA2502203-P</t>
  </si>
  <si>
    <t>978-5-9614-2522-2</t>
  </si>
  <si>
    <t>Милн Джордан, Бьяуго Мартин</t>
  </si>
  <si>
    <t>[покет-серия] Меньше, но лучше: Работать надо не 12 часов, а головой</t>
  </si>
  <si>
    <t>AAA2502198-P</t>
  </si>
  <si>
    <t>978-5-9614-2264-1</t>
  </si>
  <si>
    <t>Маурер Роберт</t>
  </si>
  <si>
    <t>[покет-серия] Метод кайдзен: Шаг за шагом к достижению цели</t>
  </si>
  <si>
    <t>AAA2509007-P</t>
  </si>
  <si>
    <t>978-5-9614-2494-2</t>
  </si>
  <si>
    <t>Гайз Стивен</t>
  </si>
  <si>
    <t>[покет-серия] Мини-привычки — макси-результаты</t>
  </si>
  <si>
    <t>AAA2504205-P</t>
  </si>
  <si>
    <t>978-5-9614-2406-5</t>
  </si>
  <si>
    <t>Кнапп Джейк, Зерацки Джон</t>
  </si>
  <si>
    <t>[покет-серия] Найди время: Как фокусироваться на главном</t>
  </si>
  <si>
    <t>AAA2502133-P</t>
  </si>
  <si>
    <t>978-5-9614-9588-1</t>
  </si>
  <si>
    <t>Арден Рон, Трейси Брайан</t>
  </si>
  <si>
    <t>[покет-серия] Сила обаяния: Как завоевывать сердца и добиваться успеха</t>
  </si>
  <si>
    <t>AAA2509231-P</t>
  </si>
  <si>
    <t>978-5-9614-1180-5</t>
  </si>
  <si>
    <t>Нётеберг Штаффан</t>
  </si>
  <si>
    <t>[покет-серия] Тайм-менеджмент по помидору: Как концентрироваться на одном деле хотя бы 25 минут</t>
  </si>
  <si>
    <t>AAA2501252-P</t>
  </si>
  <si>
    <t>978-5-9614-9244-6</t>
  </si>
  <si>
    <t>Шварц Тони, Гомес Жан, Маккарти Кэтрин</t>
  </si>
  <si>
    <t>[покет-серия] То, как мы работаем — не работает: Проверенные способы управления жизненной энергией</t>
  </si>
  <si>
    <t>AAA2412023-P</t>
  </si>
  <si>
    <t>978-5-9614-1159-1</t>
  </si>
  <si>
    <t>[покет-серия] Убеждай и побеждай: Секреты эффективной аргументации</t>
  </si>
  <si>
    <t>AAA2304008-P</t>
  </si>
  <si>
    <t>978-5-9614-1507-0</t>
  </si>
  <si>
    <t>Силли Марла</t>
  </si>
  <si>
    <t>[покет-серия] Школа Флайледи: Как навести порядок в доме и в жизни</t>
  </si>
  <si>
    <t>AAA2511072-P</t>
  </si>
  <si>
    <t>978-5-9614-9122-7</t>
  </si>
  <si>
    <t>Фоер Джошуа</t>
  </si>
  <si>
    <t>Эйнштейн гуляет по Луне: Наука и искусство запоминания</t>
  </si>
  <si>
    <t>AAA2601123-P</t>
  </si>
  <si>
    <t>978-5-0063-1330-9</t>
  </si>
  <si>
    <t xml:space="preserve">[покет-серия] Энергия — новая валюта: Как  поддерживать баланс жизненных сил</t>
  </si>
  <si>
    <t>AAA2409250-P</t>
  </si>
  <si>
    <t>978-5-9614-8642-1</t>
  </si>
  <si>
    <t>2.06. Книги Стивена Кови</t>
  </si>
  <si>
    <t>[обложка с клапанами] Семь навыков высокоэффективных людей: Мощные инструменты развития личности (Юбилейное издание, дополненное)</t>
  </si>
  <si>
    <t>AAA2510262-P</t>
  </si>
  <si>
    <t>978-5-9614-4809-2</t>
  </si>
  <si>
    <t>03. Научно-популярные книги</t>
  </si>
  <si>
    <t>3.01. Популярная философия</t>
  </si>
  <si>
    <t>Homo amicus : Деловой человек в поисках друга</t>
  </si>
  <si>
    <t>PGR2502005-P</t>
  </si>
  <si>
    <t>978-5-0063-0521-2</t>
  </si>
  <si>
    <t>Возвращение примитива: Антииндустриальная революция</t>
  </si>
  <si>
    <t>AAA2603314-P</t>
  </si>
  <si>
    <t>978-5-9614-6253-1</t>
  </si>
  <si>
    <t>Якутенко Ирина</t>
  </si>
  <si>
    <t>Воля и самоконтроль: Как гены и мозг мешают нам бороться с соблазнами</t>
  </si>
  <si>
    <t>NNN2602160-P</t>
  </si>
  <si>
    <t>978-5-00139-477-8</t>
  </si>
  <si>
    <t>Воля к смыслу</t>
  </si>
  <si>
    <t>NNN2512315-P</t>
  </si>
  <si>
    <t>978-5-91671-848-5</t>
  </si>
  <si>
    <t>Голос разума: Философия объективизма. Эссе.</t>
  </si>
  <si>
    <t>AAA2512271-P</t>
  </si>
  <si>
    <t>978-5-9614-7286-8</t>
  </si>
  <si>
    <t>Доктор и душа: Логотерапия и экзистенциальный анализ</t>
  </si>
  <si>
    <t>NNN2511190-P</t>
  </si>
  <si>
    <t>978-5-00139-033-6</t>
  </si>
  <si>
    <t>Пильюччи Массимо</t>
  </si>
  <si>
    <t>[покет-серия] Жить хорошо: Модели личной философии от буддизма до светского гуманизма</t>
  </si>
  <si>
    <t>NNN2410355-P</t>
  </si>
  <si>
    <t>978-5-91671-970-3</t>
  </si>
  <si>
    <t>Valentish Jenny</t>
  </si>
  <si>
    <t>Зависимая: Реальная история выздоровления</t>
  </si>
  <si>
    <t>NNN2209083-P</t>
  </si>
  <si>
    <t>978-5-00139-847-9</t>
  </si>
  <si>
    <t>Как быть стоиком: Античная философия и современная жизнь</t>
  </si>
  <si>
    <t>NNN2511060-P</t>
  </si>
  <si>
    <t>978-5-91671-808-9</t>
  </si>
  <si>
    <t>Селларс Джон</t>
  </si>
  <si>
    <t>Как жить: Уроки стоицизма от Эпиктета, Сенеки и Марка Аврелия</t>
  </si>
  <si>
    <t>NNN2411090-P</t>
  </si>
  <si>
    <t>978-5-00139-726-7</t>
  </si>
  <si>
    <t>Креативность: Поток и психология открытий и изобретений</t>
  </si>
  <si>
    <t>NNN2112072-P</t>
  </si>
  <si>
    <t>978-5-00139-641-3</t>
  </si>
  <si>
    <t>Фарнсворт Уорд</t>
  </si>
  <si>
    <t>Метод Сократа: Искусство задавать вопросы о мире и о себе</t>
  </si>
  <si>
    <t>NNN2509214-P</t>
  </si>
  <si>
    <t>978-5-00223-066-2</t>
  </si>
  <si>
    <t>Миллиарды и миллиарды: Размышления о жизни и смерти на рубеже тысячелетий</t>
  </si>
  <si>
    <t>NNN2512168-P</t>
  </si>
  <si>
    <t>978-5-91671-787-7</t>
  </si>
  <si>
    <t>Миссия выполнима. Технология счастливой жизни</t>
  </si>
  <si>
    <t>PGR2512060-P</t>
  </si>
  <si>
    <t>978-5-206-00060-3</t>
  </si>
  <si>
    <t>[покет-серия] Мозг Брока. О науке, космосе и человеке</t>
  </si>
  <si>
    <t>NNN2306012-P</t>
  </si>
  <si>
    <t>978-5-00223-056-3</t>
  </si>
  <si>
    <t>[покет-серия] Наука в поисках Бога</t>
  </si>
  <si>
    <t>NNN2601056-P</t>
  </si>
  <si>
    <t>978-5-00223-027-3</t>
  </si>
  <si>
    <t xml:space="preserve"> Мерсье Уго</t>
  </si>
  <si>
    <t>Не вчера родился: Наука о том, кому мы доверяем и во что верим</t>
  </si>
  <si>
    <t>NNN2011129-P</t>
  </si>
  <si>
    <t>978-5-00139-411-2</t>
  </si>
  <si>
    <t>Кауфман Питер</t>
  </si>
  <si>
    <t>Новое Просвещение и борьба за свободу знания</t>
  </si>
  <si>
    <t>NNN2304189-P</t>
  </si>
  <si>
    <t>978-5-00223-032-7</t>
  </si>
  <si>
    <t>Вайнберг Стивен</t>
  </si>
  <si>
    <t>Объясняя мир: Истоки современной науки</t>
  </si>
  <si>
    <t>NNN2509064-P</t>
  </si>
  <si>
    <t>978-5-91671-641-2</t>
  </si>
  <si>
    <t>Подсознательный бог: Психотерапия и религия</t>
  </si>
  <si>
    <t>NNN2601054-P</t>
  </si>
  <si>
    <t>978-5-00139-517-1</t>
  </si>
  <si>
    <t>Пинкер Стивен</t>
  </si>
  <si>
    <t>Рациональность: Что это, почему нам ее не хватает и чем она важна</t>
  </si>
  <si>
    <t>NNN2303147-P</t>
  </si>
  <si>
    <t>978-5-00139-819-6</t>
  </si>
  <si>
    <t>Слепян Майкл</t>
  </si>
  <si>
    <t>Скелеты в шкафу: как наша тайная жизнь управляет явной</t>
  </si>
  <si>
    <t>NNN2010183-P</t>
  </si>
  <si>
    <t>978-5-00223-208-6</t>
  </si>
  <si>
    <t>[покет-серия] Счастливая жизнь: Руководство по стоицизму для современного человека</t>
  </si>
  <si>
    <t>NNN2601069-P</t>
  </si>
  <si>
    <t>978-5-00223-305-2</t>
  </si>
  <si>
    <t>Холл Эдит</t>
  </si>
  <si>
    <t>[покет-серия] Счастье по Аристотелю: Как античная философия может изменить вашу жизнь</t>
  </si>
  <si>
    <t>NNN2211177-P</t>
  </si>
  <si>
    <t>978-5-00139-921-6</t>
  </si>
  <si>
    <t>Чопра Самир</t>
  </si>
  <si>
    <t>Тревожность: Философское руководство</t>
  </si>
  <si>
    <t>NNN2503070-P</t>
  </si>
  <si>
    <t>978-5-00223-612-1</t>
  </si>
  <si>
    <t>Философия безмятежности: Как учение Эпикура помогает жить в современном мире</t>
  </si>
  <si>
    <t>NNN2511218-P</t>
  </si>
  <si>
    <t>978-5-00223-630-5</t>
  </si>
  <si>
    <t>Философия: Кому она нужна?</t>
  </si>
  <si>
    <t>AAA2510065-P</t>
  </si>
  <si>
    <t>978-5-9614-5949-4</t>
  </si>
  <si>
    <t>Вейнер Эрик</t>
  </si>
  <si>
    <t>Философский экспресс: Уроки жизни от великих мыслителей</t>
  </si>
  <si>
    <t>NNN2006062-P</t>
  </si>
  <si>
    <t>978-5-00139-454-9</t>
  </si>
  <si>
    <t>[обложка] Эффект Люцифера: Почему хорошие люди превращаются в злодеев</t>
  </si>
  <si>
    <t>NNN2603188-P</t>
  </si>
  <si>
    <t>978-5-00139-763-2</t>
  </si>
  <si>
    <t>3.02. Математика, физика, химия</t>
  </si>
  <si>
    <t>Орлин Бен</t>
  </si>
  <si>
    <t>Время переменных: Математический анализ в безумном мире</t>
  </si>
  <si>
    <t>NNN2512218-P</t>
  </si>
  <si>
    <t>978-5-00139-422-8</t>
  </si>
  <si>
    <t>Рис Мартин</t>
  </si>
  <si>
    <t>[покет-серия] Всего шесть чисел: Главные силы, формирующие Вселенную</t>
  </si>
  <si>
    <t>NNN2312116-P</t>
  </si>
  <si>
    <t>978-5-00223-236-9</t>
  </si>
  <si>
    <t>Ливио Марио</t>
  </si>
  <si>
    <t>Галилей и отрицатели науки</t>
  </si>
  <si>
    <t>NNN2002005-P</t>
  </si>
  <si>
    <t>978-5-00139-305-4</t>
  </si>
  <si>
    <t>Книги Политеха</t>
  </si>
  <si>
    <t>Вильчек Фрэнк</t>
  </si>
  <si>
    <t>Красота физики: Постигая устройство природы</t>
  </si>
  <si>
    <t>NNN2512180-P</t>
  </si>
  <si>
    <t>978-5-91671-653-5</t>
  </si>
  <si>
    <t>Математика для тех, кто боится математики: Еще одна книга с дурацкими рисунками</t>
  </si>
  <si>
    <t>NNN2404023-P</t>
  </si>
  <si>
    <t>978-5-00223-331-1</t>
  </si>
  <si>
    <t>Стюарт Иэн</t>
  </si>
  <si>
    <t>Математика космоса: Как современная наука расшифровывает Вселенную</t>
  </si>
  <si>
    <t>NNN2604098-P</t>
  </si>
  <si>
    <t>978-5-00139-624-6</t>
  </si>
  <si>
    <t>Математика с дурацкими рисунками: Идеи, которые формируют нашу реальность</t>
  </si>
  <si>
    <t>NNN2510013-P</t>
  </si>
  <si>
    <t>978-5-00139-339-9</t>
  </si>
  <si>
    <t>Математические игры с дурацкими рисунками: 75 ¼ простых, но требующих сообразительности игр, в которые можно играть где угодно</t>
  </si>
  <si>
    <t>NNN2511364-P</t>
  </si>
  <si>
    <t>978-5-00139-647-5</t>
  </si>
  <si>
    <t>Фогт Ингве</t>
  </si>
  <si>
    <t>Математические трюки для быстрого счёта</t>
  </si>
  <si>
    <t>AAA2507074-P</t>
  </si>
  <si>
    <t>978-5-9614-3198-8</t>
  </si>
  <si>
    <t>[покет] Начало бесконечности: Объяснения, которые меняют мир</t>
  </si>
  <si>
    <t>NNN2412221-P</t>
  </si>
  <si>
    <t>978-5-00139-004-6</t>
  </si>
  <si>
    <t>Бессис Давид</t>
  </si>
  <si>
    <t>Путь к сути вещей: Как понять мир с помощью математики</t>
  </si>
  <si>
    <t>AAA2211196-P</t>
  </si>
  <si>
    <t>978-5-9614-8471-7</t>
  </si>
  <si>
    <t>Сто лет недосказанности: Квантовая механика для всех в 25 эссе</t>
  </si>
  <si>
    <t>NNN2510216-P</t>
  </si>
  <si>
    <t>978-5-00223-174-4</t>
  </si>
  <si>
    <t>Уравнение Бога: В поисках теории всего</t>
  </si>
  <si>
    <t>NNN2603301-P</t>
  </si>
  <si>
    <t>978-5-00139-431-0</t>
  </si>
  <si>
    <t>Уоринг Крис</t>
  </si>
  <si>
    <t>Формулы на все случаи жизни: Как математика помогает выходить из сложных ситуаций</t>
  </si>
  <si>
    <t>AAA2205145-P</t>
  </si>
  <si>
    <t>978-5-9614-7818-1</t>
  </si>
  <si>
    <t>Это база: Зачем нужна математика в повседневной жизни</t>
  </si>
  <si>
    <t>NNN2601138-P</t>
  </si>
  <si>
    <t>978-5-00139-576-8</t>
  </si>
  <si>
    <t>3.03. Биология и палеонтология</t>
  </si>
  <si>
    <t>Шестова Ольга, Иноземцев Лев</t>
  </si>
  <si>
    <t>[покет-серия] 30 нобелевских премий: Открытия, изменившие медицину</t>
  </si>
  <si>
    <t>NNN2308074-P</t>
  </si>
  <si>
    <t>978-5-00223-120-1</t>
  </si>
  <si>
    <t>Рамирес Айнисса</t>
  </si>
  <si>
    <t>Алхимия и жизнь: Как люди и материалы меняли друг друга</t>
  </si>
  <si>
    <t>NNN2010204-P</t>
  </si>
  <si>
    <t>978-5-00139-762-5</t>
  </si>
  <si>
    <t>Джеймисон Кей</t>
  </si>
  <si>
    <t>[покет-серия] Беспокойный ум: Моя победа над биполярным расстройством</t>
  </si>
  <si>
    <t>AAA2601023-P</t>
  </si>
  <si>
    <t>978-5-0063-1829-8</t>
  </si>
  <si>
    <t>[в 2-х книгах] Биология добра и зла. Как наука объясняет наши поступки</t>
  </si>
  <si>
    <t>NNN2603189-P</t>
  </si>
  <si>
    <t>978-5-00139-765-6</t>
  </si>
  <si>
    <t>Санхи Ли, Синъён Юн</t>
  </si>
  <si>
    <t>Близкие контакты далеких предков: Как эволюционировал наш вид</t>
  </si>
  <si>
    <t>NNN1811187-P</t>
  </si>
  <si>
    <t>978-5-00139-086-2</t>
  </si>
  <si>
    <t>Эллисон Аманда</t>
  </si>
  <si>
    <t>Боль в твоей голове: Откуда она берется и как от нее избавиться</t>
  </si>
  <si>
    <t>NNN2005116-P</t>
  </si>
  <si>
    <t>978-5-91671-958-1</t>
  </si>
  <si>
    <t>Сет Анил</t>
  </si>
  <si>
    <t>Быть собой: Новая теория сознания</t>
  </si>
  <si>
    <t>NNN2401009-P</t>
  </si>
  <si>
    <t>978-5-00139-946-9</t>
  </si>
  <si>
    <t>Коблик Евгений</t>
  </si>
  <si>
    <t>В верховьях «русской Амазонки»: Хроники орнитологической экспедиции</t>
  </si>
  <si>
    <t>NNN2510146-P</t>
  </si>
  <si>
    <t>978-5-00223-421-9</t>
  </si>
  <si>
    <t>Сафина Карл</t>
  </si>
  <si>
    <t>В погоне за черепахой: Путешествие длиной в 200 миллионов лет</t>
  </si>
  <si>
    <t>NNN2011259-P</t>
  </si>
  <si>
    <t>978-5-00139-868-4</t>
  </si>
  <si>
    <t>Холмс Боб</t>
  </si>
  <si>
    <t>Вкус: Наука о самом малоизученном человеческом чувстве</t>
  </si>
  <si>
    <t>AAA2601098-P</t>
  </si>
  <si>
    <t>978-5-9614-6902-8</t>
  </si>
  <si>
    <t>Воспитание дикости: Как животные создают свою культуру, растят потомство, учат и учатся</t>
  </si>
  <si>
    <t>NNN2008092-P</t>
  </si>
  <si>
    <t>978-5-00139-448-8</t>
  </si>
  <si>
    <t>Брусатти Стив</t>
  </si>
  <si>
    <t>[покет-серия] Время динозавров: Новая история древних ящеров</t>
  </si>
  <si>
    <t>NNN2411076-P</t>
  </si>
  <si>
    <t>978-5-00223-515-5</t>
  </si>
  <si>
    <t>Гаванде Атул</t>
  </si>
  <si>
    <t>Всё возможное: как врачи спасают наши жизни</t>
  </si>
  <si>
    <t>NNN2003014-P</t>
  </si>
  <si>
    <t>978-5-00139-495-2</t>
  </si>
  <si>
    <t>Майер Эмеран</t>
  </si>
  <si>
    <t>[покет-серия] Второй мозг: Как микробы в кишечнике управляют нашим настроением, решениями и здоровьем</t>
  </si>
  <si>
    <t>NNN2502171-P</t>
  </si>
  <si>
    <t>978-5-00223-204-8</t>
  </si>
  <si>
    <t>Глазами альбатроса</t>
  </si>
  <si>
    <t>NNN2602149-P</t>
  </si>
  <si>
    <t>978-5-00223-849-1</t>
  </si>
  <si>
    <t>Нелихов Антон</t>
  </si>
  <si>
    <t>Динозавры России: Прошлое, настоящее, будущее</t>
  </si>
  <si>
    <t>NNN2605079-P</t>
  </si>
  <si>
    <t>978-5-00139-711-3</t>
  </si>
  <si>
    <t>Винарский Максим</t>
  </si>
  <si>
    <t>Евангелие от LUCA: В поисках родословной животного мира</t>
  </si>
  <si>
    <t>NNN2509041-P</t>
  </si>
  <si>
    <t>978-5-00139-375-7</t>
  </si>
  <si>
    <t>Циммер Карл</t>
  </si>
  <si>
    <t>[покет-серия] Живое и неживое: В поисках определения жизни</t>
  </si>
  <si>
    <t>NNN2212063-P</t>
  </si>
  <si>
    <t>978-5-00139-894-3</t>
  </si>
  <si>
    <t>Полуэктов Михаил</t>
  </si>
  <si>
    <t>[покет-серия] Загадки сна: От бессонницы до летаргии</t>
  </si>
  <si>
    <t>NNN2512308-P</t>
  </si>
  <si>
    <t>978-5-00223-309-0</t>
  </si>
  <si>
    <t xml:space="preserve">Остерхолм Майкл, Олшейкер  Марк</t>
  </si>
  <si>
    <t>Заклятый враг: Наша война со смертельными инфекциями</t>
  </si>
  <si>
    <t>NNN2003109-P</t>
  </si>
  <si>
    <t>978-5-00139-564-5</t>
  </si>
  <si>
    <t>[обложка] Записки примата: необычайная жизнь ученого среди павианов</t>
  </si>
  <si>
    <t>NNN2512178-P</t>
  </si>
  <si>
    <t>978-5-00223-084-6</t>
  </si>
  <si>
    <t>Цуй Бонни</t>
  </si>
  <si>
    <t>Зачем мы плаваем</t>
  </si>
  <si>
    <t>NNN2103216-P</t>
  </si>
  <si>
    <t>978-5-00139-461-7</t>
  </si>
  <si>
    <t>Бернс Грегори</t>
  </si>
  <si>
    <t>Иллюзия себя: Что говорит нейронаука о нашем самовосприятии</t>
  </si>
  <si>
    <t>NNN2510241-P</t>
  </si>
  <si>
    <t>978-5-00139-899-8</t>
  </si>
  <si>
    <t>Журавлев Андрей</t>
  </si>
  <si>
    <t>Как живые: Двуногие змеи, акулы-зомби и другие исчезнувшие животные</t>
  </si>
  <si>
    <t>NNN2411086-P</t>
  </si>
  <si>
    <t>978-5-00223-082-2</t>
  </si>
  <si>
    <t>Маслэнд Ричард</t>
  </si>
  <si>
    <t>Как мы видим? Нейробиология зрительного восприятия</t>
  </si>
  <si>
    <t>AAA1905018-P</t>
  </si>
  <si>
    <t>978-5-9614-7248-6</t>
  </si>
  <si>
    <t>Решетун Алексей</t>
  </si>
  <si>
    <t>Как не умереть молодым: Судмедэксперт о смерти, которой можно избежать</t>
  </si>
  <si>
    <t>AAA2509017-P</t>
  </si>
  <si>
    <t>978-5-9614-3606-8</t>
  </si>
  <si>
    <t>Блэк Райли</t>
  </si>
  <si>
    <t>Как умирали динозавры: Убийственный астероид и рождение нового мира</t>
  </si>
  <si>
    <t>NNN2410086-P</t>
  </si>
  <si>
    <t>978-5-00223-256-7</t>
  </si>
  <si>
    <t>Левицкий Михаил</t>
  </si>
  <si>
    <t>[покет-серия] Карнавал молекул: химия необычная и забавная</t>
  </si>
  <si>
    <t>NNN2402049-P</t>
  </si>
  <si>
    <t>978-5-00223-271-0</t>
  </si>
  <si>
    <t>Задра Антонио, Стикголд Роберт</t>
  </si>
  <si>
    <t>Когда мозг спит: Сновидения с точки зрения науки</t>
  </si>
  <si>
    <t>NNN2603126-P</t>
  </si>
  <si>
    <t>978-5-00139-492-1</t>
  </si>
  <si>
    <t>Макфи Росс</t>
  </si>
  <si>
    <t>Конец мегафауны: Увлекательная жизнь и загадочная гибель мамонтов, саблезубых тигров и гигантских ленивцев</t>
  </si>
  <si>
    <t>NNN2412160-P</t>
  </si>
  <si>
    <t>978-5-00139-515-7</t>
  </si>
  <si>
    <t>Храмов Александр</t>
  </si>
  <si>
    <t>[обложка] Краткая история насекомых: Шестиногие хозяева планеты</t>
  </si>
  <si>
    <t>NNN2511219-P</t>
  </si>
  <si>
    <t>978-5-00139-956-8</t>
  </si>
  <si>
    <t>Олдерсон-Дэй Бен</t>
  </si>
  <si>
    <t>Кто здесь? Эффект ощущаемого присутствия с точки зрения науки</t>
  </si>
  <si>
    <t>NNN2301040-P</t>
  </si>
  <si>
    <t>978-5-00139-945-2</t>
  </si>
  <si>
    <t>Лаборатория химических историй: От электрона до молекулярных машин</t>
  </si>
  <si>
    <t>NNN2205108-P</t>
  </si>
  <si>
    <t>978-5-00139-560-7</t>
  </si>
  <si>
    <t xml:space="preserve">Эрлих  Генрих, Комаров  Сергей</t>
  </si>
  <si>
    <t>[покет-серия] Легко ли плыть в сиропе? Откуда берутся странные научные открытия</t>
  </si>
  <si>
    <t>NNN2310114-P</t>
  </si>
  <si>
    <t>978-5-00223-168-3</t>
  </si>
  <si>
    <t>Кёрк Эдвин</t>
  </si>
  <si>
    <t>Мальчик, который не переставал расти… и другие истории про гены и людей</t>
  </si>
  <si>
    <t>NNN2011113-P</t>
  </si>
  <si>
    <t>978-5-00139-405-1</t>
  </si>
  <si>
    <t>Уэбб Эми, Гессель Эндрю</t>
  </si>
  <si>
    <t>Машина творения: Новые организмы, редактирование генома и лабораторные гамбургеры</t>
  </si>
  <si>
    <t>NNN2112133-P</t>
  </si>
  <si>
    <t>978-5-00139-648-2</t>
  </si>
  <si>
    <t>Мертвый лев: Посмертная биография Дарвина и его идей</t>
  </si>
  <si>
    <t>NNN2601060-P</t>
  </si>
  <si>
    <t>978-5-00223-052-5</t>
  </si>
  <si>
    <t>Годфри-Смит Питер</t>
  </si>
  <si>
    <t>Метазоа: Зарождение разума в животном мире</t>
  </si>
  <si>
    <t>NNN2105213-P</t>
  </si>
  <si>
    <t>978-5-00139-865-3</t>
  </si>
  <si>
    <t>Хайэм Том</t>
  </si>
  <si>
    <t>Мир до нас: Новый взгляд на происхождение человека</t>
  </si>
  <si>
    <t>NNN2509135-P</t>
  </si>
  <si>
    <t>978-5-00139-672-7</t>
  </si>
  <si>
    <t>Затевахин Иван</t>
  </si>
  <si>
    <t>Мы, собаки и другие животные: Записки дрессировщика</t>
  </si>
  <si>
    <t>NNN2501191-P</t>
  </si>
  <si>
    <t>978-5-00139-792-2</t>
  </si>
  <si>
    <t>Левитин Дэниел</t>
  </si>
  <si>
    <t>На музыке: Наука о человеческой одержимости звуком</t>
  </si>
  <si>
    <t>NNN2511142-P</t>
  </si>
  <si>
    <t>978-5-91671-994-9</t>
  </si>
  <si>
    <t>Де Вааль Франс</t>
  </si>
  <si>
    <t>Наша внутренняя обезьяна: Двойственная природа человека</t>
  </si>
  <si>
    <t>NNN2404165-P</t>
  </si>
  <si>
    <t>978-5-00139-380-1</t>
  </si>
  <si>
    <t>Кондратова Мария</t>
  </si>
  <si>
    <t>Невидимый страж: Как иммунитет защищает нас от внешних и внутренних угроз</t>
  </si>
  <si>
    <t>NNN2111062-P</t>
  </si>
  <si>
    <t>978-5-00139-750-2</t>
  </si>
  <si>
    <t>Корнфельт Торилл</t>
  </si>
  <si>
    <t>Неестественный отбор: Генная инженерия и человек будущего</t>
  </si>
  <si>
    <t>Пер. с шв.</t>
  </si>
  <si>
    <t>AAA2010027-P</t>
  </si>
  <si>
    <t>978-5-9614-7516-6</t>
  </si>
  <si>
    <t>Йонг Эд</t>
  </si>
  <si>
    <t>Необъятный мир: Как животные ощущают скрытую от нас реальность­</t>
  </si>
  <si>
    <t>NNN2512311-P</t>
  </si>
  <si>
    <t>978-5-00139-869-1</t>
  </si>
  <si>
    <t>Лейланд Кевин</t>
  </si>
  <si>
    <t>Неоконченная симфония Дарвина: Как культура формировала человеческий разум</t>
  </si>
  <si>
    <t>NNN2011276-P</t>
  </si>
  <si>
    <t>978-5-00139-436-5</t>
  </si>
  <si>
    <t>Вернон Элис</t>
  </si>
  <si>
    <t>Ночные кошмары: Нарушения сна и как мы с ними живем наяву</t>
  </si>
  <si>
    <t>NNN2311074-P</t>
  </si>
  <si>
    <t>978-5-00223-212-3</t>
  </si>
  <si>
    <t>Стоф Данна</t>
  </si>
  <si>
    <t>Осьминоги, каракатицы, адские вампиры: 500 миллионов лет истории головоногих моллюсков</t>
  </si>
  <si>
    <t>NNN2011273-P</t>
  </si>
  <si>
    <t>978-5-00139-867-7</t>
  </si>
  <si>
    <t>Волчок Анастасия</t>
  </si>
  <si>
    <t>От пробирки до кастрюли: Как ученые разрабатывают продукты, которые мы едим каждый день</t>
  </si>
  <si>
    <t>AAA2409130-P</t>
  </si>
  <si>
    <t>978-5-0063-0160-3</t>
  </si>
  <si>
    <t>Добсон Энди</t>
  </si>
  <si>
    <t>Ошибки природы: Пределы и несовершенство естественного отбора</t>
  </si>
  <si>
    <t>NNN2412275-P</t>
  </si>
  <si>
    <t>978-5-00223-551-3</t>
  </si>
  <si>
    <t>Шах Соня</t>
  </si>
  <si>
    <t>Пандемия: Всемирная история смертельных инфекций</t>
  </si>
  <si>
    <t>NNN2512161-P</t>
  </si>
  <si>
    <t>978-5-00223-665-7</t>
  </si>
  <si>
    <t>Чек Томас</t>
  </si>
  <si>
    <t>Первая молекула: Как РНК раскрывает главные тайны биологии</t>
  </si>
  <si>
    <t>NNN2412139-P</t>
  </si>
  <si>
    <t>978-5-00223-539-1</t>
  </si>
  <si>
    <t xml:space="preserve"> Десильва Джереми</t>
  </si>
  <si>
    <t>Первые шаги: Как прямохождение сделало нас людьми</t>
  </si>
  <si>
    <t>NNN2106029-P</t>
  </si>
  <si>
    <t>978-5-00139-917-9</t>
  </si>
  <si>
    <t>Колберт Элизабет</t>
  </si>
  <si>
    <t>Под белым небом: Как человек меняет природу</t>
  </si>
  <si>
    <t>NNN2012210-P</t>
  </si>
  <si>
    <t>978-5-00139-587-4</t>
  </si>
  <si>
    <t>Рамакришнан Венки</t>
  </si>
  <si>
    <t>Почему мы умираем: Передовая наука о старении и поиск бессмертия</t>
  </si>
  <si>
    <t>NNN2510236-P</t>
  </si>
  <si>
    <t>978-5-00223-390-8</t>
  </si>
  <si>
    <t>Эндресен Кристоффер</t>
  </si>
  <si>
    <t>Почти как мы: Вся правда о свиньях</t>
  </si>
  <si>
    <t>NNN2603249-P</t>
  </si>
  <si>
    <t>978-5-00223-992-4</t>
  </si>
  <si>
    <t>Андерсон Дэвид</t>
  </si>
  <si>
    <t>Природа зверя: Как эмоции управляют людьми и другими животными</t>
  </si>
  <si>
    <t>NNN2310112-P</t>
  </si>
  <si>
    <t>978-5-00223-167-6</t>
  </si>
  <si>
    <t>Данн Роб, Санчес Моника</t>
  </si>
  <si>
    <t>Происхождение вкусов: Как любовь к еде сделала нас людьми</t>
  </si>
  <si>
    <t>NNN2602041-P</t>
  </si>
  <si>
    <t>978-5-00223-221-5</t>
  </si>
  <si>
    <t>Происхождение жизни. От туманности до клетки</t>
  </si>
  <si>
    <t>NNN2603302-P</t>
  </si>
  <si>
    <t>978-5-91671-821-8</t>
  </si>
  <si>
    <t>Гриббин Джон, Гриббин Мэри</t>
  </si>
  <si>
    <t>Происхождение эволюции: Идея естественного отбора до и после Дарвина</t>
  </si>
  <si>
    <t>NNN2008089-P</t>
  </si>
  <si>
    <t>978-5-00139-681-9</t>
  </si>
  <si>
    <t>Лосева Полина</t>
  </si>
  <si>
    <t>[покет-серия] Против часовой стрелки: Что такое старение и как с ним бороться</t>
  </si>
  <si>
    <t>NNN2501223-P</t>
  </si>
  <si>
    <t>978-5-00223-563-6</t>
  </si>
  <si>
    <t>Кершенбаум Арик</t>
  </si>
  <si>
    <t>Путеводитель зоолога по Галактике: Что земные животные могут рассказать об инопланетянах – и о нас самих</t>
  </si>
  <si>
    <t>NNN1912015-P</t>
  </si>
  <si>
    <t>978-5-00139-244-6</t>
  </si>
  <si>
    <t>Дейвис Кевин</t>
  </si>
  <si>
    <t>Редактируя человечество: Революция CRISPR и новая эра изменения генома</t>
  </si>
  <si>
    <t>NNN2105062-P</t>
  </si>
  <si>
    <t>978-5-00223-117-1</t>
  </si>
  <si>
    <t>авторов Коллектив</t>
  </si>
  <si>
    <t>Рекомендации по проведению стереотаксической лучевой терапии на аппарате «КиберНож»</t>
  </si>
  <si>
    <t>PGR2207118-P</t>
  </si>
  <si>
    <t>978-5-206-00093-1</t>
  </si>
  <si>
    <t>Рэгг Сайкс Ребекка</t>
  </si>
  <si>
    <t>Родня: жизнь, любовь, искусство и смерть неандертальцев</t>
  </si>
  <si>
    <t>NNN2011036-P</t>
  </si>
  <si>
    <t>978-5-00139-790-8</t>
  </si>
  <si>
    <t>Франк-Каменецкий Максим</t>
  </si>
  <si>
    <t>[покет-серия] Самая главная молекула: От структуры ДНК к биомедицине XXI века</t>
  </si>
  <si>
    <t>NNN2310146-P</t>
  </si>
  <si>
    <t>978-5-00223-172-0</t>
  </si>
  <si>
    <t>ПостНаука</t>
  </si>
  <si>
    <t>Алексенко Алексей</t>
  </si>
  <si>
    <t>Секс с учеными: Половое размножение и другие загадки биологии</t>
  </si>
  <si>
    <t>NNN2212158-P</t>
  </si>
  <si>
    <t>978-5-00139-935-3</t>
  </si>
  <si>
    <t>Солмс Марк</t>
  </si>
  <si>
    <t>Скрытый источник сознания: В поисках природы субъективного опыта</t>
  </si>
  <si>
    <t>NNN2412159-P</t>
  </si>
  <si>
    <t>978-5-00139-573-7</t>
  </si>
  <si>
    <t>Черчленд Патриция</t>
  </si>
  <si>
    <t>[покет-серия] Совесть: Происхождение нравственной интуиции</t>
  </si>
  <si>
    <t>NNN2311020-P</t>
  </si>
  <si>
    <t>978-5-00223-203-1</t>
  </si>
  <si>
    <t>Варрайч Хайдер</t>
  </si>
  <si>
    <t>Современная смерть: Как медицина изменила уход из жизни</t>
  </si>
  <si>
    <t>NNN1911064-P</t>
  </si>
  <si>
    <t>978-5-00139-364-1</t>
  </si>
  <si>
    <t>Колок Алан</t>
  </si>
  <si>
    <t>Современные яды: Дозы, действие, последствия</t>
  </si>
  <si>
    <t>AAA2303151-P</t>
  </si>
  <si>
    <t>978-5-9614-8754-1</t>
  </si>
  <si>
    <t>Сотворение Земли: Как живые организмы создали наш мир</t>
  </si>
  <si>
    <t>NNN2603119-P</t>
  </si>
  <si>
    <t>978-5-91671-902-4</t>
  </si>
  <si>
    <t>19.03.2026</t>
  </si>
  <si>
    <t>Маркел Ховард</t>
  </si>
  <si>
    <t>Тайна жизни: Как Розалинд Франклин, Джеймс Уотсон и Фрэнсис Крик открыли структуру ДНК</t>
  </si>
  <si>
    <t>NNN2111321-P</t>
  </si>
  <si>
    <t>978-5-00139-639-0</t>
  </si>
  <si>
    <t>Хувен Кэрол</t>
  </si>
  <si>
    <t>Тестостерон: гормон, который разделяет и властвует</t>
  </si>
  <si>
    <t>NNN2107090-P</t>
  </si>
  <si>
    <t>978-5-00223-188-1</t>
  </si>
  <si>
    <t>Форти Ричард</t>
  </si>
  <si>
    <t>[покет-серия] Трилобиты. Свидетели эволюции</t>
  </si>
  <si>
    <t>NNN2402111-P</t>
  </si>
  <si>
    <t>978-5-00223-276-5</t>
  </si>
  <si>
    <t>Мартин-Лоэчес Мануэль</t>
  </si>
  <si>
    <t>Умнее всех? Как наш мозг думает и принимает решения</t>
  </si>
  <si>
    <t>NNN2405008-P</t>
  </si>
  <si>
    <t>978-5-00223-370-0</t>
  </si>
  <si>
    <t>[обложка] Хлопок одной ладонью: Как неживая природа породила человеческий разум</t>
  </si>
  <si>
    <t>NNN2603239-P</t>
  </si>
  <si>
    <t>978-5-00223-980-1</t>
  </si>
  <si>
    <t>Резник Наталья</t>
  </si>
  <si>
    <t>Человек среди котов: История близкого соседства</t>
  </si>
  <si>
    <t>NNN2505203-P</t>
  </si>
  <si>
    <t>978-5-00223-683-1</t>
  </si>
  <si>
    <t>Чистый лист. Природа человека. Кто и почему отказывается признавать ее сегодня</t>
  </si>
  <si>
    <t>NNN2301086-P</t>
  </si>
  <si>
    <t>978-5-00139-441-9</t>
  </si>
  <si>
    <t>Роуч Мэри</t>
  </si>
  <si>
    <t>Шерсть дыбом: Медведи-взломщики, макаки-мародеры и другие преступники дикой природы</t>
  </si>
  <si>
    <t>NNN2303184-P</t>
  </si>
  <si>
    <t>978-5-91671-432-6</t>
  </si>
  <si>
    <t>Эра млекопитающих: Из тени динозавров к мировому господству</t>
  </si>
  <si>
    <t>NNN2501275-P</t>
  </si>
  <si>
    <t>978-5-00139-784-7</t>
  </si>
  <si>
    <t>Акерман Дженнифер</t>
  </si>
  <si>
    <t>Эти гениальные птицы</t>
  </si>
  <si>
    <t>NNN2510044-P</t>
  </si>
  <si>
    <t>978-5-91671-944-4</t>
  </si>
  <si>
    <t>Эстбю Хильда, Эстбю Ильва</t>
  </si>
  <si>
    <t>[покет-серия] Это мой конек: Наука запоминания и забывания</t>
  </si>
  <si>
    <t>NNN2401081-P</t>
  </si>
  <si>
    <t>978-5-00223-258-1</t>
  </si>
  <si>
    <t>Уильямс Венди</t>
  </si>
  <si>
    <t>Язык бабочек: Как воры, коллекционеры и ученые раскрыли секреты самых красивых насекомых в мире</t>
  </si>
  <si>
    <t>NNN2003142-P</t>
  </si>
  <si>
    <t>978-5-00139-793-9</t>
  </si>
  <si>
    <t>3.04. Новые технологии и футурология</t>
  </si>
  <si>
    <t>Гильен Мауро</t>
  </si>
  <si>
    <t>2030: Как современные тренды влияют друг на друга и на наше будущее</t>
  </si>
  <si>
    <t>AAA2602019-P</t>
  </si>
  <si>
    <t>978-5-9614-7517-3</t>
  </si>
  <si>
    <t>Табернакулов Александр, Койфманн Ян</t>
  </si>
  <si>
    <t>Блокчейн на практике</t>
  </si>
  <si>
    <t>AAA1812053-P</t>
  </si>
  <si>
    <t>978-5-9614-2382-2</t>
  </si>
  <si>
    <t>Будущее человечества: Колонизация Марса, путешествия к звездам и обретение бессмертия</t>
  </si>
  <si>
    <t>NNN2511300-P</t>
  </si>
  <si>
    <t>978-5-00139-053-4</t>
  </si>
  <si>
    <t>Форд Мартин</t>
  </si>
  <si>
    <t>Власть роботов: Как подготовиться к неизбежному</t>
  </si>
  <si>
    <t>NNN2010015-P</t>
  </si>
  <si>
    <t>978-5-00139-568-3</t>
  </si>
  <si>
    <t>Шумский Сергей</t>
  </si>
  <si>
    <t>Воспитание машин: Новая история разума</t>
  </si>
  <si>
    <t>NNN2502078-P</t>
  </si>
  <si>
    <t>978-5-00139-458-7</t>
  </si>
  <si>
    <t>Неверов Дмитрий</t>
  </si>
  <si>
    <t>Идём по киберследу : Анализ защищенности Active Directory c помощью утилиты BloodHound</t>
  </si>
  <si>
    <t>PGR2408100-P</t>
  </si>
  <si>
    <t>978-5-206-00398-7</t>
  </si>
  <si>
    <t>Холмс Уэйн, Бялик Майя, Фейдл Чарльз</t>
  </si>
  <si>
    <t>Искусственный интеллект в образовании : Перспективы и проблемы для преподавания и обучения</t>
  </si>
  <si>
    <t>PGR2404021-P</t>
  </si>
  <si>
    <t>978-5-907534-69-8</t>
  </si>
  <si>
    <t>Маркус Гари, Дэвис Эрнест</t>
  </si>
  <si>
    <t>Искусственный интеллект: перезагрузка : Как создать машинный разум, которому действительно можно доверять</t>
  </si>
  <si>
    <t>LGI2104079-P</t>
  </si>
  <si>
    <t>978-5-907394-93-3</t>
  </si>
  <si>
    <t>Киссинджер Генри, Шмидт Эрик, Хаттенлокер Дэниел</t>
  </si>
  <si>
    <t>Искусственный разум и новая эра человечества</t>
  </si>
  <si>
    <t>PGR2604094-P</t>
  </si>
  <si>
    <t>978-5-907534-65-0</t>
  </si>
  <si>
    <t>Шнайдер Сьюзан</t>
  </si>
  <si>
    <t>Искусственный ты: машинный интеллект и будущее нашего разума</t>
  </si>
  <si>
    <t>NNN2011061-P</t>
  </si>
  <si>
    <t>978-5-00139-415-0</t>
  </si>
  <si>
    <t>Лекун Ян</t>
  </si>
  <si>
    <t>Как учится машина: Революция в области нейронных сетей и глубокого обучения</t>
  </si>
  <si>
    <t>PGR2601081-P</t>
  </si>
  <si>
    <t>978-5-907394-92-6</t>
  </si>
  <si>
    <t>Квантовое превосходство: Революция в вычислениях, которая изменит всё</t>
  </si>
  <si>
    <t>NNN2412058-P</t>
  </si>
  <si>
    <t>978-5-00139-728-1</t>
  </si>
  <si>
    <t>Шнайер Брюс</t>
  </si>
  <si>
    <t>Кибергейт: Как выжить в мире умных вещей</t>
  </si>
  <si>
    <t>PGR2112121-P</t>
  </si>
  <si>
    <t>978-5-907534-61-2</t>
  </si>
  <si>
    <t>Эрнст Вольфганг</t>
  </si>
  <si>
    <t>Кровельная изоляция. Кровельное озеленение. Гидроизоляционные материалы</t>
  </si>
  <si>
    <t>PGR2105196-P</t>
  </si>
  <si>
    <t>978-5-907534-38-4</t>
  </si>
  <si>
    <t>Аль-Халили Джим</t>
  </si>
  <si>
    <t>На что похоже будущее? Даже ученые не могут предсказать… или могут?</t>
  </si>
  <si>
    <t>N1804121</t>
  </si>
  <si>
    <t>978-5-00139-095-4</t>
  </si>
  <si>
    <t>Грациано Майкл</t>
  </si>
  <si>
    <t>Наука сознания: Современная теория субъективного опыта</t>
  </si>
  <si>
    <t>NNN1910073-P</t>
  </si>
  <si>
    <t>978-5-00139-208-8</t>
  </si>
  <si>
    <t>Хан Салман</t>
  </si>
  <si>
    <t>Новые миры образования: Трансформация обучения в эпоху искусственного интеллекта</t>
  </si>
  <si>
    <t>PGR2407080-P</t>
  </si>
  <si>
    <t>978-5-206-00384-0</t>
  </si>
  <si>
    <t>Марси Карл</t>
  </si>
  <si>
    <t>Перепрошивка: Как защитить свой мозг в цифровую эпоху</t>
  </si>
  <si>
    <t>NNN2201174-P</t>
  </si>
  <si>
    <t>978-5-00139-669-7</t>
  </si>
  <si>
    <t>Хуан Антонио</t>
  </si>
  <si>
    <t>Переход в облако. Практическое руководство по организации облачных вычислений для ученых и IT-специалистов</t>
  </si>
  <si>
    <t>LGA2101152-P</t>
  </si>
  <si>
    <t>978-5-907470-89-7</t>
  </si>
  <si>
    <t>Маркелов Андрей</t>
  </si>
  <si>
    <t>Путеводитель по кнопкам. История интерфейсов от первых компьютеров до виртуальной реальности. В поисках универсальной дизайн-системы</t>
  </si>
  <si>
    <t>PGR2510107-P</t>
  </si>
  <si>
    <t>978-5-206-00610-0</t>
  </si>
  <si>
    <t xml:space="preserve">Орбан  Стивен</t>
  </si>
  <si>
    <t>Путешествие к облаку. Советы по использованию облачных технологий от лидеров IT-рынка</t>
  </si>
  <si>
    <t>LGI2007180-P</t>
  </si>
  <si>
    <t>978-5-907470-12-5</t>
  </si>
  <si>
    <t>Сильный искусственный интеллект: На подступах к сверхразуму</t>
  </si>
  <si>
    <t>LGA2011256-P</t>
  </si>
  <si>
    <t>978-5-907394-18-6</t>
  </si>
  <si>
    <t>Мэйсон Кристофер</t>
  </si>
  <si>
    <t>Следующие 500 лет: Как подготовить человека к жизни на других планетах</t>
  </si>
  <si>
    <t>AAA2511249-P</t>
  </si>
  <si>
    <t>978-5-9614-7699-6</t>
  </si>
  <si>
    <t>Рассел Стюарт</t>
  </si>
  <si>
    <t>Совместимость: Как контролировать искусственный интеллект</t>
  </si>
  <si>
    <t>NNN2509066-P</t>
  </si>
  <si>
    <t>978-5-00139-288-0</t>
  </si>
  <si>
    <t>Черешнев Евгений</t>
  </si>
  <si>
    <t>Форма жизни №4: Как остаться человеком в эпоху расцвета искусственного интеллекта</t>
  </si>
  <si>
    <t>AAA2501041-P</t>
  </si>
  <si>
    <t>978-5-9614-7366-7</t>
  </si>
  <si>
    <t>[покет-серия] Форма жизни №4: Как остаться человеком в эпоху расцвета искусственного интеллекта</t>
  </si>
  <si>
    <t>AAA2506029-P</t>
  </si>
  <si>
    <t>978-5-0063-0169-6</t>
  </si>
  <si>
    <t>Евгеньев Антон</t>
  </si>
  <si>
    <t>Ценность ваших решений. Как современные технологии и искусственный интеллект меняют наше будущее</t>
  </si>
  <si>
    <t>PGR2307027-P</t>
  </si>
  <si>
    <t>978-5-206-00244-7</t>
  </si>
  <si>
    <t>3.05. Астрономия и космонавтика</t>
  </si>
  <si>
    <t>Голубая точка. Космическое будущее человечества</t>
  </si>
  <si>
    <t>NNN2412077-P</t>
  </si>
  <si>
    <t>978-5-91671-788-4</t>
  </si>
  <si>
    <t>Грин Брайан</t>
  </si>
  <si>
    <t>До конца времен: Сознание, материя и поиски смысла в меняющейся Вселенной</t>
  </si>
  <si>
    <t>NNN2001077-P</t>
  </si>
  <si>
    <t>978-5-00139-343-6</t>
  </si>
  <si>
    <t>Асфог Эрик</t>
  </si>
  <si>
    <t>[покет-серия] Когда у Земли было две Луны: Планеты-каннибалы, ледяные гиганты, грязевые кометы и другие светила ночного неба</t>
  </si>
  <si>
    <t>NNN2312119-P</t>
  </si>
  <si>
    <t>978-5-00223-239-0</t>
  </si>
  <si>
    <t>Первушин Антон</t>
  </si>
  <si>
    <t>[покет-серия] Космическая мифология: от марсианских атлантов до лунного заговора</t>
  </si>
  <si>
    <t>NNN2304122-P</t>
  </si>
  <si>
    <t>978-5-00223-021-1</t>
  </si>
  <si>
    <t>Бергер Эрик</t>
  </si>
  <si>
    <t>Космос ближе: Как Илон Маск и инженеры SpaceX поставили полеты на поток</t>
  </si>
  <si>
    <t>AAA2502270-P</t>
  </si>
  <si>
    <t>978-5-0063-0585-4</t>
  </si>
  <si>
    <t>Архитекторы будущего</t>
  </si>
  <si>
    <t>Сурдин Владимир</t>
  </si>
  <si>
    <t>Просто космос: Задачи о межпланетных путешествиях</t>
  </si>
  <si>
    <t>NNN2507130-P</t>
  </si>
  <si>
    <t>978-5-00223-731-9</t>
  </si>
  <si>
    <t>Хэдфилд Кристофер</t>
  </si>
  <si>
    <t>[покет-серия] Руководство астронавта по жизни на Земле. Чему научили меня 4000 часов на орбите</t>
  </si>
  <si>
    <t>NNN2601219-P</t>
  </si>
  <si>
    <t>978-5-00223-237-6</t>
  </si>
  <si>
    <t>Руководство астронавта по жизни на Земле. Чему научили меня 4000 часов на орбите</t>
  </si>
  <si>
    <t>NNN2604136-P</t>
  </si>
  <si>
    <t>978-5-91671-839-3</t>
  </si>
  <si>
    <t>Плейт Филип</t>
  </si>
  <si>
    <t>Смерть с небес: Наука о конце света</t>
  </si>
  <si>
    <t>NNN1912163-P</t>
  </si>
  <si>
    <t>978-5-00139-112-8</t>
  </si>
  <si>
    <t xml:space="preserve"> Собел Дава</t>
  </si>
  <si>
    <t>Стеклянный небосвод: Как женщины Гарвардской обсерватории измерили звезды</t>
  </si>
  <si>
    <t>NNN2203067-P</t>
  </si>
  <si>
    <t>978-5-00139-698-7</t>
  </si>
  <si>
    <t>3.06. История, религиоведение и мифология</t>
  </si>
  <si>
    <t>Бирд Мэри</t>
  </si>
  <si>
    <t>SPQR: История Древнего Рима</t>
  </si>
  <si>
    <t>NNN2601140-P</t>
  </si>
  <si>
    <t>978-5-00139-011-4</t>
  </si>
  <si>
    <t>Бойн Дуглас</t>
  </si>
  <si>
    <t>Аларих, король вестготов: Падение Рима глазами варвара</t>
  </si>
  <si>
    <t>NNN2008091-P</t>
  </si>
  <si>
    <t>978-5-00223-083-9</t>
  </si>
  <si>
    <t>Роган Юджин</t>
  </si>
  <si>
    <t>Арабы. История. XVI-XXI вв.</t>
  </si>
  <si>
    <t>NNN2602150-P</t>
  </si>
  <si>
    <t>978-5-91671-990-1</t>
  </si>
  <si>
    <t>Маркина Екатерина</t>
  </si>
  <si>
    <t>Ассирия: Жизнь и смерть древней империи</t>
  </si>
  <si>
    <t>NNN2512334-P</t>
  </si>
  <si>
    <t>978-5-00223-909-2</t>
  </si>
  <si>
    <t>Книжная серия Arzamas</t>
  </si>
  <si>
    <t>Кандаурова Ляля</t>
  </si>
  <si>
    <t>Библейские мотивы: Сюжеты Писания в классической музыке</t>
  </si>
  <si>
    <t>AAA2201173-P</t>
  </si>
  <si>
    <t>978-5-9614-8035-1</t>
  </si>
  <si>
    <t>Битва за прошлое: Как политика меняет историю</t>
  </si>
  <si>
    <t>AAA2501255-P</t>
  </si>
  <si>
    <t>978-5-9614-7245-5</t>
  </si>
  <si>
    <t>Кроули Роджер</t>
  </si>
  <si>
    <t>Битва за пряности: Как противостояние XVI века определило устройство современного мира</t>
  </si>
  <si>
    <t>NNN2604049-P</t>
  </si>
  <si>
    <t>978-5-00223-572-8</t>
  </si>
  <si>
    <t>Айлс-Джонстон Сара</t>
  </si>
  <si>
    <t>Боги и смертные: Современное прочтение мифов Древней Греции</t>
  </si>
  <si>
    <t>NNN2306059-P</t>
  </si>
  <si>
    <t>978-5-00223-065-5</t>
  </si>
  <si>
    <t>Бомбардировочная мафия: Мечты о гуманной войне и кровавые будни Второй мировой</t>
  </si>
  <si>
    <t>AAA2103038-P</t>
  </si>
  <si>
    <t>978-5-9614-7492-3</t>
  </si>
  <si>
    <t>Ларсон Эрик</t>
  </si>
  <si>
    <t>В саду чудовищ: Любовь и террор в гитлеровском Берлине</t>
  </si>
  <si>
    <t>AAA2511322-P</t>
  </si>
  <si>
    <t>978-5-9614-8074-0</t>
  </si>
  <si>
    <t>Шор Томас К.</t>
  </si>
  <si>
    <t>В шаге от рая: Правдивая история путешествия тибетского ламы в Страну Бессмертия</t>
  </si>
  <si>
    <t>AAA2604114-P</t>
  </si>
  <si>
    <t>978-5-9614-3937-3</t>
  </si>
  <si>
    <t>Джонс Дэн</t>
  </si>
  <si>
    <t>Война Алой и Белой розы: Крах Плантагенетов и воцарение Тюдоров</t>
  </si>
  <si>
    <t>NNN2511220-P</t>
  </si>
  <si>
    <t>978-5-00139-816-5</t>
  </si>
  <si>
    <t>Ивик Олег</t>
  </si>
  <si>
    <t>[обложка] Вокруг того света: история и география загробного мира</t>
  </si>
  <si>
    <t>NNN2505124-P</t>
  </si>
  <si>
    <t>978-5-00139-909-4</t>
  </si>
  <si>
    <t>Черчилль Уинстон</t>
  </si>
  <si>
    <t>Вторая мировая война. В 3 книгах</t>
  </si>
  <si>
    <t>NNN2403156-P</t>
  </si>
  <si>
    <t>978-5-00139-198-2</t>
  </si>
  <si>
    <t>История</t>
  </si>
  <si>
    <t>Горнозаводская цивилизация</t>
  </si>
  <si>
    <t>NNN2512166-P</t>
  </si>
  <si>
    <t>978-5-00139-703-8</t>
  </si>
  <si>
    <t>Кикс Пол</t>
  </si>
  <si>
    <t>Диверсант, аристократ, мститель: История графа Ларошфуко, ставшего кошмаром для нацистов во Франции</t>
  </si>
  <si>
    <t>AAA2309138-P</t>
  </si>
  <si>
    <t>978-5-9614-9264-4</t>
  </si>
  <si>
    <t>Дочери Ареса: История античных амазонок</t>
  </si>
  <si>
    <t>NNN2411020-P</t>
  </si>
  <si>
    <t>978-5-91671-993-2</t>
  </si>
  <si>
    <t>Ходнев Сергей</t>
  </si>
  <si>
    <t>Еретики: Как церковные распри создали мир, в котором мы живем</t>
  </si>
  <si>
    <t>NNN2410340-P</t>
  </si>
  <si>
    <t>978-5-91671-964-2</t>
  </si>
  <si>
    <t>Ноултон Кристофер</t>
  </si>
  <si>
    <t>Земля ковбоев: Настоящая история Дикого Запада</t>
  </si>
  <si>
    <t>NNN2511295-P</t>
  </si>
  <si>
    <t>978-5-00139-951-3</t>
  </si>
  <si>
    <t>Блэк Моника</t>
  </si>
  <si>
    <t>Земля, одержимая демонами: Ведьмы, целители и призраки прошлого в послевоенной Германии</t>
  </si>
  <si>
    <t>NNN2312090-P</t>
  </si>
  <si>
    <t>978-5-00139-344-3</t>
  </si>
  <si>
    <t>Коззенс Питер</t>
  </si>
  <si>
    <t>И будет рыдать земля: Как у индейцев отняли Америку</t>
  </si>
  <si>
    <t>NNN2603196-P</t>
  </si>
  <si>
    <t>978-5-00139-365-8</t>
  </si>
  <si>
    <t>Майзульс Михаил</t>
  </si>
  <si>
    <t>Идол, защищайся! Культ образов и иконоборческое насилие в Средние века</t>
  </si>
  <si>
    <t>NNN2011244-P</t>
  </si>
  <si>
    <t>978-5-00139-817-2</t>
  </si>
  <si>
    <t>Скоренко Тим</t>
  </si>
  <si>
    <t>[обложка] Изобретено в России: История русской изобретательской мысли от Петра I до Николая II</t>
  </si>
  <si>
    <t>NNN2602181-P</t>
  </si>
  <si>
    <t>978-5-00223-698-5</t>
  </si>
  <si>
    <t>Изобретено в СССР: История изобретательской мысли с 1917 по 1991 год</t>
  </si>
  <si>
    <t>NNN2512215-P</t>
  </si>
  <si>
    <t>978-5-00223-577-3</t>
  </si>
  <si>
    <t>Каплан Нил</t>
  </si>
  <si>
    <t>Израильско-палестинский конфликт: Непримиримые версии истории</t>
  </si>
  <si>
    <t>NNN2405007-P</t>
  </si>
  <si>
    <t>978-5-00223-369-4</t>
  </si>
  <si>
    <t>Роуч Леви</t>
  </si>
  <si>
    <t>Империи норманнов: Создатели Европы, завоеватели Азии</t>
  </si>
  <si>
    <t>NNN2412158-P</t>
  </si>
  <si>
    <t>978-5-00139-758-8</t>
  </si>
  <si>
    <t>Гугенхейм Сильвен</t>
  </si>
  <si>
    <t>Империи Средневековья: от Каролингов до Чингизидов</t>
  </si>
  <si>
    <t>NNN2604135-P</t>
  </si>
  <si>
    <t>978-5-00139-426-6</t>
  </si>
  <si>
    <t>Испания в огне. 1931–1939. Революция и месть Франко</t>
  </si>
  <si>
    <t>NNN2602039-P</t>
  </si>
  <si>
    <t>978-5-00223-393-9</t>
  </si>
  <si>
    <t xml:space="preserve">Тейлор  Алан Джон Персиваль</t>
  </si>
  <si>
    <t>Истоки Второй мировой войны</t>
  </si>
  <si>
    <t>NNN2305003-P</t>
  </si>
  <si>
    <t>978-5-00223-006-8</t>
  </si>
  <si>
    <t>Браун Елена</t>
  </si>
  <si>
    <t>История Англии: Война Алой и Белой розы</t>
  </si>
  <si>
    <t>NNN2512331-P</t>
  </si>
  <si>
    <t>978-5-00223-907-8</t>
  </si>
  <si>
    <t xml:space="preserve">Протеро  Дональд</t>
  </si>
  <si>
    <t>История Земли в 25 камнях: Геологические тайны и люди, их разгадавшие</t>
  </si>
  <si>
    <t>NNN2511296-P</t>
  </si>
  <si>
    <t>978-5-00139-825-7</t>
  </si>
  <si>
    <t xml:space="preserve">Ланьков  Андрей</t>
  </si>
  <si>
    <t>[обложка] К северу от 38 параллели: Как живут в КНДР</t>
  </si>
  <si>
    <t>NNN2411063-P</t>
  </si>
  <si>
    <t>978-5-00223-234-5</t>
  </si>
  <si>
    <t xml:space="preserve">Трояновская  Полина</t>
  </si>
  <si>
    <t>Как появился наш съедобный мир: Захватывающая история еды от картошки до шампанского</t>
  </si>
  <si>
    <t>AAA2606116-P</t>
  </si>
  <si>
    <t>978-5-0063-0397-3</t>
  </si>
  <si>
    <t>Иммервар Дэниел</t>
  </si>
  <si>
    <t>Как спрятать империю: Колонии, аннексии и военные базы США</t>
  </si>
  <si>
    <t>AAA2409214-P</t>
  </si>
  <si>
    <t>978-5-0063-0173-3</t>
  </si>
  <si>
    <t>Сервантес Фернандо</t>
  </si>
  <si>
    <t>Конкистадоры: Новая история открытия и завоевания Америки</t>
  </si>
  <si>
    <t>NNN2511177-P</t>
  </si>
  <si>
    <t>978-5-00139-918-6</t>
  </si>
  <si>
    <t>Сьюард Десмонд</t>
  </si>
  <si>
    <t>Конунг навсегда: Жизнь Олава Святого, самого кровавого викинга</t>
  </si>
  <si>
    <t>NNN2408054-P</t>
  </si>
  <si>
    <t>978-5-00223-459-2</t>
  </si>
  <si>
    <t>Жеру Уильям</t>
  </si>
  <si>
    <t>Корабли-призраки: Подвиг и трагедия арктических конвоев Второй мировой</t>
  </si>
  <si>
    <t>NNN2011119-P</t>
  </si>
  <si>
    <t>978-5-00139-805-9</t>
  </si>
  <si>
    <t>Хейстингс Макс</t>
  </si>
  <si>
    <t>Корейская война 1950-1953: Неоконченное противостояние</t>
  </si>
  <si>
    <t>NNN2509137-P</t>
  </si>
  <si>
    <t>978-5-00223-214-7</t>
  </si>
  <si>
    <t>Дженкис Саймон</t>
  </si>
  <si>
    <t>Краткая история Европы</t>
  </si>
  <si>
    <t>NNN2601248-P</t>
  </si>
  <si>
    <t>978-5-91671-961-1</t>
  </si>
  <si>
    <t>Брукарт Йоэл</t>
  </si>
  <si>
    <t>Краткая история мира в 12 бобах: Как арахис, фасоль и горошек вершили революции, спасали от голода и бесили философов</t>
  </si>
  <si>
    <t>AAA2412126-P</t>
  </si>
  <si>
    <t>978-5-0063-0376-8</t>
  </si>
  <si>
    <t>Форд Эндрю</t>
  </si>
  <si>
    <t>Кратчайшая история музыки: От Древнего мира до наших дней</t>
  </si>
  <si>
    <t>AAA2404024-P</t>
  </si>
  <si>
    <t>978-5-9614-9746-5</t>
  </si>
  <si>
    <t>Кратчайшая история Советского Союза</t>
  </si>
  <si>
    <t>NNN2511169-P</t>
  </si>
  <si>
    <t>978-5-00139-820-2</t>
  </si>
  <si>
    <t>Крестоносцы: Полная история</t>
  </si>
  <si>
    <t>NNN2512309-P</t>
  </si>
  <si>
    <t>978-5-00139-680-2</t>
  </si>
  <si>
    <t>Маццео Тилар</t>
  </si>
  <si>
    <t>Любовь, предательство и шпионаж: Как дочь Муссолини, немецкая шпионка и жена швейцарского банкира переиграли нацистов</t>
  </si>
  <si>
    <t>AAA2409015-P</t>
  </si>
  <si>
    <t>978-5-0063-0112-2</t>
  </si>
  <si>
    <t>Хейвуд Джон</t>
  </si>
  <si>
    <t>Люди Севера: История викингов. 793-1241</t>
  </si>
  <si>
    <t>NNN2601143-P</t>
  </si>
  <si>
    <t>978-5-00139-000-8</t>
  </si>
  <si>
    <t>Гомбрих Эрнст</t>
  </si>
  <si>
    <t>Маленькая всемирная история</t>
  </si>
  <si>
    <t>NNN2304164-P</t>
  </si>
  <si>
    <t>978-5-00139-522-5</t>
  </si>
  <si>
    <t>Между Христом и Антихристом: «Поклонение волхвов» Иеронима Босха</t>
  </si>
  <si>
    <t>NNN2603241-P</t>
  </si>
  <si>
    <t>978-5-00139-478-5</t>
  </si>
  <si>
    <t>Каргилл-Мартин Онор</t>
  </si>
  <si>
    <t>Мессалина: Распутство, клевета и интриги в императорском Риме</t>
  </si>
  <si>
    <t>NNN2502335-P</t>
  </si>
  <si>
    <t>978-5-00223-025-9</t>
  </si>
  <si>
    <t>Бевинс Винсент</t>
  </si>
  <si>
    <t>[покет] Метод «Джакарта»: Антикоммунистический террор США, изменивший мир</t>
  </si>
  <si>
    <t>NNN2603053-P</t>
  </si>
  <si>
    <t>978-5-91671-972-7</t>
  </si>
  <si>
    <t>Мир, полный демонов: Наука - как свеча во тьме</t>
  </si>
  <si>
    <t>NNN2601058-P</t>
  </si>
  <si>
    <t>978-5-91671-874-4</t>
  </si>
  <si>
    <t>[обложка] Мифозои: история и биология мифических животных</t>
  </si>
  <si>
    <t>NNN2509060-P</t>
  </si>
  <si>
    <t>978-5-00223-365-6</t>
  </si>
  <si>
    <t>Гамильтон эдит</t>
  </si>
  <si>
    <t>Мифология: Бессмертные истории о богах и героях</t>
  </si>
  <si>
    <t>NNN2412225-P</t>
  </si>
  <si>
    <t>978-5-91671-971-0</t>
  </si>
  <si>
    <t xml:space="preserve">Цухтригель  Габриэль</t>
  </si>
  <si>
    <t>Музей апокалипсиса: Что Помпеи рассказывают об истории человечества</t>
  </si>
  <si>
    <t>NNN2407067-P</t>
  </si>
  <si>
    <t>978-5-00223-416-5</t>
  </si>
  <si>
    <t>Хейфец Дэвид</t>
  </si>
  <si>
    <t>На коне: Как всадники изменили мировую историю</t>
  </si>
  <si>
    <t>NNN2404110-P</t>
  </si>
  <si>
    <t>978-5-00223-349-6</t>
  </si>
  <si>
    <t>Тыркова-Вильямс Ариадна</t>
  </si>
  <si>
    <t>На путях к свободе</t>
  </si>
  <si>
    <t>AAA2404157-P</t>
  </si>
  <si>
    <t>978-5-9614-9789-2</t>
  </si>
  <si>
    <t>Не только кимчхи: История, культура и повседневная жизнь Кореи</t>
  </si>
  <si>
    <t>NNN2512314-P</t>
  </si>
  <si>
    <t>978-5-00223-233-8</t>
  </si>
  <si>
    <t>Власов Николай</t>
  </si>
  <si>
    <t>Немцы после войны: Как Западной Германии удалось преодолеть нацизм</t>
  </si>
  <si>
    <t>NNN2508009-P</t>
  </si>
  <si>
    <t>978-5-00223-486-8</t>
  </si>
  <si>
    <t>Пострел Вирджиния</t>
  </si>
  <si>
    <t>Нить истории: Как прялка, веретено и ткацкий станок помогли построить цивилизацию</t>
  </si>
  <si>
    <t>NNN2512043-P</t>
  </si>
  <si>
    <t>978-5-91671-428-9</t>
  </si>
  <si>
    <t>Уоллес Крис</t>
  </si>
  <si>
    <t>Обратный отсчет: 116 дней до атомной бомбардировки Хиросимы</t>
  </si>
  <si>
    <t>NNN2509152-P</t>
  </si>
  <si>
    <t>978-5-00139-508-9</t>
  </si>
  <si>
    <t>Буайе Паскаль</t>
  </si>
  <si>
    <t>[покет-серия] Объясняя религию: Природа религиозного мышления</t>
  </si>
  <si>
    <t>NNN2510158-P</t>
  </si>
  <si>
    <t>978-5-00223-238-3</t>
  </si>
  <si>
    <t>Браунинг Кристофер</t>
  </si>
  <si>
    <t>Обычные люди: 101-й полицейский батальон и «окончательное решение еврейского вопроса»</t>
  </si>
  <si>
    <t>NNN2505226-P</t>
  </si>
  <si>
    <t>978-5-00223-135-5</t>
  </si>
  <si>
    <t>Мьевиль Чайна</t>
  </si>
  <si>
    <t>Октябрь: История русской революции</t>
  </si>
  <si>
    <t>NNN2309028-P</t>
  </si>
  <si>
    <t>978-5-00223-134-8</t>
  </si>
  <si>
    <t>Димблби Джонатан</t>
  </si>
  <si>
    <t>Операция «Барбаросса»: Начало конца нацистской Германии</t>
  </si>
  <si>
    <t>NNN2105061-P</t>
  </si>
  <si>
    <t>978-5-00223-298-7</t>
  </si>
  <si>
    <t>Кин Сэм</t>
  </si>
  <si>
    <t>Отряд отморозков: Миссия «Алсос» или кто помешал нацистам создать атомную бомбу</t>
  </si>
  <si>
    <t>NNN2007118-P</t>
  </si>
  <si>
    <t>978-5-00139-804-2</t>
  </si>
  <si>
    <t>Падение Османской империи: Первая мировая война на Ближнем Востоке, 1914–1920</t>
  </si>
  <si>
    <t>NNN2512070-P</t>
  </si>
  <si>
    <t>978-5-91671-762-4</t>
  </si>
  <si>
    <t>Джонс Колин</t>
  </si>
  <si>
    <t>Падение Робеспьера: 24 часа в Париже времен Великой французской революции</t>
  </si>
  <si>
    <t>NNN2504162-P</t>
  </si>
  <si>
    <t>978-5-00223-299-4</t>
  </si>
  <si>
    <t>Керцер Дэвид</t>
  </si>
  <si>
    <t>Папа римский и война: Неизвестная история взаимоотношений Пия XII, Муссолини и Гитлера</t>
  </si>
  <si>
    <t>AAA2603083-P</t>
  </si>
  <si>
    <t>978-5-9614-8573-8</t>
  </si>
  <si>
    <t>Каган Дональд</t>
  </si>
  <si>
    <t>Пелопоннесская война</t>
  </si>
  <si>
    <t>NNN2102054-P</t>
  </si>
  <si>
    <t>978-5-00223-107-2</t>
  </si>
  <si>
    <t>Весперини Пьер</t>
  </si>
  <si>
    <t>Переписывая прошлое: Как культура отмены мешает строить будущее</t>
  </si>
  <si>
    <t>AAA2301072-P</t>
  </si>
  <si>
    <t>978-5-9614-8622-3</t>
  </si>
  <si>
    <t>Плантагенеты: Короли и королевы, создавшие Англию</t>
  </si>
  <si>
    <t>NNN2512317-P</t>
  </si>
  <si>
    <t>978-5-00139-079-4</t>
  </si>
  <si>
    <t>Гиллен Майкл</t>
  </si>
  <si>
    <t>Поверь и увидишь: Путь ученого от атеизма к вере</t>
  </si>
  <si>
    <t>AAA2601122-P</t>
  </si>
  <si>
    <t>978-5-9614-9422-8</t>
  </si>
  <si>
    <t>Вуд Майкл</t>
  </si>
  <si>
    <t>Поднебесная: 4000 лет китайской цивилизации</t>
  </si>
  <si>
    <t>NNN2512066-P</t>
  </si>
  <si>
    <t>978-5-00139-893-6</t>
  </si>
  <si>
    <t>Аксенов Андрей</t>
  </si>
  <si>
    <t>Поп Гапон и японские винтовки: 15 поразительных историй времен дореволюционной России</t>
  </si>
  <si>
    <t>AAA2509181-P</t>
  </si>
  <si>
    <t>978-5-9614-8007-8</t>
  </si>
  <si>
    <t>Рубинштейн Джошуа</t>
  </si>
  <si>
    <t>Последние дни Сталина</t>
  </si>
  <si>
    <t>NNN2403042-P</t>
  </si>
  <si>
    <t>978-5-00139-975-9</t>
  </si>
  <si>
    <t>Уорд Люси</t>
  </si>
  <si>
    <t>Прививка для императрицы: Как Екатерина II и Томас Димсдейл спасли Россию от оспы</t>
  </si>
  <si>
    <t>AAA2212126-P</t>
  </si>
  <si>
    <t>978-5-9614-8574-5</t>
  </si>
  <si>
    <t>Бейл Энтони</t>
  </si>
  <si>
    <t>Путеводитель по Средневековью: Мир глазами ученых, шпионов, купцов и паломников</t>
  </si>
  <si>
    <t>NNN2511299-P</t>
  </si>
  <si>
    <t>978-5-00223-500-1</t>
  </si>
  <si>
    <t>Моисеев Вячеслав</t>
  </si>
  <si>
    <t>Репетиция апокалипсиса: Тайная история атомных учений в СССР. Тоцкое-1954</t>
  </si>
  <si>
    <t>AAA2401100-P</t>
  </si>
  <si>
    <t>978-5-9614-9564-5</t>
  </si>
  <si>
    <t>Речфлот</t>
  </si>
  <si>
    <t>NNN2404081-P</t>
  </si>
  <si>
    <t>978-5-00223-119-5</t>
  </si>
  <si>
    <t>Речфлот: История речного флота Российской империи и Советского Союза</t>
  </si>
  <si>
    <t>NNN2401091-P</t>
  </si>
  <si>
    <t>978-5-00223-259-8</t>
  </si>
  <si>
    <t>Травин Дмитрий</t>
  </si>
  <si>
    <t>Русская ловушка: Исторические решения, которые подвели к пропасти</t>
  </si>
  <si>
    <t>AAA2508071-P</t>
  </si>
  <si>
    <t>978-5-0063-0997-5</t>
  </si>
  <si>
    <t>Почему Россия отстала</t>
  </si>
  <si>
    <t>Бруннер Урс, Шраммель Юлия, Джонс Найджел</t>
  </si>
  <si>
    <t>Салон Китти: Секс и шпионаж в Третьем Рейхе</t>
  </si>
  <si>
    <t>NNN2409306-P</t>
  </si>
  <si>
    <t>978-5-00223-496-7</t>
  </si>
  <si>
    <t>Фальк Себ</t>
  </si>
  <si>
    <t>Светлые века: Путешествие в мир средневековой науки</t>
  </si>
  <si>
    <t>NNN2304128-P</t>
  </si>
  <si>
    <t>978-5-00139-815-8</t>
  </si>
  <si>
    <t>Дабхойвала Фара</t>
  </si>
  <si>
    <t>Свобода слова: История опасной идеи</t>
  </si>
  <si>
    <t>AAA2505067-P</t>
  </si>
  <si>
    <t>978-5-0063-0781-0</t>
  </si>
  <si>
    <t>Рейдер Оливер</t>
  </si>
  <si>
    <t>Семь главных игр в истории человечества: шашки, шахматы, го, нарды, скрабл, покер, бридж</t>
  </si>
  <si>
    <t>NNN2107087-P</t>
  </si>
  <si>
    <t>978-5-00139-787-8</t>
  </si>
  <si>
    <t>[обложка с клапанами] Сирийские мистики о любви, страхе, гневе и радости</t>
  </si>
  <si>
    <t>AAA2501229-P</t>
  </si>
  <si>
    <t>978-5-9614-9582-9</t>
  </si>
  <si>
    <t>Рид Саймон</t>
  </si>
  <si>
    <t>Скотленд-Ярд: Самые громкие убийства, которые расследовала полиция Лондона</t>
  </si>
  <si>
    <t>AAA2511253-P</t>
  </si>
  <si>
    <t>978-5-9614-9765-6</t>
  </si>
  <si>
    <t>Голованов Василий</t>
  </si>
  <si>
    <t>Тачанки с Юга: История махновского движения</t>
  </si>
  <si>
    <t>NNN2412220-P</t>
  </si>
  <si>
    <t>978-5-00223-355-7</t>
  </si>
  <si>
    <t>Троцкий: Жизнь революционера</t>
  </si>
  <si>
    <t>NNN2401033-P</t>
  </si>
  <si>
    <t>978-5-00223-253-6</t>
  </si>
  <si>
    <t>Воскобойников Олег</t>
  </si>
  <si>
    <t>Тысячелетнее царство: Христианская культура Средневековой Европы</t>
  </si>
  <si>
    <t>NNN2512219-P</t>
  </si>
  <si>
    <t>978-5-00223-455-4</t>
  </si>
  <si>
    <t>Татар Мария</t>
  </si>
  <si>
    <t>Тысячеликая героиня: Женский архетип в мифологии и литературе</t>
  </si>
  <si>
    <t>AAA2601011-P</t>
  </si>
  <si>
    <t>978-5-9614-8653-7</t>
  </si>
  <si>
    <t>Орбах Дэнни</t>
  </si>
  <si>
    <t>Убить Гитлера: История покушений</t>
  </si>
  <si>
    <t>NNN2410346-P</t>
  </si>
  <si>
    <t>978-5-91671-968-0</t>
  </si>
  <si>
    <t>Бовыкин Дмитрий, Чудинов Александр</t>
  </si>
  <si>
    <t>Французская революция</t>
  </si>
  <si>
    <t>NNN2512310-P</t>
  </si>
  <si>
    <t>978-5-00223-555-1</t>
  </si>
  <si>
    <t>Хребет России</t>
  </si>
  <si>
    <t>NNN2512179-P</t>
  </si>
  <si>
    <t>978-5-00139-705-2</t>
  </si>
  <si>
    <t>Марьясис Дмитрий</t>
  </si>
  <si>
    <t>Хроника с открытым финалом: История палестино-израильского противостояния</t>
  </si>
  <si>
    <t>NNN2312219-P</t>
  </si>
  <si>
    <t>978-5-00223-248-2</t>
  </si>
  <si>
    <t>Халид Адиб</t>
  </si>
  <si>
    <t>Центральная Азия: От века империй до наших дней</t>
  </si>
  <si>
    <t>NNN2603212-P</t>
  </si>
  <si>
    <t>978-5-00139-653-6</t>
  </si>
  <si>
    <t>Ансари Тамим</t>
  </si>
  <si>
    <t>Цивилизация рассказчиков: как истории становятся Историей</t>
  </si>
  <si>
    <t>NNN2412157-P</t>
  </si>
  <si>
    <t>978-5-00223-436-3</t>
  </si>
  <si>
    <t>Сталкер Нэнси</t>
  </si>
  <si>
    <t>Япония. История и культура: от самураев до манги</t>
  </si>
  <si>
    <t>NNN2512217-P</t>
  </si>
  <si>
    <t>978-5-00139-334-4</t>
  </si>
  <si>
    <t>3.07. Биографии и мемуары</t>
  </si>
  <si>
    <t>Глинка Доктор Лиза</t>
  </si>
  <si>
    <t>«Я всегда на стороне слабого» : дневники, беседы, фотобиография</t>
  </si>
  <si>
    <t>NNN2503009-P</t>
  </si>
  <si>
    <t>978-5-00223-604-6</t>
  </si>
  <si>
    <t xml:space="preserve">Вэйвэй  Ай</t>
  </si>
  <si>
    <t>1000 лет радостей и печалей</t>
  </si>
  <si>
    <t>NNN2106112-P</t>
  </si>
  <si>
    <t>978-5-00139-607-9</t>
  </si>
  <si>
    <t>Быть Ивановым: Пятнадцать лет диалога с читателями</t>
  </si>
  <si>
    <t>NNN2001074-P</t>
  </si>
  <si>
    <t>978-5-00139-253-8</t>
  </si>
  <si>
    <t>Всё, что я знаю о любви: Непридуманные истории о чувствах в любом возрасте</t>
  </si>
  <si>
    <t>AAA2512190-P</t>
  </si>
  <si>
    <t>978-5-0063-0463-5</t>
  </si>
  <si>
    <t>Першкина Анастасия</t>
  </si>
  <si>
    <t>Вселенная Достоевского</t>
  </si>
  <si>
    <t>NNN2603032-P</t>
  </si>
  <si>
    <t>978-5-00223-952-8</t>
  </si>
  <si>
    <t>Данилкин Лев</t>
  </si>
  <si>
    <t>Гагарин</t>
  </si>
  <si>
    <t>NNN2509046-P</t>
  </si>
  <si>
    <t>978-5-00223-771-5</t>
  </si>
  <si>
    <t>Меркачёва Ева</t>
  </si>
  <si>
    <t>Град обреченных: Честный репортаж о семи колониях для пожизненно осужденных</t>
  </si>
  <si>
    <t>AAA2510189-P</t>
  </si>
  <si>
    <t>978-5-9614-9014-5</t>
  </si>
  <si>
    <t>Феррари Марко</t>
  </si>
  <si>
    <t>Диктатор, который умер дважды: Невероятная история Антониу Салазара</t>
  </si>
  <si>
    <t>AAA2403074-P</t>
  </si>
  <si>
    <t>978-5-9614-8781-7</t>
  </si>
  <si>
    <t>Оганджанян Александр</t>
  </si>
  <si>
    <t>Дипломаты, футболисты и прочие музыканты</t>
  </si>
  <si>
    <t>PGR2304194-P</t>
  </si>
  <si>
    <t>978-5-206-00218-8</t>
  </si>
  <si>
    <t>Браун Тина</t>
  </si>
  <si>
    <t>Дом Виндзоров: Правда и вымысел о жизни королевской семьи</t>
  </si>
  <si>
    <t>AAA2501047-P</t>
  </si>
  <si>
    <t>978-5-9614-8333-8</t>
  </si>
  <si>
    <t xml:space="preserve"> Хамут Изгил Тахир </t>
  </si>
  <si>
    <t>За мной придут ночью: Уйгурский поэт о геноциде в современном Китае</t>
  </si>
  <si>
    <t>AAA2309101-P</t>
  </si>
  <si>
    <t>978-5-9614-9242-2</t>
  </si>
  <si>
    <t>Брант Дуглас</t>
  </si>
  <si>
    <t>Загадочное дело Рудольфа Дизеля: Удивительная жизнь и необъяснимая смерть великого изобретателя</t>
  </si>
  <si>
    <t>AAA2405117-P</t>
  </si>
  <si>
    <t>978-5-9614-9864-6</t>
  </si>
  <si>
    <t>Буковский Владимир</t>
  </si>
  <si>
    <t>И возвращается ветер...</t>
  </si>
  <si>
    <t>AAA2411029-P</t>
  </si>
  <si>
    <t>978-5-9614-9361-0</t>
  </si>
  <si>
    <t>Кристиансен Руперт</t>
  </si>
  <si>
    <t>Империя Дягилева: Как русский балет покорил мир</t>
  </si>
  <si>
    <t>NNN2602038-P</t>
  </si>
  <si>
    <t>978-5-00223-227-7</t>
  </si>
  <si>
    <t>[обложка] Империя Дягилева: Как русский балет покорил мир</t>
  </si>
  <si>
    <t>NNN2603248-P</t>
  </si>
  <si>
    <t>978-5-00223-981-8</t>
  </si>
  <si>
    <t>Фельдман Дебора</t>
  </si>
  <si>
    <t>Исход: Возвращение к моим еврейским корням в Берлине</t>
  </si>
  <si>
    <t>AAA2008107-P</t>
  </si>
  <si>
    <t>978-5-9614-7710-8</t>
  </si>
  <si>
    <t>Вассеф Надя</t>
  </si>
  <si>
    <t>Каирские хроники хозяйки книжного магазина</t>
  </si>
  <si>
    <t>AAA2601028-P</t>
  </si>
  <si>
    <t>978-5-9614-7582-1</t>
  </si>
  <si>
    <t>Тертицкий Фёдор</t>
  </si>
  <si>
    <t>Ким Ир Сен: Вождь по воле случая</t>
  </si>
  <si>
    <t>NNN2403216-P</t>
  </si>
  <si>
    <t>978-5-00223-321-2</t>
  </si>
  <si>
    <t>Винарский Максим, Юсупова Татьяна</t>
  </si>
  <si>
    <t>Коллекционер бабочек: Великий князь Николай Михайлович, энтомолог из династии Романовых</t>
  </si>
  <si>
    <t>NNN2603050-P</t>
  </si>
  <si>
    <t>978-5-00223-558-2</t>
  </si>
  <si>
    <t>Пайсинг Марк</t>
  </si>
  <si>
    <t>Крушение «Италии»: История арктической экспедиции Умберто Нобиле</t>
  </si>
  <si>
    <t>NNN2412214-P</t>
  </si>
  <si>
    <t>978-5-00139-950-6</t>
  </si>
  <si>
    <t>Рубик Эрно</t>
  </si>
  <si>
    <t>Кубик Рубика: За гранями головоломки, или Природа творческой мысли</t>
  </si>
  <si>
    <t>LGI2010101-P</t>
  </si>
  <si>
    <t>978-5-907394-81-0</t>
  </si>
  <si>
    <t>Ленин</t>
  </si>
  <si>
    <t>NNN2506156-P</t>
  </si>
  <si>
    <t>978-5-00223-696-1</t>
  </si>
  <si>
    <t>Между жизнями: Судмедэксперт о людях и профессии</t>
  </si>
  <si>
    <t>AAA2504105-P</t>
  </si>
  <si>
    <t>978-5-0063-0709-4</t>
  </si>
  <si>
    <t>Тиге Дженнифер, Зелльмаир Никола</t>
  </si>
  <si>
    <t>Мой дед расстрелял бы меня: История внучки Амона Гёта, коменданта концлагеря Плашов</t>
  </si>
  <si>
    <t>AAA2603229-P</t>
  </si>
  <si>
    <t>978-5-9614-8325-3</t>
  </si>
  <si>
    <t>Моя полосатая жизнь: Рассказы оголтелой оптимистки</t>
  </si>
  <si>
    <t>AAA2408069-P</t>
  </si>
  <si>
    <t>978-5-0063-0079-8</t>
  </si>
  <si>
    <t>Гупало Георгий</t>
  </si>
  <si>
    <t>Написанные в истории. Письма, изменившие мир</t>
  </si>
  <si>
    <t>PGR2305134-P</t>
  </si>
  <si>
    <t>978-5-206-00090-0</t>
  </si>
  <si>
    <t>Робертс Эндрю</t>
  </si>
  <si>
    <t>Наполеон: биография</t>
  </si>
  <si>
    <t>NNN2506075-P</t>
  </si>
  <si>
    <t>978-5-00139-965-0</t>
  </si>
  <si>
    <t>Ларина-Бухарина Анна</t>
  </si>
  <si>
    <t>Незабываемое</t>
  </si>
  <si>
    <t>AAA2511337-P</t>
  </si>
  <si>
    <t>978-5-9614-9979-7</t>
  </si>
  <si>
    <t>Никогда не сдаваться! Лучшие речи Черчилля</t>
  </si>
  <si>
    <t>NNN2506132-P</t>
  </si>
  <si>
    <t>978-5-00139-451-8</t>
  </si>
  <si>
    <t>Прингл Питер</t>
  </si>
  <si>
    <t>[покет-серия] Николай Вавилов: Ученый, который хотел накормить весь мир и умер от голода</t>
  </si>
  <si>
    <t>AAA2307130-P</t>
  </si>
  <si>
    <t>978-5-9614-9123-4</t>
  </si>
  <si>
    <t>Палаццо Мадамы: Воображаемый музей Ирины Антоновой</t>
  </si>
  <si>
    <t>NNN2603051-P</t>
  </si>
  <si>
    <t>978-5-00223-913-9</t>
  </si>
  <si>
    <t>Рублев Дмитрий, Дамье Вадим</t>
  </si>
  <si>
    <t>Петр Кропоткин: Жизнь анархиста</t>
  </si>
  <si>
    <t>NNN2510144-P</t>
  </si>
  <si>
    <t>978-5-00139-566-9</t>
  </si>
  <si>
    <t>Лихачёв Дмитрий</t>
  </si>
  <si>
    <t>Письма о добром и прекрасном</t>
  </si>
  <si>
    <t>AAA2510263-P</t>
  </si>
  <si>
    <t>978-5-9614-7030-7</t>
  </si>
  <si>
    <t>Латур Пиппа, Добсон Джуд</t>
  </si>
  <si>
    <t>Последний секретный агент: Шпионка Его Величества в тылу нацистов</t>
  </si>
  <si>
    <t>NNN2412099-P</t>
  </si>
  <si>
    <t>978-5-00223-535-3</t>
  </si>
  <si>
    <t>Григорьев Георгий</t>
  </si>
  <si>
    <t>ПП Бажов : Графический роман</t>
  </si>
  <si>
    <t>PGR2203136-P</t>
  </si>
  <si>
    <t>978-5-206-00039-9</t>
  </si>
  <si>
    <t>Дёмкина Надежда</t>
  </si>
  <si>
    <t>Право на творчество: Судьбы художниц Российской империи</t>
  </si>
  <si>
    <t>AAA2511085-P</t>
  </si>
  <si>
    <t>978-5-9614-9959-9</t>
  </si>
  <si>
    <t>Хайберт Рэй</t>
  </si>
  <si>
    <t>Придворный для толпы: История Айви Ли, который учил мировую элиту слушать людей</t>
  </si>
  <si>
    <t>PGR2304171-P</t>
  </si>
  <si>
    <t>978-5-206-00058-0</t>
  </si>
  <si>
    <t>Ясюкович Станислас</t>
  </si>
  <si>
    <t>Сага о семье из Российской империи. 200 лет истории: от промышленника Игнатия Ясюковича до его потомков в наши дни</t>
  </si>
  <si>
    <t>PGR2510232-P</t>
  </si>
  <si>
    <t>978-5-206-00623-0</t>
  </si>
  <si>
    <t>Гавриш Алексей</t>
  </si>
  <si>
    <t>Семь лет в "Крестах": Тюрьма глазами психиатра</t>
  </si>
  <si>
    <t>NNN2605051-P</t>
  </si>
  <si>
    <t>978-5-00223-013-6</t>
  </si>
  <si>
    <t>Страх и надежда: Как Черчилль спас Британию от катастрофы</t>
  </si>
  <si>
    <t>AAA2502206-P</t>
  </si>
  <si>
    <t>978-5-9614-7390-2</t>
  </si>
  <si>
    <t xml:space="preserve">Юсеф  Мусаб Хасан , Брэкин Рон</t>
  </si>
  <si>
    <t>[обложка с клапанами] Сын ХАМАСа</t>
  </si>
  <si>
    <t>Строки</t>
  </si>
  <si>
    <t>SAS2402003-P</t>
  </si>
  <si>
    <t>978-5-00216-175-1</t>
  </si>
  <si>
    <t>Сроки. Non-Fiction</t>
  </si>
  <si>
    <t>Кляйн Мишель</t>
  </si>
  <si>
    <t>Сюрреально, или Удивительная жизнь Гала Дали</t>
  </si>
  <si>
    <t>PGR2504097-P</t>
  </si>
  <si>
    <t>978-5-206-00492-2</t>
  </si>
  <si>
    <t>Али Тарик</t>
  </si>
  <si>
    <t>Уинстон Черчилль: Его эпоха, его преступления</t>
  </si>
  <si>
    <t>NNN2203137-P</t>
  </si>
  <si>
    <t>978-5-00139-712-0</t>
  </si>
  <si>
    <t>Щербаков Борис</t>
  </si>
  <si>
    <t>Хард &amp; софт: Как создавался российский рынок информационных технологий</t>
  </si>
  <si>
    <t>AAA2105134-P</t>
  </si>
  <si>
    <t>978-5-9614-7432-9</t>
  </si>
  <si>
    <t>Бриджес Джефф, Глассман Берни</t>
  </si>
  <si>
    <t>Чувак и мастер дзен</t>
  </si>
  <si>
    <t>AAA2010042-P</t>
  </si>
  <si>
    <t>978-5-9614-3392-0</t>
  </si>
  <si>
    <t>Александер-Гарретт Лейла</t>
  </si>
  <si>
    <t>Юрий Любимов: путь к «Мастеру»</t>
  </si>
  <si>
    <t>NNN2506074-P</t>
  </si>
  <si>
    <t>978-5-00223-690-9</t>
  </si>
  <si>
    <t>3.08. Лингвистика</t>
  </si>
  <si>
    <t>Зализняк Андрей</t>
  </si>
  <si>
    <t>«‎Слово о полку Игореве»‎: Взгляд лингвиста</t>
  </si>
  <si>
    <t>NNN2604021-P</t>
  </si>
  <si>
    <t>978-5-00223-039-6</t>
  </si>
  <si>
    <t>Елиферова Мария</t>
  </si>
  <si>
    <t>#Панталоныфракжилет: Что такое языковые заимствования и как они работают</t>
  </si>
  <si>
    <t>NNN2509042-P</t>
  </si>
  <si>
    <t>978-5-00139-295-8</t>
  </si>
  <si>
    <t>Кузнецов Сергей</t>
  </si>
  <si>
    <t>Speak and Write like the Economist. Говори и пиши как the Economist</t>
  </si>
  <si>
    <t>PGR2511182-P</t>
  </si>
  <si>
    <t>978-5-907394-58-2</t>
  </si>
  <si>
    <t>Хлюстова Яна, Шередега Алексей</t>
  </si>
  <si>
    <t>Без барьеров: Как на самом деле учить иностранные языки</t>
  </si>
  <si>
    <t>NNN2403253-P</t>
  </si>
  <si>
    <t>978-5-00223-330-4</t>
  </si>
  <si>
    <t>Из заметок о любительской лингвистике</t>
  </si>
  <si>
    <t>NNN2601135-P</t>
  </si>
  <si>
    <t>978-5-00139-914-8</t>
  </si>
  <si>
    <t>Эверетт Дэниел</t>
  </si>
  <si>
    <t>[покет-серия] Как начинался язык: История величайшего изобретения</t>
  </si>
  <si>
    <t>NNN2601142-P</t>
  </si>
  <si>
    <t>978-5-00139-924-7</t>
  </si>
  <si>
    <t>Пиперски Александр</t>
  </si>
  <si>
    <t>[покет-серия] Конструирование языков: От эсперанто до дотракийского</t>
  </si>
  <si>
    <t>NNN2309194-P</t>
  </si>
  <si>
    <t>978-5-00223-145-4</t>
  </si>
  <si>
    <t>Эверетт Калеб</t>
  </si>
  <si>
    <t>Мириады языков: Почему мы говорим и думаем по-разному</t>
  </si>
  <si>
    <t>NNN2511294-P</t>
  </si>
  <si>
    <t>978-5-00223-200-0</t>
  </si>
  <si>
    <t>Хлюстова Яна</t>
  </si>
  <si>
    <t>Поймать вавилонскую рыбку: Человеческий мозг, нейронные сети и изучение иностранных языков</t>
  </si>
  <si>
    <t>NNN2403044-P</t>
  </si>
  <si>
    <t>978-5-00139-721-2</t>
  </si>
  <si>
    <t>Пиперски Александр, Бердичевский Александр</t>
  </si>
  <si>
    <t>Три склянки пополудни и другие задачи по лингвистике</t>
  </si>
  <si>
    <t>NNN2604020-P</t>
  </si>
  <si>
    <t>978-5-00139-130-2</t>
  </si>
  <si>
    <t>Научно-популярные задачи</t>
  </si>
  <si>
    <t>Маккей Синклер</t>
  </si>
  <si>
    <t>Шифры цивилизации: Коды, секретные послания и тайные знаки в истории человечества</t>
  </si>
  <si>
    <t>AAA2512199-P</t>
  </si>
  <si>
    <t>978-5-9614-8368-0</t>
  </si>
  <si>
    <t>Язык как инстинкт</t>
  </si>
  <si>
    <t>NNN2001038-P</t>
  </si>
  <si>
    <t>978-5-00139-250-7</t>
  </si>
  <si>
    <t>3.09. Социология и антропология</t>
  </si>
  <si>
    <t>30 лучших коммуникационных проектов ТЭК: Издательский проект национальной премии «КонТЭКст»</t>
  </si>
  <si>
    <t>PGR2204098-P</t>
  </si>
  <si>
    <t>978-5-206-00050-4</t>
  </si>
  <si>
    <t>Рябко Виолетта</t>
  </si>
  <si>
    <t>Zero waste на практике: Как перестать быть источником мусора</t>
  </si>
  <si>
    <t>AAA2104012-P</t>
  </si>
  <si>
    <t>978-5-9614-7412-1</t>
  </si>
  <si>
    <t>Николаев Николай</t>
  </si>
  <si>
    <t>Антиманипулятор: Как построить общество, свободное от манипуляций чиновников</t>
  </si>
  <si>
    <t>PGR2402117-P</t>
  </si>
  <si>
    <t>978-5-6042882-6-9</t>
  </si>
  <si>
    <t>Дробышевский Станислав</t>
  </si>
  <si>
    <t>Байки из грота: 50 историй из жизни древних людей</t>
  </si>
  <si>
    <t>NNN2506232-P</t>
  </si>
  <si>
    <t>978-5-91671-918-5</t>
  </si>
  <si>
    <t>Больше, чем коробка: О безграничном потенциале ограниченного пространства</t>
  </si>
  <si>
    <t>AAA2508121-P</t>
  </si>
  <si>
    <t>978-5-9614-4043-0</t>
  </si>
  <si>
    <t>Борьба за обед: Ещё 50 баек из грота</t>
  </si>
  <si>
    <t>NNN2601136-P</t>
  </si>
  <si>
    <t>978-5-00139-845-5</t>
  </si>
  <si>
    <t>Кропоткин Петр</t>
  </si>
  <si>
    <t>Взаимная помощь: Почему мы эволюционируем, помогая друг другу</t>
  </si>
  <si>
    <t>AAA2601039-P</t>
  </si>
  <si>
    <t>978-5-9614-9136-4</t>
  </si>
  <si>
    <t>Радке Хизер</t>
  </si>
  <si>
    <t>Взгляд назад: Культурная история женских ягодиц</t>
  </si>
  <si>
    <t>NNN2201172-P</t>
  </si>
  <si>
    <t>978-5-00139-666-6</t>
  </si>
  <si>
    <t>Взломать всё: Как сильные мира сего используют уязвимости систем в своих интересах</t>
  </si>
  <si>
    <t>AAA2509333-P</t>
  </si>
  <si>
    <t>978-5-9614-8310-9</t>
  </si>
  <si>
    <t>Тапскотт Дон, Уильямс Энтони Д.</t>
  </si>
  <si>
    <t>Викиномика: Как массовое сотрудничество изменяет все</t>
  </si>
  <si>
    <t>g1804100</t>
  </si>
  <si>
    <t>978-5-6042878-7-3</t>
  </si>
  <si>
    <t>Вне поколений. Новые правила работы и жизни</t>
  </si>
  <si>
    <t>PGR2511179-P</t>
  </si>
  <si>
    <t>978-5-206-00362-8</t>
  </si>
  <si>
    <t>Голубева Наталья</t>
  </si>
  <si>
    <t>Воздух: Неожиданные факты о том, без чего нельзя прожить</t>
  </si>
  <si>
    <t>AAA2110191-P</t>
  </si>
  <si>
    <t>978-5-9614-7808-2</t>
  </si>
  <si>
    <t>Силвертаун Джонатан</t>
  </si>
  <si>
    <t>Гены, эгоизм и сила сотрудничества: Эволюция как командная игра</t>
  </si>
  <si>
    <t>AAA2407168-P</t>
  </si>
  <si>
    <t>978-5-0063-0032-3</t>
  </si>
  <si>
    <t>Андрей Шаповалов</t>
  </si>
  <si>
    <t>Говорящие с духами: Мир сибирского шаманизма</t>
  </si>
  <si>
    <t>NNN2512165-P</t>
  </si>
  <si>
    <t>978-5-00223-133-1</t>
  </si>
  <si>
    <t>Кончиц Михаил</t>
  </si>
  <si>
    <t>Заповедные железные дороги</t>
  </si>
  <si>
    <t>NNN2506124-P</t>
  </si>
  <si>
    <t>978-5-00223-695-4</t>
  </si>
  <si>
    <t>Хафф Дарелл</t>
  </si>
  <si>
    <t>Как лгать при помощи статистики</t>
  </si>
  <si>
    <t>AAA2606112-P</t>
  </si>
  <si>
    <t>978-5-9614-8590-5</t>
  </si>
  <si>
    <t>Как сделать, чтобы государство работало для граждан? Практическое руководство по решению общественных проблем и изменению мира</t>
  </si>
  <si>
    <t>LGA2102130-P</t>
  </si>
  <si>
    <t>978-5-907534-13-1</t>
  </si>
  <si>
    <t>Лучшее в нас: Почему насилия в мире стало меньше</t>
  </si>
  <si>
    <t>NNN2304105-P</t>
  </si>
  <si>
    <t>978-5-00139-171-5</t>
  </si>
  <si>
    <t>Портер Майкл</t>
  </si>
  <si>
    <t>Международная конкуренция. Конкурентные преимущества стран</t>
  </si>
  <si>
    <t>PGR2512292-P</t>
  </si>
  <si>
    <t>978-5-907394-63-6</t>
  </si>
  <si>
    <t>Гёпель Майя</t>
  </si>
  <si>
    <t>Мир после нас: Как не дать планете погибнуть</t>
  </si>
  <si>
    <t>AAA2007291-P</t>
  </si>
  <si>
    <t>978-5-9614-3913-7</t>
  </si>
  <si>
    <t>Маккей Чарльз</t>
  </si>
  <si>
    <t>Наиболее распространенные заблуждения и безумства толпы</t>
  </si>
  <si>
    <t>PGR2512301-P</t>
  </si>
  <si>
    <t>978-5-907470-90-3</t>
  </si>
  <si>
    <t>под редакцией Александры Борисовой-Сале и Яна Плехович</t>
  </si>
  <si>
    <t>Научное волонтерство: Делаем науку вместе</t>
  </si>
  <si>
    <t>NNN2211226-P</t>
  </si>
  <si>
    <t>978-5-00139-854-7</t>
  </si>
  <si>
    <t>Толстой Лев, Басинский Павел</t>
  </si>
  <si>
    <t>[переплет] Не могу молчать: Статьи о войне, насилии, любви, безверии и непротивлении злу. Предисловие Павла Басинского.</t>
  </si>
  <si>
    <t>AAA2605053-P</t>
  </si>
  <si>
    <t>978-5-9614-8323-9</t>
  </si>
  <si>
    <t>Криадо Перес Кэролайн</t>
  </si>
  <si>
    <t xml:space="preserve">Невидимые женщины:  Почему мы живем в мире, удобном только для мужчин. Неравноправие, основанное на данных.</t>
  </si>
  <si>
    <t>AAA2604061-P</t>
  </si>
  <si>
    <t>978-5-9614-3762-1</t>
  </si>
  <si>
    <t>Титова Анна</t>
  </si>
  <si>
    <t>Невыносимый мусор: Записки военкора мусорной войны</t>
  </si>
  <si>
    <t>AAA2010145-P</t>
  </si>
  <si>
    <t>978-5-9614-6618-8</t>
  </si>
  <si>
    <t>Кольчик Светлана</t>
  </si>
  <si>
    <t>Новая семья: Гостевой брак, лоскутная семья и другие форматы отношений в современном мире</t>
  </si>
  <si>
    <t>AAA2605062-P</t>
  </si>
  <si>
    <t>978-5-9614-8409-0</t>
  </si>
  <si>
    <t>Вельцер Харальд</t>
  </si>
  <si>
    <t>Обыкновенные убийцы: Как система превращает обычных людей в монстров</t>
  </si>
  <si>
    <t>AAA2604204-P</t>
  </si>
  <si>
    <t>978-5-9614-9245-3</t>
  </si>
  <si>
    <t>Хэднеги Кристофер</t>
  </si>
  <si>
    <t>[покет] Осторожно, мошенники! Как противостоять манипуляциям и не дать себя обмануть</t>
  </si>
  <si>
    <t>AAA2504217-P</t>
  </si>
  <si>
    <t>978-5-0063-0746-9</t>
  </si>
  <si>
    <t>Предсказуемая иррациональность: Скрытые силы, определяющие наши решения</t>
  </si>
  <si>
    <t>AAA2604202-P</t>
  </si>
  <si>
    <t>978-5-9614-2096-8</t>
  </si>
  <si>
    <t>Чередниченко Надежда</t>
  </si>
  <si>
    <t xml:space="preserve">Просто.  Доступно. Руководство по созданию комфортной безбарьерной среды</t>
  </si>
  <si>
    <t>PGR2301042-P</t>
  </si>
  <si>
    <t>978-5-206-00176-1</t>
  </si>
  <si>
    <t>[покет-серия] Разговор с незнакомцем: Почему мы ошибаемся в людях и доверяем лжецам</t>
  </si>
  <si>
    <t>AAA2311039-P</t>
  </si>
  <si>
    <t>978-5-9614-8461-8</t>
  </si>
  <si>
    <t>Clancy Kelly</t>
  </si>
  <si>
    <t>Реальность на кону: Как игры объясняют человеческую природу</t>
  </si>
  <si>
    <t>NNN2107085-P</t>
  </si>
  <si>
    <t>978-5-00223-852-1</t>
  </si>
  <si>
    <t>Фучик Юлиус</t>
  </si>
  <si>
    <t>Репортаж с петлей на шее</t>
  </si>
  <si>
    <t>Пер. с чеш.</t>
  </si>
  <si>
    <t>AAA2511342-P</t>
  </si>
  <si>
    <t>978-5-9614-8576-9</t>
  </si>
  <si>
    <t>Энджел Кэтрин</t>
  </si>
  <si>
    <t>Секс в эпоху согласия</t>
  </si>
  <si>
    <t>NNN2309157-P</t>
  </si>
  <si>
    <t>978-5-00139-862-2</t>
  </si>
  <si>
    <t>Некрасов Дмитрий</t>
  </si>
  <si>
    <t>Социальное неравенство: Альтернативный взгляд</t>
  </si>
  <si>
    <t>LGA2106066-P</t>
  </si>
  <si>
    <t>978-5-907470-25-5</t>
  </si>
  <si>
    <t>Эллард Колин</t>
  </si>
  <si>
    <t>Среда обитания: Как архитектура влияет на наше поведение и самочувствие</t>
  </si>
  <si>
    <t>AAA2601121-P</t>
  </si>
  <si>
    <t>978-5-9614-7018-5</t>
  </si>
  <si>
    <t>Джарен Хоуп</t>
  </si>
  <si>
    <t>Темная сторона изобилия: Как мы изменили климат и что с этим делать дальше</t>
  </si>
  <si>
    <t>AAA1912069-P</t>
  </si>
  <si>
    <t>978-5-9614-7466-4</t>
  </si>
  <si>
    <t>Дабнер Стивен, Левитт Стивен</t>
  </si>
  <si>
    <t>[покет-серия] Фрикономика: Экономист-хулиган и журналист-сорвиголова исследуют скрытые причины всего на свете</t>
  </si>
  <si>
    <t>AAA2512259-P</t>
  </si>
  <si>
    <t>978-5-9614-9440-2</t>
  </si>
  <si>
    <t>Хоффер Эрик</t>
  </si>
  <si>
    <t>Человек убежденный: Личность, власть и массовые движения</t>
  </si>
  <si>
    <t>PGR2605024-P</t>
  </si>
  <si>
    <t>978-5-6042879-3-4</t>
  </si>
  <si>
    <t>Кунцевич Илья Владимирович</t>
  </si>
  <si>
    <t>Экономическое равновесие: Теория объемной геометрии в экономике</t>
  </si>
  <si>
    <t>g41113</t>
  </si>
  <si>
    <t>978-5-9614-5037-8</t>
  </si>
  <si>
    <t>3.10. Политика, международные отношения</t>
  </si>
  <si>
    <t>Селезнев Павел, Торик Наталья</t>
  </si>
  <si>
    <t>GRавитация : Стратегии и тактики взаимодействия бизнеса и государства</t>
  </si>
  <si>
    <t>PGR2503005-P</t>
  </si>
  <si>
    <t>978-5-206-00424-3</t>
  </si>
  <si>
    <t>Wiki-правительство: Как технологии могут сделать власть лучше, демократию - сильнее, а граждан - влиятельнее</t>
  </si>
  <si>
    <t>LGA2011013-P</t>
  </si>
  <si>
    <t>978-5-9614-1927-6</t>
  </si>
  <si>
    <t>Гельман Владимир</t>
  </si>
  <si>
    <t>Авторитарная Россия: Бегство от свободы, или Почему у нас не приживается демократия</t>
  </si>
  <si>
    <t>Говард Рорк</t>
  </si>
  <si>
    <t>GAG2602033-P</t>
  </si>
  <si>
    <t>978-5-906067-06-7</t>
  </si>
  <si>
    <t>Геополитика и энергетика</t>
  </si>
  <si>
    <t>PGR2502245-P</t>
  </si>
  <si>
    <t>978-5-206-00482-3</t>
  </si>
  <si>
    <t>Коцци Эмилио</t>
  </si>
  <si>
    <t>Господство в космосе: Борьба за мировое лидерство за пределами Земли</t>
  </si>
  <si>
    <t>AAA2507046-P</t>
  </si>
  <si>
    <t>978-5-0063-0962-3</t>
  </si>
  <si>
    <t>Жоров Вадим</t>
  </si>
  <si>
    <t>Гражданство Израиля : Дорожная карта репатрианта</t>
  </si>
  <si>
    <t>PGR2304035-P</t>
  </si>
  <si>
    <t>978-5-206-00208-9</t>
  </si>
  <si>
    <t>Борозняк Александр</t>
  </si>
  <si>
    <t>Жестокая память: Как Германия преодолевает нацистcкое прошлое</t>
  </si>
  <si>
    <t>AAA2512272-P</t>
  </si>
  <si>
    <t>978-5-9614-8774-9</t>
  </si>
  <si>
    <t>Геллер Борис</t>
  </si>
  <si>
    <t>За щитом Давида : Размышления израильского офицера о разведке, армии, людях и о стране</t>
  </si>
  <si>
    <t>PGA2512297-P</t>
  </si>
  <si>
    <t>978-5-0063-1255-5</t>
  </si>
  <si>
    <t>Селезнев Павел, Грива Евгений</t>
  </si>
  <si>
    <t>Индийское притяжение: Бизнес в стране возможностей и контрастов</t>
  </si>
  <si>
    <t>PGR2402192-P</t>
  </si>
  <si>
    <t>978-5-206-00341-3</t>
  </si>
  <si>
    <t>Критическая масса: Атом и геополитика</t>
  </si>
  <si>
    <t>PGR2508089-P</t>
  </si>
  <si>
    <t>978-5-206-00591-2</t>
  </si>
  <si>
    <t>Войтенко Эдуард, Парфенчикова Анастасия</t>
  </si>
  <si>
    <t>Лоббизм и GR: Понятия, функции, инструменты</t>
  </si>
  <si>
    <t>PGR2412251-P</t>
  </si>
  <si>
    <t>978-5-206-00057-3</t>
  </si>
  <si>
    <t>Одергон Арлин</t>
  </si>
  <si>
    <t>Отель «Война»: Что происходит с психикой людей в военное время</t>
  </si>
  <si>
    <t>AAA2509171-P</t>
  </si>
  <si>
    <t>978-5-9614-9250-7</t>
  </si>
  <si>
    <t>Турунен Ари</t>
  </si>
  <si>
    <t>Памятники не тем: Правители, не заслужившие славы</t>
  </si>
  <si>
    <t>Пер. с фин.</t>
  </si>
  <si>
    <t>AAA2406132-P</t>
  </si>
  <si>
    <t>978-5-9614-2729-5</t>
  </si>
  <si>
    <t>Согомонян Виктор</t>
  </si>
  <si>
    <t>Политика как сюжет. Драматургия современных предвыборных кампаний</t>
  </si>
  <si>
    <t>PGR2509291-P</t>
  </si>
  <si>
    <t>978-5-206-00019-1</t>
  </si>
  <si>
    <t xml:space="preserve">Почему Россия отстала?  Исторические события, повлиявшие на судьбу страны</t>
  </si>
  <si>
    <t>AAA2502136-P</t>
  </si>
  <si>
    <t>978-5-0063-0013-2</t>
  </si>
  <si>
    <t>Линди Сьюзен</t>
  </si>
  <si>
    <t>Разум в тумане войны: Наука и технологии на полях сражений</t>
  </si>
  <si>
    <t>NNN2205157-P</t>
  </si>
  <si>
    <t>978-5-00139-710-6</t>
  </si>
  <si>
    <t>Регулирование GR и лоббизма в России : Статус-кво или поиск новых решений</t>
  </si>
  <si>
    <t>PGR2406186-P</t>
  </si>
  <si>
    <t>978-5-206-00381-9</t>
  </si>
  <si>
    <t>Уголь в геополитической системе координат: истоки отрасли, тенденции, перспективы</t>
  </si>
  <si>
    <t>PGR2511256-P</t>
  </si>
  <si>
    <t>978-5-206-00645-2</t>
  </si>
  <si>
    <t>3.12. Серия "Популярная наука" (покеты)</t>
  </si>
  <si>
    <t>[покет-серия] В поисках потока: Психология включенности в повседневность</t>
  </si>
  <si>
    <t>NNN2212157-P</t>
  </si>
  <si>
    <t>978-5-00139-930-8</t>
  </si>
  <si>
    <t>[покет-серия] Вагина: Новая история женской сексуальности</t>
  </si>
  <si>
    <t>NNN2601245-P</t>
  </si>
  <si>
    <t>978-5-00139-061-9</t>
  </si>
  <si>
    <t>Попов Сергей</t>
  </si>
  <si>
    <t>[покет-серия] Все формулы мира: Как математика объясняет законы природы</t>
  </si>
  <si>
    <t>NNN2512164-P</t>
  </si>
  <si>
    <t>978-5-91671-173-8</t>
  </si>
  <si>
    <t>[покет-серия] Гиперпространство: научная одиссея через параллельные миры, дыры во времени и десятое измерение</t>
  </si>
  <si>
    <t>NNN2601241-P</t>
  </si>
  <si>
    <t>978-5-00139-027-5</t>
  </si>
  <si>
    <t>[покет-серия] Истоки морали. В поисках человеческого у приматов</t>
  </si>
  <si>
    <t>NNN2505140-P</t>
  </si>
  <si>
    <t>978-5-91671-914-7</t>
  </si>
  <si>
    <t>Мартин Роберт</t>
  </si>
  <si>
    <t>[покет] Как мы делаем это: Эволюция и будущее репродуктивного поведения человека</t>
  </si>
  <si>
    <t>NNN2002159-P</t>
  </si>
  <si>
    <t>978-5-00139-271-2</t>
  </si>
  <si>
    <t>[покет-серия] Космос</t>
  </si>
  <si>
    <t>NNN2510027-P</t>
  </si>
  <si>
    <t>978-5-00139-142-5</t>
  </si>
  <si>
    <t>[покет-серия] Кто мы такие? Гены, наше тело, общество</t>
  </si>
  <si>
    <t>NNN2512068-P</t>
  </si>
  <si>
    <t>978-5-00139-275-0</t>
  </si>
  <si>
    <t>Рапай Клотер</t>
  </si>
  <si>
    <t>[покет-серия] Культурный код: Как мы живем, что покупаем и почему</t>
  </si>
  <si>
    <t>AAA2603013-P</t>
  </si>
  <si>
    <t>978-5-9614-9294-1</t>
  </si>
  <si>
    <t>[покет-серия] Мир, полный демонов: Наука - как свеча во тьме</t>
  </si>
  <si>
    <t>NNN2601057-P</t>
  </si>
  <si>
    <t>978-5-91671-864-5</t>
  </si>
  <si>
    <t>Бразертон Роб</t>
  </si>
  <si>
    <t>[покет-серия] Недоверчивые умы: Чем нас привлекают теории заговоров</t>
  </si>
  <si>
    <t>NNN2308109-P</t>
  </si>
  <si>
    <t>978-5-00139-767-0</t>
  </si>
  <si>
    <t>[покет-серия] Параллельные миры: Об устройстве мироздания, высших измерениях и будущем космоса</t>
  </si>
  <si>
    <t>NNN2601137-P</t>
  </si>
  <si>
    <t>978-5-00139-934-6</t>
  </si>
  <si>
    <t>Фишер Хелен</t>
  </si>
  <si>
    <t>[покет] Почему мы любим: природа и химия романтической любви</t>
  </si>
  <si>
    <t>NNN2411175-P</t>
  </si>
  <si>
    <t>978-5-91671-861-4</t>
  </si>
  <si>
    <t>Михайлов Константин</t>
  </si>
  <si>
    <t>[покет-серия] Природа веры: Взаимосвязь религии и окружающей среды</t>
  </si>
  <si>
    <t>AAA2209126-P</t>
  </si>
  <si>
    <t>978-5-9614-8346-8</t>
  </si>
  <si>
    <t>Смит Джонатан</t>
  </si>
  <si>
    <t>[покет] Псевдонаука и паранормальные явления: Критический взгляд</t>
  </si>
  <si>
    <t>NNN2404031-P</t>
  </si>
  <si>
    <t>978-5-00139-063-3</t>
  </si>
  <si>
    <t>[покет-серия] Структура реальности: Наука параллельных вселенных</t>
  </si>
  <si>
    <t>NNN2603115-P</t>
  </si>
  <si>
    <t>978-5-91671-937-6</t>
  </si>
  <si>
    <t>[покет-серия] Уравнение Бога: В поисках теории всего</t>
  </si>
  <si>
    <t>NNN2602095-P</t>
  </si>
  <si>
    <t>978-5-00223-067-9</t>
  </si>
  <si>
    <t>[покет-серия] Физика невозможного</t>
  </si>
  <si>
    <t>NNN2510235-P</t>
  </si>
  <si>
    <t>978-5-91671-896-6</t>
  </si>
  <si>
    <t>Несси Рэндольф</t>
  </si>
  <si>
    <t>[покет-серия] Хорошие плохие чувства: Почему эволюция допускает тревожность, депрессию и другие психические расстройства</t>
  </si>
  <si>
    <t>NNN2412166-P</t>
  </si>
  <si>
    <t>978-5-00139-922-3</t>
  </si>
  <si>
    <t>3.13. Путешествия, страноведение</t>
  </si>
  <si>
    <t>Клейн Леонид</t>
  </si>
  <si>
    <t>Бесполезная классика: Почему художественная литература лучше учебников по управлению</t>
  </si>
  <si>
    <t>AAA2603024-P</t>
  </si>
  <si>
    <t>978-5-9614-4119-2</t>
  </si>
  <si>
    <t>Чайка Кайл</t>
  </si>
  <si>
    <t>В поисках минимализма: Стремление к меньшему в живописи, архитектуре и музыке</t>
  </si>
  <si>
    <t>AAA2502137-P</t>
  </si>
  <si>
    <t>978-5-9614-3811-6</t>
  </si>
  <si>
    <t>Рейс Тодд</t>
  </si>
  <si>
    <t>Город будущего. Дубай, созданный архитектурой</t>
  </si>
  <si>
    <t>PGR2602037-P</t>
  </si>
  <si>
    <t>978-5-206-00240-9</t>
  </si>
  <si>
    <t>Сандер Сергей</t>
  </si>
  <si>
    <t>Дом за рубежом. Как выбрать, купить и оформить недвижимость в другой стране</t>
  </si>
  <si>
    <t>PGR2102225-P</t>
  </si>
  <si>
    <t>978-5-206-00089-4</t>
  </si>
  <si>
    <t>Хименес Давид</t>
  </si>
  <si>
    <t>Дурман Востока. По следам Оруэлла, Конрада, Киплинга и других великих писателей, зачарованных Азией</t>
  </si>
  <si>
    <t>NNN2507181-P</t>
  </si>
  <si>
    <t>978-5-00223-295-6</t>
  </si>
  <si>
    <t>Бомбар Ален</t>
  </si>
  <si>
    <t>За бортом по своей воле</t>
  </si>
  <si>
    <t>AAA2603226-P</t>
  </si>
  <si>
    <t>978-5-9614-8168-6</t>
  </si>
  <si>
    <t>Пеллетье Филипп</t>
  </si>
  <si>
    <t>Империя якудза: Организованная преступность и национализм в Японии</t>
  </si>
  <si>
    <t>NNN2312224-P</t>
  </si>
  <si>
    <t>978-5-00223-301-4</t>
  </si>
  <si>
    <t>Стеркс Рул</t>
  </si>
  <si>
    <t>Китайская мысль: от Конфуция до повара Дина</t>
  </si>
  <si>
    <t>NNN2605039-P</t>
  </si>
  <si>
    <t>978-5-00139-788-5</t>
  </si>
  <si>
    <t>Щербинина Юлия</t>
  </si>
  <si>
    <t>Книга как иллюзия: Тайники, лжебиблиотеки, арт-объекты</t>
  </si>
  <si>
    <t>NNN2503232-P</t>
  </si>
  <si>
    <t>978-5-00139-821-9</t>
  </si>
  <si>
    <t>Поскетт Джеймс</t>
  </si>
  <si>
    <t>Незападная история науки: Открытия, о которых мы не знали</t>
  </si>
  <si>
    <t>AAA2506008-P</t>
  </si>
  <si>
    <t>978-5-9614-7370-4</t>
  </si>
  <si>
    <t>Хоуп Брэдли, Шек Джастин</t>
  </si>
  <si>
    <t>Нефть и кровь: Беспощадная борьба наследного принца Саудовской Аравии за мировое господство</t>
  </si>
  <si>
    <t>AAA2605129-P</t>
  </si>
  <si>
    <t>978-5-9614-9182-1</t>
  </si>
  <si>
    <t>Батанов Константин</t>
  </si>
  <si>
    <t>Ни хао! Как вести дела с китайскими партнерами</t>
  </si>
  <si>
    <t>AAA2511254-P</t>
  </si>
  <si>
    <t>978-5-9614-2503-1</t>
  </si>
  <si>
    <t>Демик Барбара</t>
  </si>
  <si>
    <t>[обложка] Повседневная жизнь в Северной Корее</t>
  </si>
  <si>
    <t>NNN2402020-P</t>
  </si>
  <si>
    <t>978-5-00223-265-9</t>
  </si>
  <si>
    <t>3.14. Литературоведение</t>
  </si>
  <si>
    <t>Сапрыкин Юрий, Бабицкая Варвара, Оборин Лев, Рыжова Полина</t>
  </si>
  <si>
    <t>[Тома 3, 4] Полка: О главных книгах русской литературы</t>
  </si>
  <si>
    <t>NNN2512069-P</t>
  </si>
  <si>
    <t>978-5-00139-822-6</t>
  </si>
  <si>
    <t>Мангель Альберто</t>
  </si>
  <si>
    <t>Воображаемые друзья: Как Дракула, Алиса, Супермен и другие учили меня жизни</t>
  </si>
  <si>
    <t>NNN2407131-P</t>
  </si>
  <si>
    <t>978-5-00223-424-0</t>
  </si>
  <si>
    <t>Найман Анатолий</t>
  </si>
  <si>
    <t>Русская поэма</t>
  </si>
  <si>
    <t>NNP2209146-P</t>
  </si>
  <si>
    <t>978-5-00139-851-6</t>
  </si>
  <si>
    <t>Поликовский Алексей</t>
  </si>
  <si>
    <t>Слова в снегу: Книга о русских писателях</t>
  </si>
  <si>
    <t>NNN2408120-P</t>
  </si>
  <si>
    <t>978-5-00223-469-1</t>
  </si>
  <si>
    <t>Горпинко Екатерина</t>
  </si>
  <si>
    <t>Стихи и вещи: Как поэты Серебряного века стали иконами стиля</t>
  </si>
  <si>
    <t>NNN2503233-P</t>
  </si>
  <si>
    <t>978-5-00223-122-5</t>
  </si>
  <si>
    <t>3.15. Экология и климат</t>
  </si>
  <si>
    <t>Колчанова Екатерина, Гельман Мария</t>
  </si>
  <si>
    <t>Бережное потребление на практике: Как полюбить себя, окружающих и планету</t>
  </si>
  <si>
    <t>AAA2102142-P</t>
  </si>
  <si>
    <t>978-5-9614-8271-3</t>
  </si>
  <si>
    <t>Данн Роб</t>
  </si>
  <si>
    <t>С нами или без нас: Естественная история будущего</t>
  </si>
  <si>
    <t>NNN2108025-P</t>
  </si>
  <si>
    <t>978-5-00139-870-7</t>
  </si>
  <si>
    <t>Сефериан Стефани</t>
  </si>
  <si>
    <t>Экологически ориентированный минимализм. План по спасению себя и планеты</t>
  </si>
  <si>
    <t>PGR2112136-P</t>
  </si>
  <si>
    <t>978-5-907534-64-3</t>
  </si>
  <si>
    <t>3.16. Медицина</t>
  </si>
  <si>
    <t>Макфейл Тереза</t>
  </si>
  <si>
    <t>Аллергия: Жестокие игры иммунитета</t>
  </si>
  <si>
    <t>AAA1912243-P</t>
  </si>
  <si>
    <t>978-5-9614-3272-5</t>
  </si>
  <si>
    <t>Склут Ребекка</t>
  </si>
  <si>
    <t>Бессмертная жизнь Генриетты Лакс</t>
  </si>
  <si>
    <t>NNN2009186-P</t>
  </si>
  <si>
    <t>978-5-00223-094-5</t>
  </si>
  <si>
    <t>Льяч Кристиан, Сильва Валентина</t>
  </si>
  <si>
    <t>В лабиринте сознания: Иллюcтрированный путеводитель по психиатрии</t>
  </si>
  <si>
    <t>AAA2405086-P</t>
  </si>
  <si>
    <t>978-5-9614-9851-6</t>
  </si>
  <si>
    <t>Мэннинг Пескин Сара</t>
  </si>
  <si>
    <t>В молекуле от безумия: Истории о том, как ломается мозг</t>
  </si>
  <si>
    <t>AAA2110202-P</t>
  </si>
  <si>
    <t>978-5-9614-7697-2</t>
  </si>
  <si>
    <t>Ивашков Владимир</t>
  </si>
  <si>
    <t>Всё о груди: Путеводитель по выдающейся части тела</t>
  </si>
  <si>
    <t>AAA2403014-P</t>
  </si>
  <si>
    <t>978-5-9614-8705-3</t>
  </si>
  <si>
    <t>Вскрытие покажет: Записки увлеченного судмедэксперта</t>
  </si>
  <si>
    <t>AAA2512101-P</t>
  </si>
  <si>
    <t>978-5-9614-1383-0</t>
  </si>
  <si>
    <t>Скиллаче Брэнди</t>
  </si>
  <si>
    <t>Головы профессора Уайта: Невероятная история нейрохирурга, который пытался пересадить человеческую голову</t>
  </si>
  <si>
    <t>AAA2008148-P</t>
  </si>
  <si>
    <t>978-5-9614-6444-3</t>
  </si>
  <si>
    <t>Доказательство по телу: Живые истории судмедэксперта о работе с потерпевшими и подозреваемыми</t>
  </si>
  <si>
    <t>AAA2511336-P</t>
  </si>
  <si>
    <t>978-5-9614-8076-4</t>
  </si>
  <si>
    <t>Лонг Майкл</t>
  </si>
  <si>
    <t>Дофамин в порядке: Как приручить гормон счастья</t>
  </si>
  <si>
    <t>AAA2411101-P</t>
  </si>
  <si>
    <t>978-5-0063-0318-8</t>
  </si>
  <si>
    <t>Лесков Иван</t>
  </si>
  <si>
    <t>Дышите носом: Что нужно знать о современных методах лечения болезней носа</t>
  </si>
  <si>
    <t>AAA2202208-P</t>
  </si>
  <si>
    <t>978-5-9614-7826-6</t>
  </si>
  <si>
    <t>Младова Елена</t>
  </si>
  <si>
    <t>Желанный ребенок: Что делать, если не получается. Мифы и правда об ЭКО, бесплодии и репродуктивном здоровье</t>
  </si>
  <si>
    <t>AAA2305135-P</t>
  </si>
  <si>
    <t>978-5-9614-8995-8</t>
  </si>
  <si>
    <t>Ламас Даниэла</t>
  </si>
  <si>
    <t xml:space="preserve">[покет-серия] Жизнь взаймы:  Рассказы врача-реаниматолога о людях, получивших второй шанс</t>
  </si>
  <si>
    <t>AAA2401193-P</t>
  </si>
  <si>
    <t>978-5-9614-9589-8</t>
  </si>
  <si>
    <t>Лемоль Джеральд</t>
  </si>
  <si>
    <t>Лимфа и долголетие: Путь к укреплению иммунитета и предупреждению болезней</t>
  </si>
  <si>
    <t>AAA2602147-P</t>
  </si>
  <si>
    <t>978-5-9614-7719-1</t>
  </si>
  <si>
    <t>[покет-серия] Лимфа и долголетие: Путь к укреплению иммунитета и предупреждению болезней</t>
  </si>
  <si>
    <t>AAA2509331-P</t>
  </si>
  <si>
    <t>978-5-9614-9641-3</t>
  </si>
  <si>
    <t>Хольцнер Карола</t>
  </si>
  <si>
    <t>Ниже пояса: Открыто о прикрытом</t>
  </si>
  <si>
    <t>AAA2412103-P</t>
  </si>
  <si>
    <t>978-5-0063-0082-8</t>
  </si>
  <si>
    <t>Пациентология: Ждуны, лгуны и «мне только спросить»</t>
  </si>
  <si>
    <t>AAA2502028-P</t>
  </si>
  <si>
    <t>978-5-0063-0071-2</t>
  </si>
  <si>
    <t>Полезная книга о лишнем и вредном: Как прекратить бороться с собой, понять свой организм и начать питаться правильно</t>
  </si>
  <si>
    <t>AAA1912169-P</t>
  </si>
  <si>
    <t>978-5-9614-4031-7</t>
  </si>
  <si>
    <t>Липска Барбара, Макардл Элейн</t>
  </si>
  <si>
    <t>Потерявшая разум: Откровенная история нейроученого о болезни, надежде и возвращении</t>
  </si>
  <si>
    <t>AAA2006133-P</t>
  </si>
  <si>
    <t>978-5-9614-7838-9</t>
  </si>
  <si>
    <t>Нейтан Тадж</t>
  </si>
  <si>
    <t>[покет] Преступный разум: Судебный психиатр о маньяках, психопатах, убийцах и природе насилия</t>
  </si>
  <si>
    <t>NNN2502063-P</t>
  </si>
  <si>
    <t>978-5-00223-573-5</t>
  </si>
  <si>
    <t>Разговор о женском здоровье</t>
  </si>
  <si>
    <t>AAA2412008-P</t>
  </si>
  <si>
    <t>978-5-0063-0362-1</t>
  </si>
  <si>
    <t>Стивен Майкл</t>
  </si>
  <si>
    <t>С каждым вдохом: Удивительная история наших легких</t>
  </si>
  <si>
    <t>NNN2008141-P</t>
  </si>
  <si>
    <t>978-5-00223-193-5</t>
  </si>
  <si>
    <t>Сердце, которое мы не знаем: История важнейших открытий и будущее лечения сердечно-сосудистых заболеваний</t>
  </si>
  <si>
    <t>AAA1910082-P</t>
  </si>
  <si>
    <t>978-5-9614-3065-3</t>
  </si>
  <si>
    <t>Захид Васим</t>
  </si>
  <si>
    <t>Сердце: Как помочь нашему внутреннему мотору работать дольше</t>
  </si>
  <si>
    <t>AAA1811159-P</t>
  </si>
  <si>
    <t>978-5-9614-2152-1</t>
  </si>
  <si>
    <t>Бригам Кеннет, Джонс Майкл</t>
  </si>
  <si>
    <t>Хороший доктор: Как найти своего врача и выжить</t>
  </si>
  <si>
    <t>AAA2101138-P</t>
  </si>
  <si>
    <t>978-5-9614-2543-7</t>
  </si>
  <si>
    <t>3.17. Экономика</t>
  </si>
  <si>
    <t>В поисках энергии: Ресурсные войны, новые технологии и будущее энергетики</t>
  </si>
  <si>
    <t>PGR2507165-P</t>
  </si>
  <si>
    <t>978-5-9614-2098-2</t>
  </si>
  <si>
    <t>Преломление металла. Почему лом - ценный ресурс для будущего?</t>
  </si>
  <si>
    <t>PGR2405037-P</t>
  </si>
  <si>
    <t>978-5-206-00365-9</t>
  </si>
  <si>
    <t>Стоукс Рэймонд</t>
  </si>
  <si>
    <t>Фениксы мировой экономики: Экономическое возрождение Германии и Японии после 1945 года</t>
  </si>
  <si>
    <t>AAA2412271-P</t>
  </si>
  <si>
    <t>978-5-0063-0405-5</t>
  </si>
  <si>
    <t>3.18. Публицистика</t>
  </si>
  <si>
    <t>Диденок Кирилл</t>
  </si>
  <si>
    <t xml:space="preserve"> Лифт. Наверх с помощью людей, связей и уверенности</t>
  </si>
  <si>
    <t>PGR2502248-P</t>
  </si>
  <si>
    <t>978-5-206-00483-0</t>
  </si>
  <si>
    <t>Голосов Григорий</t>
  </si>
  <si>
    <t>Власть в погонах: Военные режимы в современном мире</t>
  </si>
  <si>
    <t>AAA2507002-P</t>
  </si>
  <si>
    <t>978-5-0063-0341-6</t>
  </si>
  <si>
    <t xml:space="preserve">Смурыгина  Евгения</t>
  </si>
  <si>
    <t>Дефицит: Как в СССР доставали то, что невозможно было достать</t>
  </si>
  <si>
    <t>AAA2602142-P</t>
  </si>
  <si>
    <t>978-5-0063-0025-5</t>
  </si>
  <si>
    <t>Стивенсон Роберт Льюис</t>
  </si>
  <si>
    <t>Замуж? Не смешите! Иронические эссе о любви, браке, взрослении и прочих неловкостях жизни</t>
  </si>
  <si>
    <t>AAA2408118-P</t>
  </si>
  <si>
    <t>978-5-0063-0091-0</t>
  </si>
  <si>
    <t>Бондарчук Светлана</t>
  </si>
  <si>
    <t>Наивно это было и даже смешно...</t>
  </si>
  <si>
    <t>PGR2510097-P</t>
  </si>
  <si>
    <t>978-5-206-00606-3</t>
  </si>
  <si>
    <t>3.19. Криминальные истории</t>
  </si>
  <si>
    <t>Сулим Саша</t>
  </si>
  <si>
    <t>[обложка] Безлюдное место: Как ловят маньяков в России</t>
  </si>
  <si>
    <t>AAA2501233-P</t>
  </si>
  <si>
    <t>978-5-9614-8493-9</t>
  </si>
  <si>
    <t>[обложка] Громкие дела: Преступления и наказания в СССР</t>
  </si>
  <si>
    <t>AAA2512258-P</t>
  </si>
  <si>
    <t>978-5-9614-8561-5</t>
  </si>
  <si>
    <t>Кому на Руси сидеть хорошо: Как устроены тюрьмы в современной России</t>
  </si>
  <si>
    <t>AAA2601016-P</t>
  </si>
  <si>
    <t>978-5-9614-9231-6</t>
  </si>
  <si>
    <t>Копейский маньяк: История жизни и преступлений Вячеслава Яикова</t>
  </si>
  <si>
    <t>AAA2511236-P</t>
  </si>
  <si>
    <t>978-5-0063-0274-7</t>
  </si>
  <si>
    <t>Бенаим Валери</t>
  </si>
  <si>
    <t>Он не тот, кем кажется: Почему женщины влюбляются в серийных убийц</t>
  </si>
  <si>
    <t>AAA2406058-P</t>
  </si>
  <si>
    <t>978-5-9614-9918-6</t>
  </si>
  <si>
    <t>Колер Стивен, Мур Пит, Оуэн Дэвид</t>
  </si>
  <si>
    <t>Сам или помогли? Как криминалисты раскрыли 50 "идеальных" убийств</t>
  </si>
  <si>
    <t>AAA2511077-P</t>
  </si>
  <si>
    <t>978-5-9614-3278-7</t>
  </si>
  <si>
    <t>Серийный убийца рядом: Двойная жизнь самых известных маньяков</t>
  </si>
  <si>
    <t>AAA2310141-P</t>
  </si>
  <si>
    <t>978-5-9614-9360-3</t>
  </si>
  <si>
    <t>Нотарбартоло Леонардо</t>
  </si>
  <si>
    <t>Украсть невозможно: Как я ограбил самое надежное хранилище бриллиантов</t>
  </si>
  <si>
    <t>AAA2401076-P</t>
  </si>
  <si>
    <t>978-5-9614-9554-6</t>
  </si>
  <si>
    <t>Толти Стефан</t>
  </si>
  <si>
    <t>[обложка с клапанами] Черная рука: Война между блестящим детективом и самым смертоносным тайным обществом в истории Америки</t>
  </si>
  <si>
    <t>SAS2312192-P</t>
  </si>
  <si>
    <t>978-5-00216-157-7</t>
  </si>
  <si>
    <t>Чисто российское преступление: Самые громкие и загадочные уголовные дела XVIII – XX веков</t>
  </si>
  <si>
    <t>AAA2606113-P</t>
  </si>
  <si>
    <t>978-5-0063-0428-4</t>
  </si>
  <si>
    <t>Я иду искать: Подлинные истории о российских маньяках</t>
  </si>
  <si>
    <t>AAA2512095-P</t>
  </si>
  <si>
    <t>978-5-9614-9586-7</t>
  </si>
  <si>
    <t>3.20. Искусство и культура</t>
  </si>
  <si>
    <t>Ходаковская Диана</t>
  </si>
  <si>
    <t>Дом как маленькое государство : Руководство по управлению домом в XXI веке</t>
  </si>
  <si>
    <t>PGR2312038-P</t>
  </si>
  <si>
    <t>978-5-206-00310-9</t>
  </si>
  <si>
    <t>Душа квартиры: Советы архитектора по обустройству пространства для работы и жизни</t>
  </si>
  <si>
    <t>AAA2509235-P</t>
  </si>
  <si>
    <t>978-5-9614-8234-8</t>
  </si>
  <si>
    <t>Музыка как лекарство</t>
  </si>
  <si>
    <t>NNN2311015-P</t>
  </si>
  <si>
    <t>978-5-00223-201-7</t>
  </si>
  <si>
    <t>Сальманов Олег, Иванов Александр</t>
  </si>
  <si>
    <t>От абака до ChatGPT: Короткие истории долгого прогресса</t>
  </si>
  <si>
    <t>PGR2508161-P</t>
  </si>
  <si>
    <t>978-5-206-00594-3</t>
  </si>
  <si>
    <t>Скандинавский дизайн: Как сделать дом уютным</t>
  </si>
  <si>
    <t>AAA2505023-P</t>
  </si>
  <si>
    <t>978-5-9614-9027-5</t>
  </si>
  <si>
    <t>3.21. Книги о животных</t>
  </si>
  <si>
    <t>Лосос Джонатан</t>
  </si>
  <si>
    <t>От саванны до дивана: Эволюционная история кошек</t>
  </si>
  <si>
    <t>NNN2411166-P</t>
  </si>
  <si>
    <t>978-5-00139-947-6</t>
  </si>
  <si>
    <t>04. Бизнес</t>
  </si>
  <si>
    <t>4.01. Лидерство</t>
  </si>
  <si>
    <t>Дотлих Дэвид, Кейро Питер</t>
  </si>
  <si>
    <t>11 врагов руководителя: Модели поведения, которые могут разрушить карьеру и бизнес</t>
  </si>
  <si>
    <t>AAA2601036-P</t>
  </si>
  <si>
    <t>978-5-9614-6912-7</t>
  </si>
  <si>
    <t>Библиотека Экопси</t>
  </si>
  <si>
    <t>[покет-серия] 4 правила успешного лидера</t>
  </si>
  <si>
    <t>AAA2402154-P</t>
  </si>
  <si>
    <t>978-5-9614-9642-0</t>
  </si>
  <si>
    <t>Жуков Михаил</t>
  </si>
  <si>
    <t>HeadHunter. Успех неизбежен. Как стартап стал лидером онлайн-рекрутмента и изменил рынок труда</t>
  </si>
  <si>
    <t>PGR2403059-P</t>
  </si>
  <si>
    <t>978-5-6047842-4-2</t>
  </si>
  <si>
    <t>Феррацци Кейт</t>
  </si>
  <si>
    <t>Вместе сильнее: От традиционного лидерства к командной работе</t>
  </si>
  <si>
    <t>AAA2411110-P</t>
  </si>
  <si>
    <t>978-5-0063-0321-8</t>
  </si>
  <si>
    <t>Мозер Анастасия</t>
  </si>
  <si>
    <t>Зеркало для лидера. Меняй себя, чтобы управлять другими</t>
  </si>
  <si>
    <t>PGR2601078-P</t>
  </si>
  <si>
    <t>978-5-206-00214-0</t>
  </si>
  <si>
    <t>Адизес Ицхак</t>
  </si>
  <si>
    <t>[обложка] Идеальный руководитель: Почему им нельзя стать и что из этого следует</t>
  </si>
  <si>
    <t>AAA2509233-P</t>
  </si>
  <si>
    <t>978-5-9614-6752-9</t>
  </si>
  <si>
    <t>Методология Адизеса</t>
  </si>
  <si>
    <t>Набок Оксана</t>
  </si>
  <si>
    <t>Команда рулит. Управление изменениями в цифровой среде</t>
  </si>
  <si>
    <t>PGR2211165-P</t>
  </si>
  <si>
    <t>978-5-206-00149-5</t>
  </si>
  <si>
    <t>Уитмор Джон</t>
  </si>
  <si>
    <t>Коучинг: Основные принципы и практики коучинга и лидерства</t>
  </si>
  <si>
    <t>AAA2409253-P</t>
  </si>
  <si>
    <t>978-5-9614-7093-2</t>
  </si>
  <si>
    <t>[покет-серия] Лидерство, основанное на принципах</t>
  </si>
  <si>
    <t>AAA2502117-P</t>
  </si>
  <si>
    <t>978-5-9614-8894-4</t>
  </si>
  <si>
    <t>Макаров Антон</t>
  </si>
  <si>
    <t>Люди важнее процессов: Инструменты для ресурсного лидера по управлению командами</t>
  </si>
  <si>
    <t>PGR2601147-P</t>
  </si>
  <si>
    <t>978-5-206-00304-8</t>
  </si>
  <si>
    <t>[покет-серия] Мистика лидерства. Развитие эмоционального интеллекта</t>
  </si>
  <si>
    <t>AAA2501151-P</t>
  </si>
  <si>
    <t>978-5-9614-8500-4</t>
  </si>
  <si>
    <t>Дергунов Тимур</t>
  </si>
  <si>
    <t>На всех парусах. Хорошая управленческая практика для эффективного руководителя</t>
  </si>
  <si>
    <t>PGR2510213-P</t>
  </si>
  <si>
    <t>978-5-206-00621-6</t>
  </si>
  <si>
    <t>Хиз Дэн</t>
  </si>
  <si>
    <t>На шаг впереди: Как предотвратить проблему до того, как она возникла</t>
  </si>
  <si>
    <t>AAA1904044-P</t>
  </si>
  <si>
    <t>978-5-9614-6830-4</t>
  </si>
  <si>
    <t xml:space="preserve">Мушин-Македонский  Артем</t>
  </si>
  <si>
    <t>Нарративное лидерство: искусство вдохновлять и убеждать с помощью историй</t>
  </si>
  <si>
    <t>PGI2605027-P</t>
  </si>
  <si>
    <t>978-5-907470-51-4</t>
  </si>
  <si>
    <t>Сахаров Артур, Зальцман Настя</t>
  </si>
  <si>
    <t>Не мешайте людям работать: Руководство для современного руководства</t>
  </si>
  <si>
    <t>PGR2409215-P</t>
  </si>
  <si>
    <t>978-5-206-00422-9</t>
  </si>
  <si>
    <t>Осмысленный менеджмент. Как перестать слушать вредные советы и начать управлять сознательно</t>
  </si>
  <si>
    <t>PGR2409144-P</t>
  </si>
  <si>
    <t>978-5-206-00460-1</t>
  </si>
  <si>
    <t>Тургунов Мурат</t>
  </si>
  <si>
    <t>Первый после Бога : Не будьте просто начальником</t>
  </si>
  <si>
    <t>PGR2601152-P</t>
  </si>
  <si>
    <t>978-5-907274-87-7</t>
  </si>
  <si>
    <t>Дерябин Сергей</t>
  </si>
  <si>
    <t>Свободное погружение. О природе лидерства и обретении личной силы</t>
  </si>
  <si>
    <t>PGR2502287-P</t>
  </si>
  <si>
    <t>978-5-206-00094-8</t>
  </si>
  <si>
    <t>Сила коллективного лидерства</t>
  </si>
  <si>
    <t>AAA2405113-P</t>
  </si>
  <si>
    <t>978-5-9614-9862-2</t>
  </si>
  <si>
    <t>Питерс Том</t>
  </si>
  <si>
    <t>Совершенство сейчас: Как гуманный менеджмент делает бизнес сильнее</t>
  </si>
  <si>
    <t>AAA2104051-P</t>
  </si>
  <si>
    <t>978-5-9614-7527-2</t>
  </si>
  <si>
    <t>Нахапетян Гор, Михайлова Виктория</t>
  </si>
  <si>
    <t>Тандемократия: Искусство "рулить" вдвоем</t>
  </si>
  <si>
    <t>PGR2601080-P</t>
  </si>
  <si>
    <t>978-5-206-00021-4</t>
  </si>
  <si>
    <t>Бояцис Ричард, Гоулман Дэниел, Макки Энни</t>
  </si>
  <si>
    <t>Эмоциональное лидерство: Искусство управления людьми на основе эмоционального интеллекта</t>
  </si>
  <si>
    <t>AAA2511075-P</t>
  </si>
  <si>
    <t>978-5-9614-6973-8</t>
  </si>
  <si>
    <t>Эмоциональный интеллект лидера</t>
  </si>
  <si>
    <t>AAA2605238-P</t>
  </si>
  <si>
    <t>978-5-9614-7849-5</t>
  </si>
  <si>
    <t>4.02. Стратегия и развитие</t>
  </si>
  <si>
    <t>Мефферт Юрген , Кулагин Владимир , Сухаревски Александр</t>
  </si>
  <si>
    <t>Digital @ Scale : Настольная книга по цифровизации бизнеса</t>
  </si>
  <si>
    <t>PGR2506042-P</t>
  </si>
  <si>
    <t>978-5-6042320-7-1</t>
  </si>
  <si>
    <t>Агекян Айше, Рудковская Ирина</t>
  </si>
  <si>
    <t>Бизнес с сердцем вместо KPI : От потребления к созиданию</t>
  </si>
  <si>
    <t>PGR2501300-P</t>
  </si>
  <si>
    <t>978-5-206-00197-6</t>
  </si>
  <si>
    <t>Комсток Бет, Раз Тал</t>
  </si>
  <si>
    <t>Вообразить будущее: Креативный подход к изменениям в бизнесе</t>
  </si>
  <si>
    <t>AAA1810112-P</t>
  </si>
  <si>
    <t>978-5-9614-2656-4</t>
  </si>
  <si>
    <t>Измайлова Ирина</t>
  </si>
  <si>
    <t>Всё ЯСНО! Как создать концептуальный бизнес</t>
  </si>
  <si>
    <t>PGR2411227-P</t>
  </si>
  <si>
    <t>978-5-206-00446-5</t>
  </si>
  <si>
    <t>Гений места. Как альянс власти, бизнеса и сообщества меняет города</t>
  </si>
  <si>
    <t>PGR2511110-P</t>
  </si>
  <si>
    <t>978-5-206-00638-4</t>
  </si>
  <si>
    <t>Матвеева Екатерина</t>
  </si>
  <si>
    <t>Гонка на миллион. Как выстроить финансовую стратегию, которая приведет ваш бизнес к победе</t>
  </si>
  <si>
    <t>PGR2208075-P</t>
  </si>
  <si>
    <t>978-5-206-00095-5</t>
  </si>
  <si>
    <t>Маэда Джон</t>
  </si>
  <si>
    <t>Законы простоты: Дизайн. Технологии. Бизнес. Жизнь</t>
  </si>
  <si>
    <t>PGR2510225-P</t>
  </si>
  <si>
    <t>978-5-907274-92-1</t>
  </si>
  <si>
    <t>Розин Марк</t>
  </si>
  <si>
    <t>Как спасти или погубить компанию за один день: Технологии глубинной фасилитации для бизнеса</t>
  </si>
  <si>
    <t>AAA2512263-P</t>
  </si>
  <si>
    <t>978-5-9614-0808-9</t>
  </si>
  <si>
    <t>Кошман Маргарита</t>
  </si>
  <si>
    <t>Карьера без границ. Как стать свободнее и смелее идти своим путём</t>
  </si>
  <si>
    <t>LGA2110004-P</t>
  </si>
  <si>
    <t>978-5-907470-84-2</t>
  </si>
  <si>
    <t>Лахмоткина Юлия, Гукасян Мэри</t>
  </si>
  <si>
    <t>Когда рынок спит: Шесть шагов руководителя в условиях стагнации</t>
  </si>
  <si>
    <t>PGR2605023-P</t>
  </si>
  <si>
    <t>978-5-206-00528-8</t>
  </si>
  <si>
    <t>Гульчевская Наталья, Сукманюк Ирина, Чуева Екатерина</t>
  </si>
  <si>
    <t>Навигатор внедрения OKR: Опыт российских компаний</t>
  </si>
  <si>
    <t>AAA2603088-P</t>
  </si>
  <si>
    <t>978-5-9614-9135-7</t>
  </si>
  <si>
    <t>Замышляев Олег</t>
  </si>
  <si>
    <t>Настольная книга перемен. Как изменить и улучшить компанию, корпоративную культуру и даже свою собственную жизнь</t>
  </si>
  <si>
    <t>PGR2405084-P</t>
  </si>
  <si>
    <t>978-5-206-00368-0</t>
  </si>
  <si>
    <t>Горнов Андрей</t>
  </si>
  <si>
    <t>О чем ваш бизнес? Как создать бренд компании, чтобы «рвать» конкурентов и нанимать лучших</t>
  </si>
  <si>
    <t>PGR2411111-P</t>
  </si>
  <si>
    <t>978-5-206-00438-0</t>
  </si>
  <si>
    <t>Олигархи Российской империи. Портреты и секреты дореволюционных предпринимателей</t>
  </si>
  <si>
    <t>PGR2602115-P</t>
  </si>
  <si>
    <t>978-5-206-00520-2</t>
  </si>
  <si>
    <t>Авдосьев Дмитрий</t>
  </si>
  <si>
    <t>Организационная зрелость и управление кризисами: Как компания становится системой</t>
  </si>
  <si>
    <t>PGR2505068-P</t>
  </si>
  <si>
    <t>978-5-206-00502-8</t>
  </si>
  <si>
    <t>Глазунов Ярослав</t>
  </si>
  <si>
    <t>Пойми меня. Послание акционера своему СЕО</t>
  </si>
  <si>
    <t>PGR2603129-P</t>
  </si>
  <si>
    <t>978-5-206-00484-7</t>
  </si>
  <si>
    <t>Коннорс Роджер, Смит Том, Хикман Крейг</t>
  </si>
  <si>
    <t>Принцип Оz: Достижение результатов через персональную и организационную ответственность</t>
  </si>
  <si>
    <t>PGR2512061-P</t>
  </si>
  <si>
    <t>978-5-9614-6503-7</t>
  </si>
  <si>
    <t>Хусаинов Ильдар</t>
  </si>
  <si>
    <t>Сила в свободе: Почему компании с предпринимательским духом побеждают</t>
  </si>
  <si>
    <t>PGR2408105-P</t>
  </si>
  <si>
    <t>978-5-206-00400-7</t>
  </si>
  <si>
    <t xml:space="preserve">Кукушкин Марк,  Аникеев Арсентий, Баронене Светлана, Данкин Владимир, Шмакотин Максим</t>
  </si>
  <si>
    <t>Сильная культура - сильный бизнес: Пять элементов трансформации корпоративной культуры</t>
  </si>
  <si>
    <t>AAA2412248-P</t>
  </si>
  <si>
    <t>978-5-0063-0403-1</t>
  </si>
  <si>
    <t>Коляда Андрей</t>
  </si>
  <si>
    <t>Следующий уровень. Стратегический менеджмент новой эпохи</t>
  </si>
  <si>
    <t>PGR2512062-P</t>
  </si>
  <si>
    <t>978-5-206-00654-4</t>
  </si>
  <si>
    <t>Натапов Станислав</t>
  </si>
  <si>
    <t>Социальный капитал: Ключ к личностному росту и процветающему бизнесу</t>
  </si>
  <si>
    <t>PGR2501005-P</t>
  </si>
  <si>
    <t>978-5-206-00463-2</t>
  </si>
  <si>
    <t>Бек Дон Эдвард, Ларсен Тедди Эбо, Солонин Сергей, Джонс Томас, Вильёэн Рика</t>
  </si>
  <si>
    <t xml:space="preserve">Спиральная динамика на практике:  Модель  развития личности, организации и человечества</t>
  </si>
  <si>
    <t>AAA2502127-P</t>
  </si>
  <si>
    <t>978-5-9614-1914-6</t>
  </si>
  <si>
    <t>Бергер Роланд, Котлер Филип, Бикхофф Нильс</t>
  </si>
  <si>
    <t>Стратегический менеджмент по Котлеру: Лучшие приемы и методы</t>
  </si>
  <si>
    <t>AAA2512265-P</t>
  </si>
  <si>
    <t>978-5-9614-7683-5</t>
  </si>
  <si>
    <t>Шолохов Андрей</t>
  </si>
  <si>
    <t>Стратегия попутного ветра. Как обнаружить или создать асимметрии, способные придать бизнесу ускорение</t>
  </si>
  <si>
    <t>LGA2105260-P</t>
  </si>
  <si>
    <t>978-5-907470-22-4</t>
  </si>
  <si>
    <t>Стратегия чистого листа: Как перестать планировать и начать делать бизнес</t>
  </si>
  <si>
    <t>AAA2603085-P</t>
  </si>
  <si>
    <t>978-5-9614-3657-0</t>
  </si>
  <si>
    <t>Казинцев Александр</t>
  </si>
  <si>
    <t>Технология развития производственной системы</t>
  </si>
  <si>
    <t>PGR2305144-P</t>
  </si>
  <si>
    <t>978-5-206-00233-1</t>
  </si>
  <si>
    <t>Бриль Герман, Келл Георг, Раше Андреас</t>
  </si>
  <si>
    <t>Устойчивое инвестирование. Навигатор по миру ESG</t>
  </si>
  <si>
    <t>PGR2412010-P</t>
  </si>
  <si>
    <t>978-5-206-00101-3</t>
  </si>
  <si>
    <t>4.03. Менеджмент</t>
  </si>
  <si>
    <t>Бакингем Маркус, Гуделл Эшли</t>
  </si>
  <si>
    <t xml:space="preserve"> Это так не работает!  Почему большинство управленческих подходов неэффективны и что с этим делают смелые руководители</t>
  </si>
  <si>
    <t>AAA2601027-P</t>
  </si>
  <si>
    <t>978-5-9614-3308-1</t>
  </si>
  <si>
    <t>Каспржак Алексей</t>
  </si>
  <si>
    <t>100 слов не только про Артек: Заметки директора, педагога, человека</t>
  </si>
  <si>
    <t>PGR2505095-P</t>
  </si>
  <si>
    <t>978-5-206-00505-9</t>
  </si>
  <si>
    <t>Сильвер Брюс</t>
  </si>
  <si>
    <t>BPMN — Метод и стиль. Второе издание</t>
  </si>
  <si>
    <t>ZGZ2408010-P</t>
  </si>
  <si>
    <t>978-601-82155-0-6</t>
  </si>
  <si>
    <t>Глазырин Илья</t>
  </si>
  <si>
    <t>LET'S COME TOGETHER. Эффективная коммуникация внутри команды</t>
  </si>
  <si>
    <t>PGR2409141-P</t>
  </si>
  <si>
    <t>978-5-206-00454-0</t>
  </si>
  <si>
    <t>Бэррон Джейсон</t>
  </si>
  <si>
    <t>MBA в картинках: Два года бизнес-школы в одной книге</t>
  </si>
  <si>
    <t>AAA2603014-P</t>
  </si>
  <si>
    <t>978-5-9614-2850-6</t>
  </si>
  <si>
    <t>AAA2603171-P</t>
  </si>
  <si>
    <t>978-5-0063-2005-5</t>
  </si>
  <si>
    <t>Белова Анна</t>
  </si>
  <si>
    <t>PRO реформы: Универсальные инструменты управления изменениями в компании</t>
  </si>
  <si>
    <t>AAA2005024-P</t>
  </si>
  <si>
    <t>978-5-9614-3763-8</t>
  </si>
  <si>
    <t>Джей Рос, Темплар Ричард</t>
  </si>
  <si>
    <t>Алгоритмы эффективной работы</t>
  </si>
  <si>
    <t>PGR2501284-P</t>
  </si>
  <si>
    <t>978-5-9614-6023-0</t>
  </si>
  <si>
    <t>Фридман Александр</t>
  </si>
  <si>
    <t>Бизнес как часы: Руководство по настройке операционки</t>
  </si>
  <si>
    <t>AAA2502018-P</t>
  </si>
  <si>
    <t>978-5-9614-9634-5</t>
  </si>
  <si>
    <t>Миллер Дональд</t>
  </si>
  <si>
    <t>Бизнес на пальцах: Развитие навыков управления, продаж и маркетинга за 60 дней</t>
  </si>
  <si>
    <t>AAA2511242-P</t>
  </si>
  <si>
    <t>978-5-9614-7498-5</t>
  </si>
  <si>
    <t>Барроу Пол</t>
  </si>
  <si>
    <t>Бизнес-план, который работает</t>
  </si>
  <si>
    <t>AAA2112054-P</t>
  </si>
  <si>
    <t>978-5-9614-7688-0</t>
  </si>
  <si>
    <t>Разгуляев Валера</t>
  </si>
  <si>
    <t>Бирюзовое управление на практике: Опыт российских компаний. 2-е издание, обновлённое и дополненное</t>
  </si>
  <si>
    <t>AAA2408077-P</t>
  </si>
  <si>
    <t>978-5-9614-7840-2</t>
  </si>
  <si>
    <t>AAA2512119-P</t>
  </si>
  <si>
    <t>978-5-0063-1759-8</t>
  </si>
  <si>
    <t>Быстрые и эффективные совещания: От подготовки до получения желаемого результата</t>
  </si>
  <si>
    <t>PGR2509040-P</t>
  </si>
  <si>
    <t>978-5-907470-09-5</t>
  </si>
  <si>
    <t>Лич Лоуренс</t>
  </si>
  <si>
    <t>Вовремя и в рамках бюджета: Управление проектами по методу критической цепи</t>
  </si>
  <si>
    <t>AAA2602144-P</t>
  </si>
  <si>
    <t>978-5-9614-6850-2</t>
  </si>
  <si>
    <t>Восхождение по спирали: Теория и практика реформирования организаций</t>
  </si>
  <si>
    <t>AAA2509015-P</t>
  </si>
  <si>
    <t>978-5-9614-8016-0</t>
  </si>
  <si>
    <t>Голдратт Элияху, Голдратт-Ашлаг Эфрат</t>
  </si>
  <si>
    <t>Выбор. Правила Голдратта</t>
  </si>
  <si>
    <t>PGR2605271-P</t>
  </si>
  <si>
    <t>978-5-206-00524-0</t>
  </si>
  <si>
    <t>Имаи Масааки</t>
  </si>
  <si>
    <t>Гемба кайдзен: Путь к снижению затрат и повышению качества</t>
  </si>
  <si>
    <t>AAA2411145-P</t>
  </si>
  <si>
    <t>978-5-9614-7111-3</t>
  </si>
  <si>
    <t>[переплет] Жесткий менеджмент: Заставьте людей работать на результат</t>
  </si>
  <si>
    <t>AAA2605237-P</t>
  </si>
  <si>
    <t>978-5-9614-6984-4</t>
  </si>
  <si>
    <t>[обложка] Жесткий менеджмент: Заставьте людей работать на результат (новое издание)</t>
  </si>
  <si>
    <t>AAA2510187-P</t>
  </si>
  <si>
    <t>978-5-9614-6524-2</t>
  </si>
  <si>
    <t>Остервальдер Алекс, Мастроджакомо Стефано</t>
  </si>
  <si>
    <t>Инструменты командной работы: Пять способов сплотить команду, выстроить доверительные отношения и добиться высоких результатов</t>
  </si>
  <si>
    <t>AAA2503023-P</t>
  </si>
  <si>
    <t>978-5-9614-6416-0</t>
  </si>
  <si>
    <t>Крышкин Олег</t>
  </si>
  <si>
    <t xml:space="preserve">Искусство контроля :  Как управлять организациями и бизнес-процессами со знанием дела</t>
  </si>
  <si>
    <t>PGR2501301-P</t>
  </si>
  <si>
    <t>978-5-907274-49-5</t>
  </si>
  <si>
    <t>Ганин Егор</t>
  </si>
  <si>
    <t>Как приготовить проект : Рецепты для создания успешных продуктов и команд</t>
  </si>
  <si>
    <t>PGR2510110-P</t>
  </si>
  <si>
    <t>978-5-206-00432-8</t>
  </si>
  <si>
    <t>Базерман Макс, Мур Дон</t>
  </si>
  <si>
    <t>Как принять правильное управленческое решение</t>
  </si>
  <si>
    <t>PGR2402123-P</t>
  </si>
  <si>
    <t>978-5-206-00336-9</t>
  </si>
  <si>
    <t>Японская Ассоциация Менеджмента</t>
  </si>
  <si>
    <t>Канбан и точно вовремя на Toyota: Менеджмент начинается на рабочем месте</t>
  </si>
  <si>
    <t>AAA2512116-P</t>
  </si>
  <si>
    <t>978-5-9614-6397-2</t>
  </si>
  <si>
    <t>Сэрра Эллисон</t>
  </si>
  <si>
    <t>Кибербезопасность: правила игры. Как руководители и сотрудники влияют на культуру безопасности в компании</t>
  </si>
  <si>
    <t>LGI2109004-P</t>
  </si>
  <si>
    <t>978-5-907470-58-3</t>
  </si>
  <si>
    <t>Коммерческое бесстрашие. Мыслить так, чтобы достигать больших целей</t>
  </si>
  <si>
    <t>PGR2412148-P</t>
  </si>
  <si>
    <t>978-5-206-00459-5</t>
  </si>
  <si>
    <t>Тобакковала Ришад</t>
  </si>
  <si>
    <t>Компания для людей : Как сохранить душу бизнеса в эпоху тотальной цифровизации</t>
  </si>
  <si>
    <t>LGA2004063-P</t>
  </si>
  <si>
    <t>978-5-907274-91-4</t>
  </si>
  <si>
    <t>Павеллек Гюнтер</t>
  </si>
  <si>
    <t>Комплексное планирование промышленных предприятий: Базовые принципы, методика, ИТ-обеспечение</t>
  </si>
  <si>
    <t>g40905 МВШИ</t>
  </si>
  <si>
    <t>978-5-9614-4627-2</t>
  </si>
  <si>
    <t>Лапшин Евгений</t>
  </si>
  <si>
    <t>Корпорация без монстров. Инновационный ситуативный менеджмент для собственников и СЕО</t>
  </si>
  <si>
    <t>LGA2102103-P</t>
  </si>
  <si>
    <t>978-5-907394-85-8</t>
  </si>
  <si>
    <t>Уоллес Эми, Кэтмелл Эд</t>
  </si>
  <si>
    <t>[обложка] Корпорация гениев: Как управлять командой творческих людей</t>
  </si>
  <si>
    <t>AAA2507073-P</t>
  </si>
  <si>
    <t>978-5-9614-8363-5</t>
  </si>
  <si>
    <t>Таранов Вячеслав</t>
  </si>
  <si>
    <t>Краткая энциклопедия болезней бизнеса : Диагностика и методы лечения</t>
  </si>
  <si>
    <t>PGR2505040-P</t>
  </si>
  <si>
    <t>978-5-206-00190-7</t>
  </si>
  <si>
    <t>Критическая цепь</t>
  </si>
  <si>
    <t>PGR2504188-P</t>
  </si>
  <si>
    <t>978-5-206-00498-4</t>
  </si>
  <si>
    <t>Фуллер Памела, Мерфи Марк, Чоу Энни</t>
  </si>
  <si>
    <t>Лидер без предрассудков: Как избавиться от неосознанных предпочтений и стать эффективнее</t>
  </si>
  <si>
    <t>AAA2011271-P</t>
  </si>
  <si>
    <t>978-5-9614-4259-5</t>
  </si>
  <si>
    <t>Ловушки управления: Как повысить результативность сотрудников</t>
  </si>
  <si>
    <t>AAA2510135-P</t>
  </si>
  <si>
    <t>978-5-9614-7019-2</t>
  </si>
  <si>
    <t>Перескокова Марина</t>
  </si>
  <si>
    <t>Мама, я тимлид! Практические советы по руководству IT-командой</t>
  </si>
  <si>
    <t>AAA2602169-P</t>
  </si>
  <si>
    <t>978-5-9614-7244-8</t>
  </si>
  <si>
    <t>Финкельштейн Григорий</t>
  </si>
  <si>
    <t>Менеджмент на основе данных: Как сменить интуитивный подход к управлению на аналитический</t>
  </si>
  <si>
    <t>AAA2411160-P</t>
  </si>
  <si>
    <t>978-5-0063-0333-1</t>
  </si>
  <si>
    <t>Деминг Эдвардс</t>
  </si>
  <si>
    <t>Менеджмент нового времени: Простые механизмы, ведущие к росту, инновациям и доминированию на рынке</t>
  </si>
  <si>
    <t>AAA2511241-P</t>
  </si>
  <si>
    <t>978-5-9614-1244-4</t>
  </si>
  <si>
    <t>Летуновский Вячеслав</t>
  </si>
  <si>
    <t>Наука побеждать: Менеджмент по Суворову</t>
  </si>
  <si>
    <t>AAA2605239-P</t>
  </si>
  <si>
    <t>978-5-9614-9625-3</t>
  </si>
  <si>
    <t>О менеджменте</t>
  </si>
  <si>
    <t>AAA2310055-P</t>
  </si>
  <si>
    <t>978-5-9614-9324-5</t>
  </si>
  <si>
    <t>Адизес Ицхак, Сандермоен Шетил</t>
  </si>
  <si>
    <t>Организационная структура: Реализация стратегии на практике</t>
  </si>
  <si>
    <t>AAA2510273-P</t>
  </si>
  <si>
    <t>978-5-9614-2896-4</t>
  </si>
  <si>
    <t>Ветров Юрий</t>
  </si>
  <si>
    <t>Паттерны дизайн-менеджмента: Как компании достичь организационной зрелости и улучшить свои продукты</t>
  </si>
  <si>
    <t>PGR2409208-P</t>
  </si>
  <si>
    <t>978-5-206-00004-7</t>
  </si>
  <si>
    <t>Росс Джордж</t>
  </si>
  <si>
    <t xml:space="preserve">Переговоры в стиле Трампа:  Победа в любой сделке</t>
  </si>
  <si>
    <t>AAA2507297-P</t>
  </si>
  <si>
    <t>978-5-0063-1061-2</t>
  </si>
  <si>
    <t>Шерман Леонард</t>
  </si>
  <si>
    <t>Пока псы лают, коты побеждают: Менеджмент без догм</t>
  </si>
  <si>
    <t>a181122</t>
  </si>
  <si>
    <t>978-5-9614-3094-3</t>
  </si>
  <si>
    <t>Правила менеджмента: Как ведут себя успешные руководители</t>
  </si>
  <si>
    <t>AAA2512196-P</t>
  </si>
  <si>
    <t>978-5-9614-6149-7</t>
  </si>
  <si>
    <t>Голдратт-Ашлаг Эфрат</t>
  </si>
  <si>
    <t>Правила потока для управления проектами по Голдратту</t>
  </si>
  <si>
    <t>PGR2601077-P</t>
  </si>
  <si>
    <t>978-5-206-00468-7</t>
  </si>
  <si>
    <t>Практики внедрения изменений: Регулярный менеджмент в действии</t>
  </si>
  <si>
    <t>AAA2601010-P</t>
  </si>
  <si>
    <t>978-5-0063-0461-1</t>
  </si>
  <si>
    <t>Практики регулярного менеджмента: Управление исполнением, управление командой</t>
  </si>
  <si>
    <t>AAA2510264-P</t>
  </si>
  <si>
    <t>978-5-9614-2659-5</t>
  </si>
  <si>
    <t>Виташов Дмитрий</t>
  </si>
  <si>
    <t>Путь руководителя: Базовые технологии повседневного управления</t>
  </si>
  <si>
    <t>PGR2502170-P</t>
  </si>
  <si>
    <t>978-5-206-00479-3</t>
  </si>
  <si>
    <t>Ливайн Майкл</t>
  </si>
  <si>
    <t>Разбитые окна, разбитый бизнес: Как мельчайшие детали влияют на большие достижения</t>
  </si>
  <si>
    <t>PGR2511302-P</t>
  </si>
  <si>
    <t>978-5-9614-7645-3</t>
  </si>
  <si>
    <t>Бирюков Сергей</t>
  </si>
  <si>
    <t>Разумное страхование. Актуальные рыночные практики</t>
  </si>
  <si>
    <t>PGR2409145-P</t>
  </si>
  <si>
    <t>978-5-206-00421-2</t>
  </si>
  <si>
    <t>Болмэн Ли, Дил Терренс</t>
  </si>
  <si>
    <t>Рефрейминг организации: Компания как фабрика, семья, джунгли и храм</t>
  </si>
  <si>
    <t>PGR2504159-P</t>
  </si>
  <si>
    <t>978-5-9614-6269-2</t>
  </si>
  <si>
    <t>Русская промышленная революция : Управленческие уроки первой половины XIX века</t>
  </si>
  <si>
    <t>PGR2505115-P</t>
  </si>
  <si>
    <t>978-5-206-00508-0</t>
  </si>
  <si>
    <t>Бенедикт Тони, Кирхмер Матиас, Скарсиг Марк, Франц Петер, Саксена Раджу, Моррис Дэн, Хилти Джек</t>
  </si>
  <si>
    <t>Свод знаний по управлению бизнес-процессами BPM CBOK 4.0</t>
  </si>
  <si>
    <t>AAA2410299-P</t>
  </si>
  <si>
    <t>978-5-9614-7207-3</t>
  </si>
  <si>
    <t>Новикова Ольга</t>
  </si>
  <si>
    <t>Сделай это в Китае! Руководство по производству вашего товара в КНР: от идеи до партии на складе</t>
  </si>
  <si>
    <t>AAA2512038-P</t>
  </si>
  <si>
    <t>978-5-9614-2838-4</t>
  </si>
  <si>
    <t>Коффман Курт</t>
  </si>
  <si>
    <t>Сначала нарушьте все правила! Что лучшие в мире менеджеры делают по-другому?</t>
  </si>
  <si>
    <t>AAA2507071-P</t>
  </si>
  <si>
    <t>978-5-9614-8725-1</t>
  </si>
  <si>
    <t>Лоусон Джефф</t>
  </si>
  <si>
    <t>Спроси разработчика: Как стать лидером рынка с помощью создания собственного ПО</t>
  </si>
  <si>
    <t>AAA2101047-P</t>
  </si>
  <si>
    <t>978-5-9614-7659-0</t>
  </si>
  <si>
    <t>[переплет] Стили менеджмента — эффективные и неэффективные</t>
  </si>
  <si>
    <t>AAA2512104-P</t>
  </si>
  <si>
    <t>978-5-9614-7743-6</t>
  </si>
  <si>
    <t>Управление в условиях кризиса: Как выжить и стать сильнее</t>
  </si>
  <si>
    <t>AAA2501228-P</t>
  </si>
  <si>
    <t>978-5-9614-7601-9</t>
  </si>
  <si>
    <t>Управление жизненным циклом компании: Как организации растут, развиваются и умирают и что с этим делать</t>
  </si>
  <si>
    <t>AAA2511330-P</t>
  </si>
  <si>
    <t>978-5-9614-7894-5</t>
  </si>
  <si>
    <t>Управление изменениями без потрясений и конфликтов</t>
  </si>
  <si>
    <t>AAA2509332-P</t>
  </si>
  <si>
    <t>978-5-9614-8032-0</t>
  </si>
  <si>
    <t>Веллор Ветри</t>
  </si>
  <si>
    <t>Управление по целям и ключевым результатам: Как распространить методологию OKR на всю организацию</t>
  </si>
  <si>
    <t>AAA2410307-P</t>
  </si>
  <si>
    <t>978-5-9614-8922-4</t>
  </si>
  <si>
    <t>Ньютон Ричард</t>
  </si>
  <si>
    <t>Управление проектами от А до Я</t>
  </si>
  <si>
    <t>AAA2509336-P</t>
  </si>
  <si>
    <t>978-5-9614-6940-0</t>
  </si>
  <si>
    <t>Чуркина Мария, Жадько Наталья</t>
  </si>
  <si>
    <t>Управленческая эффективность руководителя</t>
  </si>
  <si>
    <t>PGR2510172-P</t>
  </si>
  <si>
    <t>978-5-9614-7044-4</t>
  </si>
  <si>
    <t>Берколайко Марк, Харитон Семен</t>
  </si>
  <si>
    <t>Цели, сценарии, роли: Системность в управлении бизнесом</t>
  </si>
  <si>
    <t>PGR2506067-P</t>
  </si>
  <si>
    <t>978-5-206-00517-2</t>
  </si>
  <si>
    <t>Цель-2 : Дело не в везении</t>
  </si>
  <si>
    <t>PGR2411240-P</t>
  </si>
  <si>
    <t>978-5-907470-62-0</t>
  </si>
  <si>
    <t>PGR2505206-P</t>
  </si>
  <si>
    <t>978-5-206-00513-4</t>
  </si>
  <si>
    <t>Моттола Мэтью, Котни Мэтью</t>
  </si>
  <si>
    <t>Экономика удаленки. Как облачные технологии и искусственный интеллект меняют работу</t>
  </si>
  <si>
    <t>LGA2104108-P</t>
  </si>
  <si>
    <t>978-5-907470-16-3</t>
  </si>
  <si>
    <t>Энергия клиента: Как окупается человеческий подход в бизнесе</t>
  </si>
  <si>
    <t>AAA2511246-P</t>
  </si>
  <si>
    <t>978-5-9614-9448-8</t>
  </si>
  <si>
    <t xml:space="preserve">Филимонов  Сергей</t>
  </si>
  <si>
    <t>Я РМ. Проджект-менеджер: системный подход и лучшие практики</t>
  </si>
  <si>
    <t>PGR2203199-P</t>
  </si>
  <si>
    <t>978-5-206-00043-6</t>
  </si>
  <si>
    <t>Черненко Сергей</t>
  </si>
  <si>
    <t>Я умер в понедельник. Как не выгорать, прорываться и побеждать в корпоративном аду</t>
  </si>
  <si>
    <t>PGR2510104-P</t>
  </si>
  <si>
    <t>978-5-206-00607-0</t>
  </si>
  <si>
    <t>4.04. Стартапы, предпринимательство, бизнес-модели</t>
  </si>
  <si>
    <t>Каплан Ярослав</t>
  </si>
  <si>
    <t>Бизнес incognita: Как расширить границы предпринимательского мышления</t>
  </si>
  <si>
    <t>PGR2204099-P</t>
  </si>
  <si>
    <t>978-5-206-00051-1</t>
  </si>
  <si>
    <t>Зиганшин Марсель</t>
  </si>
  <si>
    <t>Бизнес в стиле "Макдоналдс": Как превратить вашу компанию в стабильно работающий механизм</t>
  </si>
  <si>
    <t>AAA2603023-P</t>
  </si>
  <si>
    <t>978-5-9614-7751-1</t>
  </si>
  <si>
    <t>AAA2404167-P</t>
  </si>
  <si>
    <t>978-5-9614-9794-6</t>
  </si>
  <si>
    <t>Рис Эрик</t>
  </si>
  <si>
    <t>Бизнес с нуля: Метод Lean Startup для быстрого тестирования идей и выбора бизнес-модели</t>
  </si>
  <si>
    <t>AAA2509009-P</t>
  </si>
  <si>
    <t>978-5-9614-6837-3</t>
  </si>
  <si>
    <t>Франкенбергер Каролин, Шик Микаэла, Гассман Оливер</t>
  </si>
  <si>
    <t>Бизнес-модели: 55 лучших шаблонов</t>
  </si>
  <si>
    <t>AAA2510188-P</t>
  </si>
  <si>
    <t>978-5-9614-5952-4</t>
  </si>
  <si>
    <t>Абрамс Ронда</t>
  </si>
  <si>
    <t>Бизнес-план на 100%: Стратегия и тактика эффективного бизнеса</t>
  </si>
  <si>
    <t>AAA2502191-P</t>
  </si>
  <si>
    <t>978-5-9614-6668-3</t>
  </si>
  <si>
    <t>Кавасаки Гай</t>
  </si>
  <si>
    <t>Быстрый старт: Проверенная методика запуска стартапа</t>
  </si>
  <si>
    <t>AAA2601207-P</t>
  </si>
  <si>
    <t>978-5-9614-7282-0</t>
  </si>
  <si>
    <t>Йескомб Э.Р., Фаркуарсон Эдвард</t>
  </si>
  <si>
    <t>Государственно-частное партнерство в сфере инфраструктуры: принципы финансирования и управления</t>
  </si>
  <si>
    <t>PGI2207036-P</t>
  </si>
  <si>
    <t>978-5-907394-88-9</t>
  </si>
  <si>
    <t>Альварес Синди</t>
  </si>
  <si>
    <t>Как создать продукт, который купят: Метод Lean Customer Development</t>
  </si>
  <si>
    <t>AAA2511339-P</t>
  </si>
  <si>
    <t>978-5-9614-6786-4</t>
  </si>
  <si>
    <t>Милачев Дмитрий</t>
  </si>
  <si>
    <t>Как стать дядей, на которого все работают, или 12 принципов создания прибыльного малого бизнеса</t>
  </si>
  <si>
    <t>PGR2411061-P</t>
  </si>
  <si>
    <t>978-5-206-00436-6</t>
  </si>
  <si>
    <t>Вики Тендайи, Тома Дэн, Гонс Эстер</t>
  </si>
  <si>
    <t>Корпоративный стартап: Как создать инновационную экосистему в крупной компании</t>
  </si>
  <si>
    <t>AAA1904012-P</t>
  </si>
  <si>
    <t>978-5-9614-3638-9</t>
  </si>
  <si>
    <t>Метод стартапа: Предпринимательские принципы управления для долгосрочного роста компании</t>
  </si>
  <si>
    <t>AAA2512110-P</t>
  </si>
  <si>
    <t>978-5-9614-0718-1</t>
  </si>
  <si>
    <t>Остервальдер Алекс, Пинье Ив, Этьембль Фред , Смит Алан</t>
  </si>
  <si>
    <t>Непобедимая компания: Как непрерывно обновлять бизнес-модель вашей организации, вдохновляясь опытом лучших</t>
  </si>
  <si>
    <t>AAA2602073-P</t>
  </si>
  <si>
    <t>978-5-9614-7199-1</t>
  </si>
  <si>
    <t>Гривин Марк, Ип Джордж, Вей Вей</t>
  </si>
  <si>
    <t>Новаторы Поднебесной. Как китайский бизнес покоряет мир</t>
  </si>
  <si>
    <t>PGR2412092-P</t>
  </si>
  <si>
    <t>978-5-6047842-0-4</t>
  </si>
  <si>
    <t>Макдуми Зубайр</t>
  </si>
  <si>
    <t>Оазис возможностей: Секреты процветающего бизнеса в ОАЭ</t>
  </si>
  <si>
    <t>PGR2406117-P</t>
  </si>
  <si>
    <t>978-5-206-00353-6</t>
  </si>
  <si>
    <t>Мазурин Дмитрий</t>
  </si>
  <si>
    <t>Одиссея российского топ-менеджера: Как сделать бизнес сильнее в эпоху кризиса</t>
  </si>
  <si>
    <t>PGR2207093-P</t>
  </si>
  <si>
    <t>978-5-206-00091-7</t>
  </si>
  <si>
    <t>Нанеишвили Георгий</t>
  </si>
  <si>
    <t>Оптимизируй ЭТО немедленно! Как, используя современные IT-инструменты, сократить издержки и обойти конкурентов</t>
  </si>
  <si>
    <t>LGA2101098-P</t>
  </si>
  <si>
    <t>978-5-9614-6110-7</t>
  </si>
  <si>
    <t>Тиль Питер, Мастерс Блейк</t>
  </si>
  <si>
    <t>От нуля к единице: Как создать стартап, который изменит будущее</t>
  </si>
  <si>
    <t>AAA2503028-P</t>
  </si>
  <si>
    <t>978-5-9614-7003-1</t>
  </si>
  <si>
    <t>Моазед Алекс, Джонсон Николас</t>
  </si>
  <si>
    <t>Платформа: Практическое применение революционной бизнес-модели</t>
  </si>
  <si>
    <t>AAA2509191-P</t>
  </si>
  <si>
    <t>978-5-9614-1245-1</t>
  </si>
  <si>
    <t>Салдана Тони</t>
  </si>
  <si>
    <t>Почему цифровая трансформация не дает результата и что делать, чтобы всё заработало</t>
  </si>
  <si>
    <t>AAA2401201-P</t>
  </si>
  <si>
    <t>978-5-9614-3859-8</t>
  </si>
  <si>
    <t>Линц Карстен, Мюллер-Стивенс Гюнтер, Циммерман Александр</t>
  </si>
  <si>
    <t>Радикальное изменение бизнес-модели: Адаптация и выживание в конкурентной среде</t>
  </si>
  <si>
    <t>a180707</t>
  </si>
  <si>
    <t>978-5-9614-2140-8</t>
  </si>
  <si>
    <t>Остервальдер Александр</t>
  </si>
  <si>
    <t>Разработка ценностных предложений: Как создавать товары и услуги, которые захотят купить потребители. Ваш первый шаг...</t>
  </si>
  <si>
    <t>AAA2509237-P</t>
  </si>
  <si>
    <t>978-5-9614-6747-5</t>
  </si>
  <si>
    <t>Смеркис Владимир</t>
  </si>
  <si>
    <t>Силиконовые дали. Будущее, в котором мы живем сегодня</t>
  </si>
  <si>
    <t>LGA2110128-P</t>
  </si>
  <si>
    <t>978-5-907534-82-7</t>
  </si>
  <si>
    <t>Сохраняя энергию стартапа. Как техногиганты ежедневно изобретают будущее и остаются на вершине</t>
  </si>
  <si>
    <t>LGI2110015-P</t>
  </si>
  <si>
    <t>978-5-907470-86-6</t>
  </si>
  <si>
    <t>Бланк Стив, Дорф Боб</t>
  </si>
  <si>
    <t>Стартап: Настольная книга основателя</t>
  </si>
  <si>
    <t>AAA2507303-P</t>
  </si>
  <si>
    <t>978-5-9614-6035-3</t>
  </si>
  <si>
    <t>Остервальдер Алекс, Блэнд Дэвид</t>
  </si>
  <si>
    <t>Тестирование бизнес-идей</t>
  </si>
  <si>
    <t>AAA2602074-P</t>
  </si>
  <si>
    <t>978-5-9614-3658-7</t>
  </si>
  <si>
    <t>Хейг Пол</t>
  </si>
  <si>
    <t>Управленческие концепции и бизнес-модели: Полное руководство</t>
  </si>
  <si>
    <t>AAA2512273-P</t>
  </si>
  <si>
    <t>978-5-9614-2346-4</t>
  </si>
  <si>
    <t>Ляшевский Виктор</t>
  </si>
  <si>
    <t>Франшиза на 360° : От покупки готовой до создания собственной</t>
  </si>
  <si>
    <t>LGA2012373-P</t>
  </si>
  <si>
    <t>978-5-907394-49-0</t>
  </si>
  <si>
    <t>4.05. Опыт выдающихся компаний и предпринимателей</t>
  </si>
  <si>
    <t>Смит Брэд, Браун Кэрол Энн</t>
  </si>
  <si>
    <t xml:space="preserve">IT как оружие:  Какие опасности таит в себе развитие высоких технологий</t>
  </si>
  <si>
    <t>AAA1905126-P</t>
  </si>
  <si>
    <t>978-5-9614-4017-1</t>
  </si>
  <si>
    <t>Валд Эллен</t>
  </si>
  <si>
    <t>SAUDI INC. История о том, как Саудовская Аравия стала одним из самых влиятельных государств на геополитической карте мира</t>
  </si>
  <si>
    <t>PGR2604026-P</t>
  </si>
  <si>
    <t>978-5-907470-66-8</t>
  </si>
  <si>
    <t>Оносов Алексей, Жолобов Владимир, Киреева Юлия</t>
  </si>
  <si>
    <t>Альпина ПРО бизнес. Рестораторы</t>
  </si>
  <si>
    <t>PGR2412171-P</t>
  </si>
  <si>
    <t>978-5-206-00458-8</t>
  </si>
  <si>
    <t>Альпина ПРО бизнес</t>
  </si>
  <si>
    <t>Семешкина Мила</t>
  </si>
  <si>
    <t>Ваша карьера на миллион. 11 уроков для прорывной карьеры</t>
  </si>
  <si>
    <t>PGR2310111-P</t>
  </si>
  <si>
    <t>978-5-206-00293-5</t>
  </si>
  <si>
    <t>ВкусВилл: Как совершить революцию в ритейле, делая всё не так</t>
  </si>
  <si>
    <t>AAA2509178-P</t>
  </si>
  <si>
    <t>978-5-9614-8339-0</t>
  </si>
  <si>
    <t>Делл Майкл</t>
  </si>
  <si>
    <t>Выигрывай честно: История создания и ключевые принципы управления корпорации DELL</t>
  </si>
  <si>
    <t>PGR2108007-P</t>
  </si>
  <si>
    <t>978-5-907534-02-5</t>
  </si>
  <si>
    <t>Лохов Дмитрий , Казаков Дмитрий</t>
  </si>
  <si>
    <t>Высота. Реальная история борьбы за свое дело, честное имя и любовь</t>
  </si>
  <si>
    <t>PGR2212012-P</t>
  </si>
  <si>
    <t>978-5-206-00152-5</t>
  </si>
  <si>
    <t>Герои бизнеса. Вдохновляющие беседы с теми, кто каждый день меняет мир</t>
  </si>
  <si>
    <t>PGR2412167-P</t>
  </si>
  <si>
    <t>978-5-206-00455-7</t>
  </si>
  <si>
    <t>Лайкер Джеффри</t>
  </si>
  <si>
    <t>Дао Toyota: 14 принципов менеджмента ведущей компании мира 2-е издание</t>
  </si>
  <si>
    <t>TGR2511154-P</t>
  </si>
  <si>
    <t>978-5-6047582-0-5</t>
  </si>
  <si>
    <t>Бехар Говард</t>
  </si>
  <si>
    <t>Дело не в кофе: Корпоративная культура Starbucks</t>
  </si>
  <si>
    <t>AAA2505015-P</t>
  </si>
  <si>
    <t>978-5-9614-8621-6</t>
  </si>
  <si>
    <t>Лазутин Алексей</t>
  </si>
  <si>
    <t>Деньги — вперёд! Всё о ломбардах и о том, как на них зарабатывать</t>
  </si>
  <si>
    <t>PGR2308116-P</t>
  </si>
  <si>
    <t>978-5-206-00260-7</t>
  </si>
  <si>
    <t>Трамп Дональд</t>
  </si>
  <si>
    <t>[переплет] Думай как миллиардер</t>
  </si>
  <si>
    <t>AAA2502325-P</t>
  </si>
  <si>
    <t>978-5-9614-8689-6</t>
  </si>
  <si>
    <t>[покет-серия] Думай как миллиардер</t>
  </si>
  <si>
    <t>AAA2503025-P</t>
  </si>
  <si>
    <t>978-5-9614-9210-1</t>
  </si>
  <si>
    <t>Кампрад Ингвар, Торекуль Бертил</t>
  </si>
  <si>
    <t>Есть идея! История ИКЕА</t>
  </si>
  <si>
    <t>AAA2601204-P</t>
  </si>
  <si>
    <t>978-5-9614-6822-9</t>
  </si>
  <si>
    <t>Фис-Эме Реджи</t>
  </si>
  <si>
    <t>[обложка с клапанами] Играя не по правилам: Из Бронкса — в руководство Nintendo</t>
  </si>
  <si>
    <t>SAA2210062-P</t>
  </si>
  <si>
    <t>978-5-907625-05-1</t>
  </si>
  <si>
    <t>Воронин Михаил</t>
  </si>
  <si>
    <t>Исповедь (самозванца) предпринимателя: От маленького Миши к большому</t>
  </si>
  <si>
    <t>PGR2408011-P</t>
  </si>
  <si>
    <t>978-5-206-00392-5</t>
  </si>
  <si>
    <t>Пискулин Илья</t>
  </si>
  <si>
    <t>История ИП : История взлетов и падений одного российского индивидуального предпринимателя</t>
  </si>
  <si>
    <t>PGR2204066-P</t>
  </si>
  <si>
    <t>978-5-206-00048-1</t>
  </si>
  <si>
    <t>Сагирян Альберт</t>
  </si>
  <si>
    <t>Как выжить, если тебе 20. Руководство по успешному старту карьеры и самостоятельной жизни</t>
  </si>
  <si>
    <t>PGR2510111-P</t>
  </si>
  <si>
    <t>978-5-907274-38-9</t>
  </si>
  <si>
    <t>Шульц Говард, Йенг Дори Джонс</t>
  </si>
  <si>
    <t>Как чашка за чашкой строилась Starbucks</t>
  </si>
  <si>
    <t>AAA2412182-P</t>
  </si>
  <si>
    <t>978-5-9614-6990-5</t>
  </si>
  <si>
    <t>Кэри Дэвид, Моррис Джон</t>
  </si>
  <si>
    <t>Король капитала: История невероятного взлета, падения и возрождения Стива Шварцмана и Blackstone</t>
  </si>
  <si>
    <t>PGR2510226-P</t>
  </si>
  <si>
    <t>978-5-907470-24-8</t>
  </si>
  <si>
    <t>Видеман Ривз</t>
  </si>
  <si>
    <t>Миллиард за мечту, или Как дерзость и непомерные амбиции Адама Неймана построить новое общество обернулись крахом империи WeWork</t>
  </si>
  <si>
    <t>PGI2102138-P</t>
  </si>
  <si>
    <t>978-5-907470-31-6</t>
  </si>
  <si>
    <t>Нестеров Михаил</t>
  </si>
  <si>
    <t>Молочные реки. Искусство прибыльного животноводства</t>
  </si>
  <si>
    <t>PGR2401041-P</t>
  </si>
  <si>
    <t>978-5-206-00325-3</t>
  </si>
  <si>
    <t>Витт Стивен</t>
  </si>
  <si>
    <t>Мыслящие машины Дженсена Хуанга: История Nvidia и мировой ИИ-революции</t>
  </si>
  <si>
    <t>AAA2502244-P</t>
  </si>
  <si>
    <t>978-5-0063-0569-4</t>
  </si>
  <si>
    <t>Наверху, или Инструкция по выживанию для топ-менеджера</t>
  </si>
  <si>
    <t>PGR2502093-P</t>
  </si>
  <si>
    <t>978-5-206-00122-8</t>
  </si>
  <si>
    <t>Богачев Сергей</t>
  </si>
  <si>
    <t>Основы фриланса: Плюсы и минусы работы на себя</t>
  </si>
  <si>
    <t>LGA2103048-P</t>
  </si>
  <si>
    <t>978-5-907470-15-6</t>
  </si>
  <si>
    <t>Андерсон Стив</t>
  </si>
  <si>
    <t>Письма Безоса: 14 принципов роста бизнеса от Amazon</t>
  </si>
  <si>
    <t>AAA2510193-P</t>
  </si>
  <si>
    <t>978-5-9614-3142-1</t>
  </si>
  <si>
    <t xml:space="preserve">Соколов-Митрич Дмитрий, Гурьянов Николай, Пищикова  Евгения, Лаборатория «Однажды», Корк Алёна, Нехлебова Наталья, Фёдорова Маргарита</t>
  </si>
  <si>
    <t>Потому что я так решила : 10 историй о том, как добиться успеха в бизнесе и сохранить баланс между работой и личной жизнью</t>
  </si>
  <si>
    <t>PGR2501087-P</t>
  </si>
  <si>
    <t>978-5-206-00261-4</t>
  </si>
  <si>
    <t>Горкунов Борис</t>
  </si>
  <si>
    <t>Правила для мужчин: Как стать успешным в личной жизни, бизнесе и власти</t>
  </si>
  <si>
    <t>PGR2501205-P</t>
  </si>
  <si>
    <t>978-5-206-00356-7</t>
  </si>
  <si>
    <t>Хуруджи Александр</t>
  </si>
  <si>
    <t>Правозащитник, или Стратегия выживания</t>
  </si>
  <si>
    <t>ZGZ2505002-P</t>
  </si>
  <si>
    <t>978-601-82410-9-3</t>
  </si>
  <si>
    <t>Обозов Сергей</t>
  </si>
  <si>
    <t>Производственная система Росатома: Экономика победы</t>
  </si>
  <si>
    <t>PGR2601150-P</t>
  </si>
  <si>
    <t>978-5-206-00220-1</t>
  </si>
  <si>
    <t xml:space="preserve">Соколов-Митрич Дмитрий, Пищикова  Евгения, Лаборатория «Однажды», Турко Сергей, Корк Берт, Писаренко Дмитрий, Рохлин Александр, Ходонова Александра</t>
  </si>
  <si>
    <t>Сделано по-настоящему, или 11 историй о предпринимателях-(не)перфекционистах</t>
  </si>
  <si>
    <t>PGR2404034-P</t>
  </si>
  <si>
    <t>978-5-206-00349-9</t>
  </si>
  <si>
    <t>Хэйги Кич</t>
  </si>
  <si>
    <t>Создатель ChatGPT: История Сэма Альтмана</t>
  </si>
  <si>
    <t>AAA2312063-P</t>
  </si>
  <si>
    <t>978-5-9614-9481-5</t>
  </si>
  <si>
    <t>Леви Стивен</t>
  </si>
  <si>
    <t>[Казахстан] Социальная сеть, изменившая мир: От стартапа до метавселенной</t>
  </si>
  <si>
    <t>ZAZ2002133-P</t>
  </si>
  <si>
    <t>978-601-80110-6-1</t>
  </si>
  <si>
    <t>Социальная сеть, изменившая мир: От стартапа до метавселенной</t>
  </si>
  <si>
    <t>AAA2502345-P</t>
  </si>
  <si>
    <t>978-5-0063-0601-1</t>
  </si>
  <si>
    <t>Панкратов Кирилл</t>
  </si>
  <si>
    <t>Тугая упаковка, или Бизнес-роман о роботах, алгоритмах и о складе без людей</t>
  </si>
  <si>
    <t>PGR2312053-P</t>
  </si>
  <si>
    <t>978-5-206-00311-6</t>
  </si>
  <si>
    <t>Молодых Андрей, Гурьянов Николай, Корк Алена, Корк Бертольд</t>
  </si>
  <si>
    <t>Хвостономика. Успешный бизнес, основанный на любви, или Как компания «Валта» учит Россию заботиться о домашних питомцах</t>
  </si>
  <si>
    <t>PGR2301043-P</t>
  </si>
  <si>
    <t>978-5-206-00177-8</t>
  </si>
  <si>
    <t>Соколов-Митрич Дмитрий</t>
  </si>
  <si>
    <t>Хорошо упакованный мир. История Danaflex: как из семейной компании вырасти в игрока мирового уровня</t>
  </si>
  <si>
    <t>PGR2412098-P</t>
  </si>
  <si>
    <t>978-5-206-00453-3</t>
  </si>
  <si>
    <t>Штейнберг Анатолий</t>
  </si>
  <si>
    <t>Эпоха перемен. Моя жизнь</t>
  </si>
  <si>
    <t>PGR2408101-P</t>
  </si>
  <si>
    <t>978-5-206-00399-4</t>
  </si>
  <si>
    <t>4.06. Маркетинг, реклама, PR</t>
  </si>
  <si>
    <t>487 хаков для интернет-маркетологов: Как получить еще больше трафика и продаж</t>
  </si>
  <si>
    <t>AAA2602082-P</t>
  </si>
  <si>
    <t>978-5-9614-7739-9</t>
  </si>
  <si>
    <t>Оносов Алексей, Жолобов Владимир, Балакирев Сергей</t>
  </si>
  <si>
    <t>Альпина ПРО бизнес. Маркетинг</t>
  </si>
  <si>
    <t>PGR2412169-P</t>
  </si>
  <si>
    <t>978-5-206-00456-4</t>
  </si>
  <si>
    <t>Миллер Дональд, Питерсон Джей Джей</t>
  </si>
  <si>
    <t>Воронки продаж по методу StoryBrand: Пошаговое руководство</t>
  </si>
  <si>
    <t>AAA2412014-P</t>
  </si>
  <si>
    <t>978-5-9614-8030-6</t>
  </si>
  <si>
    <t>Кравченко Елена, Гайнутдинова Екатерина</t>
  </si>
  <si>
    <t>Голос клиента. Открываем секреты целевой аудитории.</t>
  </si>
  <si>
    <t>PGR2304006-P</t>
  </si>
  <si>
    <t>978-5-206-00207-2</t>
  </si>
  <si>
    <t>Десять смертных грехов маркетинга</t>
  </si>
  <si>
    <t>AAA2601206-P</t>
  </si>
  <si>
    <t>978-5-9614-6885-4</t>
  </si>
  <si>
    <t>Кеннеди Дэн, Уэлш-Филлипс Ким</t>
  </si>
  <si>
    <t>Жесткий SMM: Выжать из соцсетей максимум</t>
  </si>
  <si>
    <t>AAA2502202-P</t>
  </si>
  <si>
    <t>978-5-9614-6546-4</t>
  </si>
  <si>
    <t>Сворд-Уильямс Стефани</t>
  </si>
  <si>
    <t>[покет-серия] К чёрту скромность! Как преодолеть неуверенность и начать продвигать себя</t>
  </si>
  <si>
    <t>AAA2603158-P</t>
  </si>
  <si>
    <t>978-5-9614-9674-1</t>
  </si>
  <si>
    <t>Шугерман Джозеф</t>
  </si>
  <si>
    <t>Как создать крутой рекламный текст: Принципы выдающегося американского копирайтера</t>
  </si>
  <si>
    <t>AAA2502208-P</t>
  </si>
  <si>
    <t>978-5-9614-1904-7</t>
  </si>
  <si>
    <t>Безрукова Наталия</t>
  </si>
  <si>
    <t>Карту в руки : Как разрабатывать и продвигать программу лояльности в культурных пространствах</t>
  </si>
  <si>
    <t>PGR2309115-P</t>
  </si>
  <si>
    <t>978-5-206-00268-3</t>
  </si>
  <si>
    <t>Писарский Игорь</t>
  </si>
  <si>
    <t>Коммуницируй это! Как массовая информация работает с нами, а мы работаем с ней</t>
  </si>
  <si>
    <t>PGR2508047-P</t>
  </si>
  <si>
    <t>978-5-206-00586-8</t>
  </si>
  <si>
    <t>Домбай Куат</t>
  </si>
  <si>
    <t>Конец пиара : Управление репутацией как финансовым капиталом</t>
  </si>
  <si>
    <t>PGR2211126-P</t>
  </si>
  <si>
    <t>978-5-206-00174-7</t>
  </si>
  <si>
    <t>Мортон Саймон</t>
  </si>
  <si>
    <t>Лаборатория презентаций: Формула идеального выступления</t>
  </si>
  <si>
    <t>AAA2010200-P</t>
  </si>
  <si>
    <t>978-5-9614-5399-7</t>
  </si>
  <si>
    <t>Метод StoryBrand 2.0: Расскажите о своем бренде так, чтобы в него влюбились</t>
  </si>
  <si>
    <t>AAA2505152-P</t>
  </si>
  <si>
    <t>978-5-0063-0534-2</t>
  </si>
  <si>
    <t>Метод скользкой горки: Сторителлинг для Reels, Stories, TikTok-роликов и других форматов социальных сетей</t>
  </si>
  <si>
    <t>AAA2512111-P</t>
  </si>
  <si>
    <t>978-5-9614-4271-7</t>
  </si>
  <si>
    <t>Колесниченко Олеся</t>
  </si>
  <si>
    <t>О чем молчат PR-агентства : Гид по обратной стороне индустрии</t>
  </si>
  <si>
    <t>ZGZ2511151-P</t>
  </si>
  <si>
    <t>978-601-82305-1-6</t>
  </si>
  <si>
    <t>Суворов Борис</t>
  </si>
  <si>
    <t>От демки до концерта: Как стать популярным музыкантом</t>
  </si>
  <si>
    <t>AAA2512031-P</t>
  </si>
  <si>
    <t>978-5-9614-8324-6</t>
  </si>
  <si>
    <t>Обух Кирилл, Кудашкин Михаил</t>
  </si>
  <si>
    <t>Перевоспитание маркетинга. Этикет для маркетологов будущего</t>
  </si>
  <si>
    <t>PGR2508003-P</t>
  </si>
  <si>
    <t>978-5-206-00572-1</t>
  </si>
  <si>
    <t>Лапук Мария</t>
  </si>
  <si>
    <t>Пиар да Винчи, или как сделать новость из ничего</t>
  </si>
  <si>
    <t>PGR2403060-P</t>
  </si>
  <si>
    <t>978-5-206-00225-6</t>
  </si>
  <si>
    <t>Беквит Гарри</t>
  </si>
  <si>
    <t>Продавая незримое: Руководство по современному маркетингу услуг</t>
  </si>
  <si>
    <t>AAA2506089-P</t>
  </si>
  <si>
    <t>978-5-9614-6811-3</t>
  </si>
  <si>
    <t>Иванов Алексей</t>
  </si>
  <si>
    <t>Реклама без бюджета: 20 способов продать ваш товар или услугу</t>
  </si>
  <si>
    <t>AAA2512114-P</t>
  </si>
  <si>
    <t>978-5-9614-9137-1</t>
  </si>
  <si>
    <t>Нордфальт Йенс</t>
  </si>
  <si>
    <t>Ритейл-маркетинг: Практики и исследования</t>
  </si>
  <si>
    <t>PGR2511159-P</t>
  </si>
  <si>
    <t>978-5-9614-7079-6</t>
  </si>
  <si>
    <t>Хоффман Грег</t>
  </si>
  <si>
    <t>Создавая эмоции: Уроки креативности и дизайна впечатлений от экс-директора по маркетингу Nike</t>
  </si>
  <si>
    <t>AAA2510060-P</t>
  </si>
  <si>
    <t>978-5-9614-7606-4</t>
  </si>
  <si>
    <t>Макки Роберт</t>
  </si>
  <si>
    <t>[покет-серия] Сториномика: Маркетинг, основанный на историях, в пострекламном мире</t>
  </si>
  <si>
    <t>NNN2511293-P</t>
  </si>
  <si>
    <t>978-5-00223-183-6</t>
  </si>
  <si>
    <t>Хаустова Галина</t>
  </si>
  <si>
    <t>Телемаркетинг. Второе дыхание. Новый подход к общению с клиентом</t>
  </si>
  <si>
    <t>PGR2306003-P</t>
  </si>
  <si>
    <t>978-5-206-00236-2</t>
  </si>
  <si>
    <t>Бюрг Юлия, Кошкин Олег</t>
  </si>
  <si>
    <t>Формула онлайн-репутации, или Простыми словами об ORM</t>
  </si>
  <si>
    <t>PGR2203066-P</t>
  </si>
  <si>
    <t>978-5-206-00012-2</t>
  </si>
  <si>
    <t>Шарифуллин Артур, Белякова Мария</t>
  </si>
  <si>
    <t>Франчайзинг по любви. 12 историй предпринимателей, которые меняют индустрию</t>
  </si>
  <si>
    <t>PGR2510208-P</t>
  </si>
  <si>
    <t>978-5-206-00617-9</t>
  </si>
  <si>
    <t>Стулова Евгения</t>
  </si>
  <si>
    <t>Четыре всадника информационного апокалипсиса. Краткое пособие по управлению репутацией политика в условиях новой информационной реальности</t>
  </si>
  <si>
    <t>PGR2602067-P</t>
  </si>
  <si>
    <t>978-5-907470-27-9</t>
  </si>
  <si>
    <t>Гилмор Джеймс, Б. Пайн II Джозеф</t>
  </si>
  <si>
    <t>Экономика впечатлений: Как превратить покупку в захватывающее действие</t>
  </si>
  <si>
    <t>PGR2605278-P</t>
  </si>
  <si>
    <t>978-5-6042879-7-2</t>
  </si>
  <si>
    <t>4.07. Бизнес-аналитика и большие данные</t>
  </si>
  <si>
    <t>Подольный Вадим</t>
  </si>
  <si>
    <t>Архитектура высоконагруженных систем. 3-е издание, дополненное</t>
  </si>
  <si>
    <t>PGR2605176-P</t>
  </si>
  <si>
    <t>978-5-00206-024-5</t>
  </si>
  <si>
    <t>Колоколов Алексей</t>
  </si>
  <si>
    <t>Заставьте данные говорить : Как сделать бизнес-дашборд в Excel. Руководство по визуализации данных</t>
  </si>
  <si>
    <t>PGR2412050-P</t>
  </si>
  <si>
    <t>978-5-206-00079-5</t>
  </si>
  <si>
    <t>Морроу Джордан</t>
  </si>
  <si>
    <t>Как вытащить из данных максимум: Навыки аналитики для неспециалистов</t>
  </si>
  <si>
    <t>AAA2512107-P</t>
  </si>
  <si>
    <t>978-5-9614-7563-0</t>
  </si>
  <si>
    <t>Жумыкин Алексей</t>
  </si>
  <si>
    <t>Настольная книга эксплуататора : Всё, что вы хотели знать о повседневной жизни датацентров, но боялись спросить</t>
  </si>
  <si>
    <t>PGR2205167-P</t>
  </si>
  <si>
    <t>978-5-206-00067-2</t>
  </si>
  <si>
    <t>Жаров Дмитрий</t>
  </si>
  <si>
    <t>Финансовое моделирование в Excel</t>
  </si>
  <si>
    <t>AAA2510267-P</t>
  </si>
  <si>
    <t>978-5-9614-9615-4</t>
  </si>
  <si>
    <t>4.08. Подбор, мотивация и развитие персонала. Командная работа</t>
  </si>
  <si>
    <t>Катценбах Йон, Томас Джеймс, Андерсон Гретхен</t>
  </si>
  <si>
    <t xml:space="preserve"> Трансформация корпоративной культуры : Важные детали, без которых ничего не работает</t>
  </si>
  <si>
    <t>PGR2409132-P</t>
  </si>
  <si>
    <t>978-5-907274-46-4</t>
  </si>
  <si>
    <t>Батлер Илья</t>
  </si>
  <si>
    <t>HR-маркетинг: Как сделать вашу компанию мечтой всех кандидатов</t>
  </si>
  <si>
    <t>AAA2512037-P</t>
  </si>
  <si>
    <t>978-5-9614-3718-8</t>
  </si>
  <si>
    <t>Окунцева Ксения</t>
  </si>
  <si>
    <t>Все, что вы хотели знать об IT-рекрутинге: Как обогнать конкурентов в гонке за профессионалами</t>
  </si>
  <si>
    <t>LGA2107095-P</t>
  </si>
  <si>
    <t>978-5-907470-96-5</t>
  </si>
  <si>
    <t>Борисов Константин</t>
  </si>
  <si>
    <t>Герой и его команда. Как собрать, зажечь и достичь больших результатов</t>
  </si>
  <si>
    <t>LGR2310226-P</t>
  </si>
  <si>
    <t>978-5-907470-17-0</t>
  </si>
  <si>
    <t>Высоцкая Анастасия</t>
  </si>
  <si>
    <t>Да начнется игра! Руководство по внедрению игровых форматов в обучение</t>
  </si>
  <si>
    <t>PGR2409038-P</t>
  </si>
  <si>
    <t>978-5-206-00409-0</t>
  </si>
  <si>
    <t>Кузнецов Михаил</t>
  </si>
  <si>
    <t>Директор по призванию. Как изменить мир к лучшему с помощью корпоративного управления</t>
  </si>
  <si>
    <t>PGR2203084-P</t>
  </si>
  <si>
    <t>978-5-206-00018-4</t>
  </si>
  <si>
    <t>Норка Дмитрий</t>
  </si>
  <si>
    <t>Доверие в бизнесе: Новая стратегия успеха в эпоху тотального недоверия</t>
  </si>
  <si>
    <t>AAA2310285-P</t>
  </si>
  <si>
    <t>978-5-9614-8351-2</t>
  </si>
  <si>
    <t>[обложка с клапанами] Искусство подбора персонала: Как оценить человека за час</t>
  </si>
  <si>
    <t>AAA2509179-P</t>
  </si>
  <si>
    <t>978-5-9614-7100-7</t>
  </si>
  <si>
    <t>Федоров Станислав</t>
  </si>
  <si>
    <t>[методические карточки] Карьерная шпаргалка</t>
  </si>
  <si>
    <t>PGR2302114-P</t>
  </si>
  <si>
    <t>978-5-206-00188-4</t>
  </si>
  <si>
    <t>Катценбах Йон</t>
  </si>
  <si>
    <t>Командный подход: Создание высокоэффективной организации</t>
  </si>
  <si>
    <t>PGR2510224-P</t>
  </si>
  <si>
    <t>978-5-9614-1509-4</t>
  </si>
  <si>
    <t>Командо(с). Как достигать больших целей вместе</t>
  </si>
  <si>
    <t>PGR2503181-P</t>
  </si>
  <si>
    <t>978-5-9614-8667-4</t>
  </si>
  <si>
    <t>Захаров Павел, Пересыпкин Сергей</t>
  </si>
  <si>
    <t>Культура безопасности труда : Человеческий фактор в ракурсе международных практик</t>
  </si>
  <si>
    <t>PGR2512220-P</t>
  </si>
  <si>
    <t>978-5-6042320-5-7</t>
  </si>
  <si>
    <t>Ловушки HR-брендинга: Как стать лучшим работодателем для сотрудников и кандидатов</t>
  </si>
  <si>
    <t>AAA2509192-P</t>
  </si>
  <si>
    <t>978-5-9614-2141-5</t>
  </si>
  <si>
    <t>Журавлёв Сергей</t>
  </si>
  <si>
    <t>Люди за кадрами! Сценарии сильной компании. Полное руководство по эйчар</t>
  </si>
  <si>
    <t>PGR2505078-P</t>
  </si>
  <si>
    <t>978-5-206-00503-5</t>
  </si>
  <si>
    <t>Мотивация на 100%: а где же у него кнопка?</t>
  </si>
  <si>
    <t>AAA2502196-P</t>
  </si>
  <si>
    <t>978-5-9614-7575-3</t>
  </si>
  <si>
    <t>Тихомирова Елена</t>
  </si>
  <si>
    <t>Обучение со смыслом: 13 правил для тех, кто учит взрослых</t>
  </si>
  <si>
    <t>PGR2509290-P</t>
  </si>
  <si>
    <t>978-5-206-00317-8</t>
  </si>
  <si>
    <t>Поиск и оценка линейного персонала: Повышение эффективности и снижение затрат</t>
  </si>
  <si>
    <t>AAA2502299-P</t>
  </si>
  <si>
    <t>978-5-9614-8568-4</t>
  </si>
  <si>
    <t>Крегер Отто, Тьюсен Джанет, Ратледж Хайл</t>
  </si>
  <si>
    <t>Почему мы такие на работе? Как осознать наши различия и успешно работать вместе. 16 типов личности</t>
  </si>
  <si>
    <t>AAA2601032-P</t>
  </si>
  <si>
    <t>978-5-9614-7862-4</t>
  </si>
  <si>
    <t>Поташев Максим, Ершов Павел</t>
  </si>
  <si>
    <t>[покет-серия] Правила команды: Искусство думать вместе</t>
  </si>
  <si>
    <t>AAA2502128-P</t>
  </si>
  <si>
    <t>978-5-9614-8664-3</t>
  </si>
  <si>
    <t>Работа без страха : Как создать в компании психологически безопасную среду для максимальной командной эффективности</t>
  </si>
  <si>
    <t>PGR2602070-P</t>
  </si>
  <si>
    <t>978-5-907274-02-0</t>
  </si>
  <si>
    <t>Уилкинсон Майкл</t>
  </si>
  <si>
    <t>Секреты фасилитации: SMART-руководство по работе с группами</t>
  </si>
  <si>
    <t>AAA2507217-P</t>
  </si>
  <si>
    <t>978-5-9614-6586-0</t>
  </si>
  <si>
    <t>Стоп, кадры! Инструменты и техники подбора персонала</t>
  </si>
  <si>
    <t>PGR2309165-P</t>
  </si>
  <si>
    <t>978-5-206-00275-1</t>
  </si>
  <si>
    <t>Осипов Иван</t>
  </si>
  <si>
    <t>Тимбилдинг не работает. Можно ли превратить игру в эффективный бизнес-инструмент?</t>
  </si>
  <si>
    <t>PGR2404115-P</t>
  </si>
  <si>
    <t>978-5-206-00335-2</t>
  </si>
  <si>
    <t>Тренинг для тренеров на 100%: Секреты интенсивного обучения</t>
  </si>
  <si>
    <t>PGR2510173-P</t>
  </si>
  <si>
    <t>978-5-907394-09-4</t>
  </si>
  <si>
    <t>Коннорс Роджер, Смит Том</t>
  </si>
  <si>
    <t xml:space="preserve">Три пути в страну Oz.  Как построить культуру настоящей ответственности</t>
  </si>
  <si>
    <t>PGR2105170-P</t>
  </si>
  <si>
    <t>978-5-6047842-3-5</t>
  </si>
  <si>
    <t>Онучин Андрей</t>
  </si>
  <si>
    <t>Трудовые будни. От выживания к вовлеченности</t>
  </si>
  <si>
    <t>PGR2410334-P</t>
  </si>
  <si>
    <t>978-5-206-00257-7</t>
  </si>
  <si>
    <t>Что скрывает кандидат? 41 опросник для оценки факторов риска при проведении интервью</t>
  </si>
  <si>
    <t>AAA2601126-P</t>
  </si>
  <si>
    <t>978-5-9614-2464-5</t>
  </si>
  <si>
    <t>Рубинштейн Бэла</t>
  </si>
  <si>
    <t>ЧУДОвищная команда: Как укрощать начальство, коллег и клиентов с помощью слов</t>
  </si>
  <si>
    <t>PGR2512074-P</t>
  </si>
  <si>
    <t>978-5-206-00301-7</t>
  </si>
  <si>
    <t>4.09. Продажи, сервис, логистика</t>
  </si>
  <si>
    <t>Казакевич Алексей</t>
  </si>
  <si>
    <t>E-commerce: Как завоевать клиента и не потерять деньги</t>
  </si>
  <si>
    <t>AAA1809028-P</t>
  </si>
  <si>
    <t>978-5-9614-1973-3</t>
  </si>
  <si>
    <t>PROзакупки : Полный курс для предпринимателей</t>
  </si>
  <si>
    <t>PGR2601148-P</t>
  </si>
  <si>
    <t>978-5-206-00078-8</t>
  </si>
  <si>
    <t>Семёнов Сергей</t>
  </si>
  <si>
    <t>Большие продажи без компромиссов и оправданий: Система эффективных продаж по телефону и на встречах</t>
  </si>
  <si>
    <t>AAA2507229-P</t>
  </si>
  <si>
    <t>978-5-9614-6561-7</t>
  </si>
  <si>
    <t>Хорват Александра</t>
  </si>
  <si>
    <t>Дайте жалобную книгу! Как заработать больше, используя обратную связь от клиентов</t>
  </si>
  <si>
    <t>PGR2309162-P</t>
  </si>
  <si>
    <t>978-5-206-00274-4</t>
  </si>
  <si>
    <t>Жесткие продажи: Заставьте людей покупать при любых обстоятельствах</t>
  </si>
  <si>
    <t>AAA2506141-P</t>
  </si>
  <si>
    <t>978-5-9614-7577-7</t>
  </si>
  <si>
    <t>Шоул Джон</t>
  </si>
  <si>
    <t>Как превратить разгневанного покупателя в счастливого за 60 секунд</t>
  </si>
  <si>
    <t>AAA2510129-P</t>
  </si>
  <si>
    <t>978-5-9614-7156-4</t>
  </si>
  <si>
    <t>Китай для бизнеса: Тонкости взаимодействия с китайскими партнерами и потребителями</t>
  </si>
  <si>
    <t>AAA2601025-P</t>
  </si>
  <si>
    <t>978-5-9614-8613-1</t>
  </si>
  <si>
    <t>Фейдер Питер, Томс Сара</t>
  </si>
  <si>
    <t>Клиентоцентричность: Отношения с потребителями в цифровую эпоху</t>
  </si>
  <si>
    <t>AAA2502145-P</t>
  </si>
  <si>
    <t>978-5-9614-3690-7</t>
  </si>
  <si>
    <t>Белфорт Джордан</t>
  </si>
  <si>
    <t>Метод волка с Уолл-стрит: Откровения лучшего продавца в мире</t>
  </si>
  <si>
    <t>AAA2503147-P</t>
  </si>
  <si>
    <t>978-5-9614-6941-7</t>
  </si>
  <si>
    <t>Нейросети в В2B-продажах: Как технологии помогают понимать клиента</t>
  </si>
  <si>
    <t>AAA2504110-P</t>
  </si>
  <si>
    <t>978-5-0063-0711-7</t>
  </si>
  <si>
    <t>Шпирт Борис</t>
  </si>
  <si>
    <t>Отчаянные аккаунт-менеджеры: Как работать с клиентами без стресса и проблем. Настольная книга аккаунт-менеджера, менеджера проектов и фрилансера</t>
  </si>
  <si>
    <t>AAA2511247-P</t>
  </si>
  <si>
    <t>978-5-9614-6791-8</t>
  </si>
  <si>
    <t>Ткаченко Дмитрий</t>
  </si>
  <si>
    <t>Переговоры о цене: Как покупать дешево, а продавать дорого</t>
  </si>
  <si>
    <t>AAA2502016-P</t>
  </si>
  <si>
    <t>978-5-9614-8658-2</t>
  </si>
  <si>
    <t>Белошедов Вадим</t>
  </si>
  <si>
    <t>Продажи 2030: люди или роботы? Эмоции, чувства, харизма</t>
  </si>
  <si>
    <t>PGR2511057-P</t>
  </si>
  <si>
    <t>978-5-206-00635-3</t>
  </si>
  <si>
    <t>Токовинин Михаил, Кардаш Матвей</t>
  </si>
  <si>
    <t>Продажи людям. amoCRM. От первого лица</t>
  </si>
  <si>
    <t>PGR2603123-P</t>
  </si>
  <si>
    <t>978-5-206-00003-0</t>
  </si>
  <si>
    <t>Продажи на 100%: Эффективные техники продвижения товаров и услуг</t>
  </si>
  <si>
    <t>AAA2509190-P</t>
  </si>
  <si>
    <t>978-5-9614-9371-9</t>
  </si>
  <si>
    <t>Черри Пол</t>
  </si>
  <si>
    <t>Продающие вопросы: Эффективный способ выяснить, чего действительно хотят ваши клиенты</t>
  </si>
  <si>
    <t>PGA2501211-P</t>
  </si>
  <si>
    <t>978-5-907394-65-0</t>
  </si>
  <si>
    <t>Работа с возражениями и отказами: 300 приемов для продаж, переговоров и холодных звонков</t>
  </si>
  <si>
    <t>AAA2603159-P</t>
  </si>
  <si>
    <t>978-5-0063-0061-3</t>
  </si>
  <si>
    <t>Антощенко Виталий</t>
  </si>
  <si>
    <t>Разгневанный Клиент, я люблю тебя</t>
  </si>
  <si>
    <t>PGR2603217-P</t>
  </si>
  <si>
    <t>978-5-907534-11-7</t>
  </si>
  <si>
    <t>03.04.2026</t>
  </si>
  <si>
    <t>Жеребцов Вячеслав</t>
  </si>
  <si>
    <t>Сервис-Кайдзен : Сердечное гостеприимство. Книга 1.</t>
  </si>
  <si>
    <t>LGA1807087-P Жеребцов</t>
  </si>
  <si>
    <t>978-5-9500962-8-0</t>
  </si>
  <si>
    <t>Скрипты продаж: Готовые сценарии "холодных" звонков и личных встреч</t>
  </si>
  <si>
    <t>AAA2603021-P</t>
  </si>
  <si>
    <t>978-5-9614-6922-6</t>
  </si>
  <si>
    <t>Шредер Кэрол</t>
  </si>
  <si>
    <t>Специализированный магазин: Строим успешный розничный бизнес</t>
  </si>
  <si>
    <t>PGA2404151-P</t>
  </si>
  <si>
    <t>978-5-206-00026-9</t>
  </si>
  <si>
    <t>Горбачев Владимир</t>
  </si>
  <si>
    <t>Стань МЛМ-лидером: Эффективная структура за два года</t>
  </si>
  <si>
    <t>PGR2405003-P</t>
  </si>
  <si>
    <t>978-5-206-00363-5</t>
  </si>
  <si>
    <t>Стратегические закупки : Пособие для профессионалов</t>
  </si>
  <si>
    <t>PGR2411184-P</t>
  </si>
  <si>
    <t>978-5-206-00444-1</t>
  </si>
  <si>
    <t>Чулыгин Олег</t>
  </si>
  <si>
    <t>Тише! Говорит клиент. Как глубинные интервью помогают решать задачи бизнеса</t>
  </si>
  <si>
    <t>PGR2509087-P</t>
  </si>
  <si>
    <t>978-5-907470-13-2</t>
  </si>
  <si>
    <t>Парабеллум Андрей, Колотилов Евгений</t>
  </si>
  <si>
    <t>Удвоение личных продаж: Как менеджеру по продажам повысить свою эффективность</t>
  </si>
  <si>
    <t>AAA2505133-P</t>
  </si>
  <si>
    <t>978-5-9614-8956-9</t>
  </si>
  <si>
    <t>Майерсон Пол</t>
  </si>
  <si>
    <t xml:space="preserve">Управление цепочками поставок и логистикой  - простыми словами. Методы и практика планирования, построения, обслуживания, контроля и расширения системы перевозок и снабжения</t>
  </si>
  <si>
    <t>PGR2412254-P</t>
  </si>
  <si>
    <t>978-5-206-00002-3</t>
  </si>
  <si>
    <t>Ух ты! Сервис</t>
  </si>
  <si>
    <t>PGR2603216-P</t>
  </si>
  <si>
    <t>978-5-907394-14-8</t>
  </si>
  <si>
    <t>27.03.2026</t>
  </si>
  <si>
    <t>Экспертные продажи: Новые методы убеждения покупателей</t>
  </si>
  <si>
    <t>AAA2603227-P</t>
  </si>
  <si>
    <t>978-5-0063-0233-4</t>
  </si>
  <si>
    <t>4.10. Серия "Альпина Бизнес"</t>
  </si>
  <si>
    <t>[покет-серия] Анти-Титаник: Как выигрывать там, где тонут другие. Руководство для CEO</t>
  </si>
  <si>
    <t>LGA1909085-P</t>
  </si>
  <si>
    <t>978-5-907274-17-4</t>
  </si>
  <si>
    <t>Шиффман Стивен</t>
  </si>
  <si>
    <t>Золотые правила продаж: 75 техник успешных холодных звонков, убедительных презентаций и коммерческих предложений, от которых невозможно отказаться</t>
  </si>
  <si>
    <t>AAA2511338-P</t>
  </si>
  <si>
    <t>978-5-9614-9010-7</t>
  </si>
  <si>
    <t>Как придумать идею, если вы не Огилви</t>
  </si>
  <si>
    <t>AAA2511096-P</t>
  </si>
  <si>
    <t>978-5-9614-9444-0</t>
  </si>
  <si>
    <t>[покет-серия] Как стать богатым</t>
  </si>
  <si>
    <t>AAA2510053-P</t>
  </si>
  <si>
    <t>978-5-9614-9138-8</t>
  </si>
  <si>
    <t>[переплет] Как стать богатым</t>
  </si>
  <si>
    <t>AAA2502324-P</t>
  </si>
  <si>
    <t>978-5-9614-6104-6</t>
  </si>
  <si>
    <t>Бауэр Марвин</t>
  </si>
  <si>
    <t>[покет-серия] Курс на лидерство: Альтернатива иерархической системе управления компанией</t>
  </si>
  <si>
    <t>AAA1906094-P</t>
  </si>
  <si>
    <t>978-5-9614-2712-7</t>
  </si>
  <si>
    <t>[покет-серия] Маркетинг от А до Я: 80 концепций, которые должен знать каждый менеджер</t>
  </si>
  <si>
    <t>AAA2410313-P</t>
  </si>
  <si>
    <t>978-5-9614-2764-6</t>
  </si>
  <si>
    <t>Оценка компетенций методом интервью: Универсальное руководство</t>
  </si>
  <si>
    <t>AAA2601124-P</t>
  </si>
  <si>
    <t>978-5-9614-7841-9</t>
  </si>
  <si>
    <t>Реальные полномочия: Самостоятельность сотрудников как ключ к успеху</t>
  </si>
  <si>
    <t>AAA2508138-P</t>
  </si>
  <si>
    <t>978-5-0063-1195-4</t>
  </si>
  <si>
    <t>Реклама: Игра на эмоциях</t>
  </si>
  <si>
    <t>AAA2511333-P</t>
  </si>
  <si>
    <t>978-5-9614-9316-0</t>
  </si>
  <si>
    <t>Фитцпатрик Роб</t>
  </si>
  <si>
    <t>[покет-серия] Спроси маму: Как общаться с клиентами и подтвердить правоту своей бизнес-идеи, если все кругом врут?</t>
  </si>
  <si>
    <t>AAA2509006-P</t>
  </si>
  <si>
    <t>978-5-9614-3045-5</t>
  </si>
  <si>
    <t>Техники холодных звонков: То, что реально работает</t>
  </si>
  <si>
    <t>AAA2601037-P</t>
  </si>
  <si>
    <t>978-5-9614-9921-6</t>
  </si>
  <si>
    <t>Хватит быть славным парнем! Как добиться желаемого в любви, работе и жизни</t>
  </si>
  <si>
    <t>AAA2603178-P</t>
  </si>
  <si>
    <t>978-5-0063-2012-3</t>
  </si>
  <si>
    <t>4.11. Гарвардская школа бизнеса</t>
  </si>
  <si>
    <t>Гид HBR Как управлять своей карьерой</t>
  </si>
  <si>
    <t>AAA2601030-P</t>
  </si>
  <si>
    <t>978-5-9614-3795-9</t>
  </si>
  <si>
    <t>HBR Guide</t>
  </si>
  <si>
    <t>Галло Эми</t>
  </si>
  <si>
    <t>Гид HBR Разрешение конфликтов</t>
  </si>
  <si>
    <t>AAA2511243-P</t>
  </si>
  <si>
    <t>978-5-9614-3942-7</t>
  </si>
  <si>
    <t>Гид HBR Управление результативностью</t>
  </si>
  <si>
    <t>AAA2507010-P</t>
  </si>
  <si>
    <t>978-5-9614-3847-5</t>
  </si>
  <si>
    <t>Инновационный менеджмент</t>
  </si>
  <si>
    <t>AAA2509338-P</t>
  </si>
  <si>
    <t>978-5-9614-6587-7</t>
  </si>
  <si>
    <t>Корпоративная культура</t>
  </si>
  <si>
    <t>AAA2603084-P</t>
  </si>
  <si>
    <t>978-5-9614-3838-3</t>
  </si>
  <si>
    <t>Креативность</t>
  </si>
  <si>
    <t>AAA2602174-P</t>
  </si>
  <si>
    <t>978-5-9614-8041-2</t>
  </si>
  <si>
    <t>Лидерство</t>
  </si>
  <si>
    <t>AAA2512268-P</t>
  </si>
  <si>
    <t>978-5-9614-6755-0</t>
  </si>
  <si>
    <t>Личная эффективность</t>
  </si>
  <si>
    <t>AAA2512194-P</t>
  </si>
  <si>
    <t>978-5-9614-7013-0</t>
  </si>
  <si>
    <t>Методы принятия решений</t>
  </si>
  <si>
    <t>AAA2603025-P</t>
  </si>
  <si>
    <t>978-5-9614-7130-4</t>
  </si>
  <si>
    <t>Ашкеназ Рон, Мэнвилл Брук</t>
  </si>
  <si>
    <t>Настольная книга лидера: Как управлять собой, вдохновлять команду и вывести компанию на новый уровень</t>
  </si>
  <si>
    <t>AAA2510268-P</t>
  </si>
  <si>
    <t>978-5-9614-3324-1</t>
  </si>
  <si>
    <t>Организационная устойчивость</t>
  </si>
  <si>
    <t>AAA2211041-P</t>
  </si>
  <si>
    <t>978-5-9614-7761-0</t>
  </si>
  <si>
    <t>Переговоры</t>
  </si>
  <si>
    <t>AAA2601119-P</t>
  </si>
  <si>
    <t>978-5-9614-3724-9</t>
  </si>
  <si>
    <t>Продажи</t>
  </si>
  <si>
    <t>AAA2512267-P</t>
  </si>
  <si>
    <t>978-5-9614-3206-0</t>
  </si>
  <si>
    <t>Руководство по улучшению бизнес-процессов</t>
  </si>
  <si>
    <t>AAA2601120-P</t>
  </si>
  <si>
    <t>978-5-9614-6928-8</t>
  </si>
  <si>
    <t>Сотрудничество</t>
  </si>
  <si>
    <t>AAA2512197-P</t>
  </si>
  <si>
    <t>978-5-9614-7106-9</t>
  </si>
  <si>
    <t>Стратегический маркетинг</t>
  </si>
  <si>
    <t>AAA2601038-P</t>
  </si>
  <si>
    <t>978-5-9614-6969-1</t>
  </si>
  <si>
    <t>Стратегия</t>
  </si>
  <si>
    <t>AAA2603026-P</t>
  </si>
  <si>
    <t>978-5-9614-7115-1</t>
  </si>
  <si>
    <t>Управление бизнесом</t>
  </si>
  <si>
    <t>AAA2601034-P</t>
  </si>
  <si>
    <t>978-5-9614-6602-7</t>
  </si>
  <si>
    <t>Управление и лидерство для начинающих руководителей</t>
  </si>
  <si>
    <t>AAA2511226-P</t>
  </si>
  <si>
    <t>978-5-9614-8034-4</t>
  </si>
  <si>
    <t>Управление изменениями</t>
  </si>
  <si>
    <t>AAA2602017-P</t>
  </si>
  <si>
    <t>978-5-9614-6070-4</t>
  </si>
  <si>
    <t>Управление командой</t>
  </si>
  <si>
    <t>AAA2601202-P</t>
  </si>
  <si>
    <t>978-5-9614-6496-2</t>
  </si>
  <si>
    <t>Управление компанией</t>
  </si>
  <si>
    <t>AAA2404072-P</t>
  </si>
  <si>
    <t>978-5-9614-8033-7</t>
  </si>
  <si>
    <t>Управление персоналом</t>
  </si>
  <si>
    <t>AAA2512106-P</t>
  </si>
  <si>
    <t>978-5-9614-7116-8</t>
  </si>
  <si>
    <t>Управление рисками</t>
  </si>
  <si>
    <t>AAA2601035-P</t>
  </si>
  <si>
    <t>978-5-9614-8186-0</t>
  </si>
  <si>
    <t>Эмоциональный интеллект</t>
  </si>
  <si>
    <t>AAA2601203-P</t>
  </si>
  <si>
    <t>978-5-9614-7023-9</t>
  </si>
  <si>
    <t>4.12. Гибкие методы управления</t>
  </si>
  <si>
    <t>Аппело Юрген</t>
  </si>
  <si>
    <t>Agile-менеджмент: Лидерство и управление командами</t>
  </si>
  <si>
    <t>AAA2603087-P</t>
  </si>
  <si>
    <t>978-5-9614-6361-3</t>
  </si>
  <si>
    <t>Гибкие методы управления</t>
  </si>
  <si>
    <t>Швабер Кен</t>
  </si>
  <si>
    <t>Гибкое управление: Как перевести всю компанию на скрам</t>
  </si>
  <si>
    <t>AAA1908024-P</t>
  </si>
  <si>
    <t>978-5-9614-7745-0</t>
  </si>
  <si>
    <t xml:space="preserve">Барроуз  Майк</t>
  </si>
  <si>
    <t>Канбан Метод: Улучшение системы управления</t>
  </si>
  <si>
    <t>AAA2602016-P</t>
  </si>
  <si>
    <t>978-5-9614-3454-5</t>
  </si>
  <si>
    <t>Ларман Крэг, Водде Бас</t>
  </si>
  <si>
    <t>Масштабированный скрам: Как организовать гибкую разработку в крупной компании</t>
  </si>
  <si>
    <t>AAA1811071-P</t>
  </si>
  <si>
    <t>978-5-9614-3682-2</t>
  </si>
  <si>
    <t>Вискарди Стейша</t>
  </si>
  <si>
    <t>Руководство профессионального скрам-мастера: Практические советы по внедрению аджайл-подходов</t>
  </si>
  <si>
    <t>AAA1806003-P</t>
  </si>
  <si>
    <t>978-5-9614-3680-8</t>
  </si>
  <si>
    <t>4.13. Классика менеджмента</t>
  </si>
  <si>
    <t>Морита Акио</t>
  </si>
  <si>
    <t>Sony: Cделано в Японии</t>
  </si>
  <si>
    <t>AAA2511079-P</t>
  </si>
  <si>
    <t>978-5-0063-1631-7</t>
  </si>
  <si>
    <t>П. Вумек Джеймс, Джонс Дэниел</t>
  </si>
  <si>
    <t>Бережливое производство: Как избавиться от потерь и добиться процветания вашей компании</t>
  </si>
  <si>
    <t>AAA2512033-P</t>
  </si>
  <si>
    <t>978-5-0063-1722-2</t>
  </si>
  <si>
    <t>Уотерман-мл. Роберт, Питерс Том</t>
  </si>
  <si>
    <t>В поисках совершенства: Уроки самых успешных компаний Америки</t>
  </si>
  <si>
    <t>AAA2509253-P</t>
  </si>
  <si>
    <t>978-5-0063-1265-4</t>
  </si>
  <si>
    <t>Выход из кризиса: Новая парадигма управления людьми, системами и процессами</t>
  </si>
  <si>
    <t>AAA2510055-P</t>
  </si>
  <si>
    <t>978-5-0063-1351-4</t>
  </si>
  <si>
    <t>Идеальный руководитель: Почему им нельзя стать и что из этого следует</t>
  </si>
  <si>
    <t>AAA2512030-P</t>
  </si>
  <si>
    <t>978-5-0063-1721-5</t>
  </si>
  <si>
    <t>Кайдзен: Ключ к успеху японских компаний</t>
  </si>
  <si>
    <t>AAA2510054-P</t>
  </si>
  <si>
    <t>978-5-0063-1350-7</t>
  </si>
  <si>
    <t>Реальный менеджмент: Здравый смысл вместо управленческих мифов</t>
  </si>
  <si>
    <t>AAA2507016-P</t>
  </si>
  <si>
    <t>978-5-0063-0942-5</t>
  </si>
  <si>
    <t>4.14. Искусственный интеллект и новые технологии</t>
  </si>
  <si>
    <t>05. Инвестиции, финансы, право</t>
  </si>
  <si>
    <t>5.01. Финансовый менеджмент, корпоративные финансы, банки</t>
  </si>
  <si>
    <t>RECBOOK:Настольная книга по поддержке экспорта</t>
  </si>
  <si>
    <t>g161137</t>
  </si>
  <si>
    <t>978-5-9614-6360-6</t>
  </si>
  <si>
    <t>Волнин Владимир</t>
  </si>
  <si>
    <t>Аналитическая фабрика: Как настроить финансовую аналитику под задачи бизнеса</t>
  </si>
  <si>
    <t>AAA2512201-P</t>
  </si>
  <si>
    <t>978-5-9614-6211-1</t>
  </si>
  <si>
    <t>Генкин Артем, Михеев Алексей</t>
  </si>
  <si>
    <t>Блокчейн для всех: Как работают криптовалюты, BaaS, NFT, DeFi и другие новые финансовые технологии</t>
  </si>
  <si>
    <t>AAA2511251-P</t>
  </si>
  <si>
    <t>978-5-9614-8046-7</t>
  </si>
  <si>
    <t>Свон Мелани</t>
  </si>
  <si>
    <t>Блокчейн: схема новой экономики</t>
  </si>
  <si>
    <t>ZGZ2603006-P</t>
  </si>
  <si>
    <t>978-601-82338-3-8</t>
  </si>
  <si>
    <t>Чибиняева Татьяна</t>
  </si>
  <si>
    <t>Главный по финансам: Как стать сильным финансовым директором</t>
  </si>
  <si>
    <t>AAA2511238-P</t>
  </si>
  <si>
    <t>978-5-9614-7755-9</t>
  </si>
  <si>
    <t>Манько Снежана</t>
  </si>
  <si>
    <t>Как навести порядок в финансах компании: Практическое руководство для малого и среднего бизнеса</t>
  </si>
  <si>
    <t>AAA2502132-P</t>
  </si>
  <si>
    <t>978-5-9614-8155-6</t>
  </si>
  <si>
    <t>Настольная книга по внутреннему аудиту: Риски и бизнес-процессы</t>
  </si>
  <si>
    <t>AAA2602145-P</t>
  </si>
  <si>
    <t>978-5-9614-7138-0</t>
  </si>
  <si>
    <t>Брег Стивен</t>
  </si>
  <si>
    <t>Настольная книга финансового директора</t>
  </si>
  <si>
    <t>AAA2512120-P</t>
  </si>
  <si>
    <t>978-5-9614-7082-6</t>
  </si>
  <si>
    <t>Наймушин Даниил</t>
  </si>
  <si>
    <t>Один к одному: Как получить деньги в процедурах банкротства юрлиц</t>
  </si>
  <si>
    <t>PGR2507200-P</t>
  </si>
  <si>
    <t>978-5-206-00544-8</t>
  </si>
  <si>
    <t>Романс Эндрю</t>
  </si>
  <si>
    <t>Повелители корпоративного венчурного капитала: Реальные истории корпоративных инвесторов</t>
  </si>
  <si>
    <t>PGR2206154-P</t>
  </si>
  <si>
    <t>978-5-907534-04-9</t>
  </si>
  <si>
    <t>Мухин Михаил</t>
  </si>
  <si>
    <t>Управление дебиторской задолженностью : Практическое руководство для разумных руковдителей</t>
  </si>
  <si>
    <t>g180409</t>
  </si>
  <si>
    <t>978-5-9614-2180-4</t>
  </si>
  <si>
    <t>Герасименко Алексей</t>
  </si>
  <si>
    <t>Финансовая отчетность для руководителей и начинающих специалистов</t>
  </si>
  <si>
    <t>AAA2511227-P</t>
  </si>
  <si>
    <t>978-5-9614-6758-1</t>
  </si>
  <si>
    <t>Финансовый менеджмент - это просто: Базовый курс для руководителей и начинающих специалистов</t>
  </si>
  <si>
    <t>AAA2602015-P</t>
  </si>
  <si>
    <t>978-5-9614-7054-3</t>
  </si>
  <si>
    <t>Финансовый менеджмент для практиков: Полный курс МВА по корпоративным финансам ведущих бизнес-школ мира</t>
  </si>
  <si>
    <t>AAA2509096-P</t>
  </si>
  <si>
    <t>978-5-9614-3716-4</t>
  </si>
  <si>
    <t>Этрилл Питер, Маклейни Эдди</t>
  </si>
  <si>
    <t>Финансовый менеджмент и управленческий учет для руководителей и бизнесменов</t>
  </si>
  <si>
    <t>AAA2512092-P</t>
  </si>
  <si>
    <t>978-5-9614-6939-4</t>
  </si>
  <si>
    <t>5.02. Инвестиции, трейдинг, ценные бумаги</t>
  </si>
  <si>
    <t>Линч Питер</t>
  </si>
  <si>
    <t>Actio! Гид по успешному инвестированию для новичков и не только</t>
  </si>
  <si>
    <t>PGR2202252-P</t>
  </si>
  <si>
    <t>978-5-206-00053-5</t>
  </si>
  <si>
    <t>Льюис Майкл</t>
  </si>
  <si>
    <t>Flash Boys: Высокочастотная революция на Уолл-стрит</t>
  </si>
  <si>
    <t>PGR2408048-P</t>
  </si>
  <si>
    <t>978-5-907394-05-6</t>
  </si>
  <si>
    <t>Морозов И.В.</t>
  </si>
  <si>
    <t>FOREX: От простого к сложному</t>
  </si>
  <si>
    <t>PGR2507329-P</t>
  </si>
  <si>
    <t>978-5-907394-72-8</t>
  </si>
  <si>
    <t>Доннелли Брент</t>
  </si>
  <si>
    <t>Альфа-трейдер: Мышление, методология и математика профессионального трейдинга</t>
  </si>
  <si>
    <t>PGR2408099-P</t>
  </si>
  <si>
    <t>978-5-206-00397-0</t>
  </si>
  <si>
    <t>Герчик Александр, Лукашевич Татьяна</t>
  </si>
  <si>
    <t>Биржа для блондинок</t>
  </si>
  <si>
    <t>PGR2505071-P</t>
  </si>
  <si>
    <t>978-5-907394-57-5</t>
  </si>
  <si>
    <t>Швагер Джек</t>
  </si>
  <si>
    <t>Великие маги хедж-фондов : Трейдеры, которые не проигрывают</t>
  </si>
  <si>
    <t>PGR2412136-P</t>
  </si>
  <si>
    <t>978-5-206-00063-4</t>
  </si>
  <si>
    <t>Дж. Мэрфи Джон</t>
  </si>
  <si>
    <t>Визуальный инвестор: Как выявлять рыночные тренды</t>
  </si>
  <si>
    <t>AAA2602023-P</t>
  </si>
  <si>
    <t>978-5-9614-5904-3</t>
  </si>
  <si>
    <t>Пректер Роберт Р., Фрост А.Дж.</t>
  </si>
  <si>
    <t>Волновой принцип Эллиотта. Ключ к пониманию рынка</t>
  </si>
  <si>
    <t>PGR2605022-P</t>
  </si>
  <si>
    <t>978-5-9614-6995-0</t>
  </si>
  <si>
    <t>Фабер Меб</t>
  </si>
  <si>
    <t>Глобальное распределение активов: Лучшие мировые инвестиционные стратегии</t>
  </si>
  <si>
    <t>AAA2512113-P</t>
  </si>
  <si>
    <t>978-5-9614-4033-1</t>
  </si>
  <si>
    <t>Лин Кетти</t>
  </si>
  <si>
    <t>Дейтрейдинг на рынке Forex: Стратегии извлечения прибыли</t>
  </si>
  <si>
    <t>PGR2604029-P</t>
  </si>
  <si>
    <t>978-5-9614-6136-7</t>
  </si>
  <si>
    <t>Малкиел Бертон</t>
  </si>
  <si>
    <t>Десять главных правил для начинающего инвестора</t>
  </si>
  <si>
    <t>PGR2603059-P</t>
  </si>
  <si>
    <t>978-5-9614-6790-1</t>
  </si>
  <si>
    <t>Талеб Нассим Николас</t>
  </si>
  <si>
    <t>Динамическое хеджирование: Управление риском простых и экзотических опционов</t>
  </si>
  <si>
    <t>AAA2512264-P</t>
  </si>
  <si>
    <t>978-5-0063-0406-2</t>
  </si>
  <si>
    <t>Нисон Стив</t>
  </si>
  <si>
    <t>За гранью японских свечей: Новые японские методы графического анализа</t>
  </si>
  <si>
    <t>PGR2603122-P</t>
  </si>
  <si>
    <t>978-5-907470-73-6</t>
  </si>
  <si>
    <t>Отье Жеральд</t>
  </si>
  <si>
    <t>Из ряда вон! Как зарабатывать на альтернативных инвестициях</t>
  </si>
  <si>
    <t>LGA1812102-P</t>
  </si>
  <si>
    <t>978-5-6042878-6-6</t>
  </si>
  <si>
    <t>Тянь Чарли</t>
  </si>
  <si>
    <t>Инвестируй как гуру: Как повысить доходность и снизить риск с помощью стоимостного инвестирования</t>
  </si>
  <si>
    <t>AAA2104018-P</t>
  </si>
  <si>
    <t>978-5-9614-7205-9</t>
  </si>
  <si>
    <t>Коллектив авторов InfraONE</t>
  </si>
  <si>
    <t>Инвестиции в инфраструктуру : 2020, 2021, 2022. Сборник аналитики InfraOne Research. Лучшее</t>
  </si>
  <si>
    <t>LGI2107121-P</t>
  </si>
  <si>
    <t>978-5-907470-45-3</t>
  </si>
  <si>
    <t>Вайн Саймон</t>
  </si>
  <si>
    <t>Инвестиции и трейдинг: Формирование индивидуального подхода к принятию решений</t>
  </si>
  <si>
    <t>AAA2508025-P</t>
  </si>
  <si>
    <t>978-5-9614-6907-3</t>
  </si>
  <si>
    <t>Дамодаран Асват</t>
  </si>
  <si>
    <t>Инвестиционная оценка. Инструменты и методы оценки любых активов</t>
  </si>
  <si>
    <t>AAA2512189-P</t>
  </si>
  <si>
    <t>978-5-9614-6650-8</t>
  </si>
  <si>
    <t>Кибало Семён</t>
  </si>
  <si>
    <t>Инвестор за выходные: Руководство по созданию пассивного дохода (2-е издание, обновленное и дополненное)</t>
  </si>
  <si>
    <t>AAA2511320-P</t>
  </si>
  <si>
    <t>978-5-9614-8766-4</t>
  </si>
  <si>
    <t>Шиллер Роберт</t>
  </si>
  <si>
    <t>Иррациональный оптимизм: Как безрассудное поведение управляет рынками</t>
  </si>
  <si>
    <t>PGR2512078-P</t>
  </si>
  <si>
    <t>978-5-206-00009-2</t>
  </si>
  <si>
    <t>Валеев Ренат</t>
  </si>
  <si>
    <t>Искусство трейдинга: Практические рекомендации для трейдеров с опытом</t>
  </si>
  <si>
    <t>AAA2502126-P</t>
  </si>
  <si>
    <t>978-5-9614-7074-1</t>
  </si>
  <si>
    <t>Бартон Биггс</t>
  </si>
  <si>
    <t>История инвестиционных стратегий. Как зарабатывались состояния во времена процветания и во времена испытаний</t>
  </si>
  <si>
    <t>PGR2511160-P</t>
  </si>
  <si>
    <t>978-5-907470-70-5</t>
  </si>
  <si>
    <t>GSL Law &amp; Consulting</t>
  </si>
  <si>
    <t>Как владеть иностранными компаниями и не иметь проблем с налоговой в России : Справочник по КИК</t>
  </si>
  <si>
    <t>PGR2312057-P</t>
  </si>
  <si>
    <t>978-5-206-00312-3</t>
  </si>
  <si>
    <t>Хачатрян Артем</t>
  </si>
  <si>
    <t>Как зарабатывать на акциях: Анализируем рынок, выбираем компании и формируем портфель</t>
  </si>
  <si>
    <t>AAA2604064-P</t>
  </si>
  <si>
    <t>978-5-9614-7453-4</t>
  </si>
  <si>
    <t>Элдер Александр</t>
  </si>
  <si>
    <t>Как играть и выигрывать на бирже в XXI веке : Психология. Дисциплина. Торговые инструменты и системы. Контроль над рисками. Управление трейдингом</t>
  </si>
  <si>
    <t>PGR2411187-P</t>
  </si>
  <si>
    <t>978-5-206-00008-5</t>
  </si>
  <si>
    <t>Как играть и выигрывать на бирже: Психология. Технический анализ. Контроль над капиталом.</t>
  </si>
  <si>
    <t>AAA2605130-P</t>
  </si>
  <si>
    <t>978-5-9614-3587-0</t>
  </si>
  <si>
    <t>Чиркова Елена</t>
  </si>
  <si>
    <t>Как оценить бизнес по аналогии: Пособие по использованию сравнительных рыночных коэффициентов</t>
  </si>
  <si>
    <t>AAA2405111-P</t>
  </si>
  <si>
    <t>978-5-9614-9860-8</t>
  </si>
  <si>
    <t>Как фиксировать прибыль, ограничивать убытки и выигрывать от падения цен: Продажа и игра на понижение</t>
  </si>
  <si>
    <t>AAA2603086-P</t>
  </si>
  <si>
    <t>978-5-9614-6923-3</t>
  </si>
  <si>
    <t>Беккер Исаак</t>
  </si>
  <si>
    <t>Когда плохо - это хорошо: Как зарабатывать на инвестиционных идеях</t>
  </si>
  <si>
    <t>AAA2111094-P</t>
  </si>
  <si>
    <t>978-5-9614-3586-3</t>
  </si>
  <si>
    <t>Тернер Тони</t>
  </si>
  <si>
    <t>Краткосрочный трейдинг на фондовом рынке</t>
  </si>
  <si>
    <t>PGR2509163-P</t>
  </si>
  <si>
    <t>978-5-907394-96-4</t>
  </si>
  <si>
    <t>Криптоинвестор за выходные: Основы. Стратегия. Практика</t>
  </si>
  <si>
    <t>AAA2407003-P</t>
  </si>
  <si>
    <t>978-5-9614-9984-1</t>
  </si>
  <si>
    <t>Найман Эрик</t>
  </si>
  <si>
    <t>Малая энциклопедия трейдера</t>
  </si>
  <si>
    <t>AAA2506010-P</t>
  </si>
  <si>
    <t>978-5-9614-6887-8</t>
  </si>
  <si>
    <t>Бернстайн Уильям</t>
  </si>
  <si>
    <t>Манифест инвестора: Готовимся к потрясениям, процветанию и ко всему остальному</t>
  </si>
  <si>
    <t>PGR2605179-P</t>
  </si>
  <si>
    <t>978-5-907274-11-2</t>
  </si>
  <si>
    <t>Винс Ральф</t>
  </si>
  <si>
    <t>Математика управления капиталом</t>
  </si>
  <si>
    <t>PGR2412091-P</t>
  </si>
  <si>
    <t>978-5-9614-7052-9</t>
  </si>
  <si>
    <t>Межрыночный анализ: Принципы взаимодействия финансовых рынков</t>
  </si>
  <si>
    <t>AAA2604062-P</t>
  </si>
  <si>
    <t>978-5-9614-5819-0</t>
  </si>
  <si>
    <t>Михаловски Грег</t>
  </si>
  <si>
    <t>На волне валютного тренда: Как предвидеть большие движения и использовать их в торговле на FOREX</t>
  </si>
  <si>
    <t>PGR2506123-P</t>
  </si>
  <si>
    <t>978-5-907394-51-3</t>
  </si>
  <si>
    <t>Богл Джон</t>
  </si>
  <si>
    <t>Не верьте цифрам! Размышления о заблуждениях инвесторов, капитализме, «взаимных» фондах, индексном инвестировании, предпринимательстве, идеализме и героях</t>
  </si>
  <si>
    <t>LGA2109160-P</t>
  </si>
  <si>
    <t>978-5-907394-74-2</t>
  </si>
  <si>
    <t>Жак Лоран</t>
  </si>
  <si>
    <t>Опасные игры с деривативами: Полувековая история провалов от Citibank до Barings, Societe Generale и AIG</t>
  </si>
  <si>
    <t>PGR2601149-P</t>
  </si>
  <si>
    <t>978-5-9614-1655-8</t>
  </si>
  <si>
    <t>Тарасов Дмитрий</t>
  </si>
  <si>
    <t>От золота до биткоина 2.0</t>
  </si>
  <si>
    <t>PGR2510214-P</t>
  </si>
  <si>
    <t>978-5-206-00622-3</t>
  </si>
  <si>
    <t>Касал Баладжи</t>
  </si>
  <si>
    <t>Ошибки разумного инвестора: Как Уоррен Баффетт учился на своих неудачах и оттачивал инвестиционную стратегию</t>
  </si>
  <si>
    <t>AAA2407002-P</t>
  </si>
  <si>
    <t>978-5-9614-9983-4</t>
  </si>
  <si>
    <t>Миллер Джереми</t>
  </si>
  <si>
    <t>Правила инвестирования Уоррена Баффетта</t>
  </si>
  <si>
    <t>AAA2510125-P</t>
  </si>
  <si>
    <t>978-5-9614-7141-0</t>
  </si>
  <si>
    <t>Гюнтер Макс</t>
  </si>
  <si>
    <t>Принципы швейцарских финансистов. 12 аксиом успешного инвестирования</t>
  </si>
  <si>
    <t>PGR2603203-P</t>
  </si>
  <si>
    <t>978-5-907470-21-7</t>
  </si>
  <si>
    <t>Ричардс Карл</t>
  </si>
  <si>
    <t>Психология инвестирования: Как перестать делать глупости со своими деньгами</t>
  </si>
  <si>
    <t>AAA2602172-P</t>
  </si>
  <si>
    <t>978-5-9614-4145-1</t>
  </si>
  <si>
    <t>Стинбарджер Бретт</t>
  </si>
  <si>
    <t>Психология трейдинга: Инструменты и методы принятия решений</t>
  </si>
  <si>
    <t>PGR2507323-P</t>
  </si>
  <si>
    <t>978-5-907274-14-3</t>
  </si>
  <si>
    <t>Коновалов Василий</t>
  </si>
  <si>
    <t>Путеводитель по венчуру. Начинающим частным инвесторам</t>
  </si>
  <si>
    <t>PGR2508004-P</t>
  </si>
  <si>
    <t>978-5-206-00573-8</t>
  </si>
  <si>
    <t>Азиз Эндрю</t>
  </si>
  <si>
    <t>Руководство по дейтрейдингу для начинающих: Инструменты, торговые стратегии, психология</t>
  </si>
  <si>
    <t>AAA2101042-P</t>
  </si>
  <si>
    <t>978-5-9614-7406-0</t>
  </si>
  <si>
    <t>Руководство разумного инвестора: Надежный способ получения прибыли на фондовом рынке (новое, дополненное издание)</t>
  </si>
  <si>
    <t>AAA2510269-P</t>
  </si>
  <si>
    <t>978-5-9614-7185-4</t>
  </si>
  <si>
    <t>Мальков Антон</t>
  </si>
  <si>
    <t>Рынки капитала. Перезагрузка</t>
  </si>
  <si>
    <t>PGR2410254-P</t>
  </si>
  <si>
    <t>978-5-206-00427-4</t>
  </si>
  <si>
    <t>Фабоцци Фрэнк Дж.</t>
  </si>
  <si>
    <t>Рынок облигаций: Анализ и стратегии.</t>
  </si>
  <si>
    <t>AAA2601021-P</t>
  </si>
  <si>
    <t>978-5-9614-5442-0</t>
  </si>
  <si>
    <t>Маркс Говард</t>
  </si>
  <si>
    <t>Рыночные циклы: Как выявлять и использовать закономерности для успешного инвестирования</t>
  </si>
  <si>
    <t>PGR2604027-P</t>
  </si>
  <si>
    <t>978-5-6042881-4-6</t>
  </si>
  <si>
    <t>Самоучитель трейдера: Психология, техника, тактика и стратегия</t>
  </si>
  <si>
    <t>PGR2603007-P</t>
  </si>
  <si>
    <t>978-5-6042880-3-0</t>
  </si>
  <si>
    <t>Уильямс Ларри</t>
  </si>
  <si>
    <t>Секреты торговли на фьючерсном рынке: Действуйте вместе с инсайдерами</t>
  </si>
  <si>
    <t>PGR2604028-P</t>
  </si>
  <si>
    <t>978-5-907274-04-4</t>
  </si>
  <si>
    <t>Кауфман Перри</t>
  </si>
  <si>
    <t>Системы и методы биржевой торговли</t>
  </si>
  <si>
    <t>PGR2605026-P</t>
  </si>
  <si>
    <t>978-5-206-00007-8</t>
  </si>
  <si>
    <t>Стоимостное инвестирование в лицах и принципах</t>
  </si>
  <si>
    <t>AAA2103126-P</t>
  </si>
  <si>
    <t>978-5-9614-7431-2</t>
  </si>
  <si>
    <t>Таинственные маги рынка : Лучшие трейдеры, о которых вы никогда не слышали. Второе издание, обновленное</t>
  </si>
  <si>
    <t>PGR2410344-P</t>
  </si>
  <si>
    <t>978-5-206-00430-4</t>
  </si>
  <si>
    <t>Технический анализ фьючерсных рынков: Теория и практика</t>
  </si>
  <si>
    <t>AAA2512261-P</t>
  </si>
  <si>
    <t>978-5-9614-6771-0</t>
  </si>
  <si>
    <t>Технический анализ. Полный курс</t>
  </si>
  <si>
    <t>AAA2510124-P</t>
  </si>
  <si>
    <t>978-5-9614-6782-6</t>
  </si>
  <si>
    <t>Вильямс Билл, Грегори-Вильямс Джастин</t>
  </si>
  <si>
    <t>Торговый хаос: Увеличение прибыли методами технического анализа</t>
  </si>
  <si>
    <t>PGR2604231-P</t>
  </si>
  <si>
    <t>978-5-907274-99-0</t>
  </si>
  <si>
    <t>Лин Кетти, Шлоссберг Борис</t>
  </si>
  <si>
    <t>Трейдеры-миллионеры: Как переиграть профессионалов Уолл-стрит на их собственном поле</t>
  </si>
  <si>
    <t>PGR2311005-P</t>
  </si>
  <si>
    <t>978-5-907274-93-8</t>
  </si>
  <si>
    <t>Арчер Майкл</t>
  </si>
  <si>
    <t>Трейдинг на валютном рынке для начинающих</t>
  </si>
  <si>
    <t>PGR2511360-P</t>
  </si>
  <si>
    <t>978-5-907274-95-2</t>
  </si>
  <si>
    <t>Трейдинг с доктором Элдером: Энциклопедия биржевой игры</t>
  </si>
  <si>
    <t>AAA2604161-P</t>
  </si>
  <si>
    <t>978-5-9614-6918-9</t>
  </si>
  <si>
    <t>Трейдинг: Первые шаги</t>
  </si>
  <si>
    <t>AAA2511081-P</t>
  </si>
  <si>
    <t>978-5-9614-6906-6</t>
  </si>
  <si>
    <t>Анисимов Олег</t>
  </si>
  <si>
    <t>Фиаско. Почему я погорел на стартапе и как не повторить мои ошибки</t>
  </si>
  <si>
    <t>PGR2506015-P</t>
  </si>
  <si>
    <t>978-5-206-00514-1</t>
  </si>
  <si>
    <t>Ценообразование IPO и SPO. На пути от старого рынка к новому</t>
  </si>
  <si>
    <t>PGR2402185-P</t>
  </si>
  <si>
    <t>978-5-206-00340-6</t>
  </si>
  <si>
    <t>Японские свечи. Графический анализ финансовых рынков</t>
  </si>
  <si>
    <t>PGR2510108-P</t>
  </si>
  <si>
    <t>978-5-6042882-0-7</t>
  </si>
  <si>
    <t>5.03. Личные финансы</t>
  </si>
  <si>
    <t>Семенчук Вячеслав, Марков Глеб</t>
  </si>
  <si>
    <t>101 способ создания новых источников дохода : Как зарабатывать на всем и всегда</t>
  </si>
  <si>
    <t>PGR2511153-P</t>
  </si>
  <si>
    <t>978-5-907274-65-5</t>
  </si>
  <si>
    <t>Kakebo: Японская система ведения семейного бюджета (недатированный ежедневник)</t>
  </si>
  <si>
    <t>AAA2509227-P</t>
  </si>
  <si>
    <t>978-5-9614-3710-2</t>
  </si>
  <si>
    <t>Веселко Анастасия</t>
  </si>
  <si>
    <t>Быть в Плюсе: Новый подход к личным финансам</t>
  </si>
  <si>
    <t>AAA2510245-P</t>
  </si>
  <si>
    <t>978-5-9614-9977-3</t>
  </si>
  <si>
    <t>Девушка с деньгами: Книга о финансах и здравом смысле</t>
  </si>
  <si>
    <t>AAA2502017-P</t>
  </si>
  <si>
    <t>978-5-9614-2800-1</t>
  </si>
  <si>
    <t>Девушка с деньгами: Рабочая тетрадь по личным финансам</t>
  </si>
  <si>
    <t>AAA2512262-P</t>
  </si>
  <si>
    <t>978-5-9614-7597-5</t>
  </si>
  <si>
    <t>Силаев Александр</t>
  </si>
  <si>
    <t>Деньги без дураков: Почему инвестировать сложнее, чем кажется, и как это делать правильно</t>
  </si>
  <si>
    <t>AAA2411035-P</t>
  </si>
  <si>
    <t>978-5-9614-2664-9</t>
  </si>
  <si>
    <t>Савенок Владимир</t>
  </si>
  <si>
    <t>Моя дочь — миллионер: Как создать капитал для ребенка</t>
  </si>
  <si>
    <t>ZGZ2311190-P</t>
  </si>
  <si>
    <t>978-601-09-2715-5</t>
  </si>
  <si>
    <t>Богдашевский Артем</t>
  </si>
  <si>
    <t>Основы финансовой грамотности. Краткий курс</t>
  </si>
  <si>
    <t>PGR2512073-P</t>
  </si>
  <si>
    <t>978-5-206-00191-4</t>
  </si>
  <si>
    <t>Переиграть Уолл-стрит</t>
  </si>
  <si>
    <t>PGR2512300-P</t>
  </si>
  <si>
    <t>978-5-206-00052-8</t>
  </si>
  <si>
    <t>Филатова Инна</t>
  </si>
  <si>
    <t xml:space="preserve">Семейные финансы  — это просто: Подсказки, советы и решения для вашего бюджета</t>
  </si>
  <si>
    <t>AAA2602084-P</t>
  </si>
  <si>
    <t>978-5-9614-8236-2</t>
  </si>
  <si>
    <t>Майер Кристофер</t>
  </si>
  <si>
    <t>Философия Стократа. Ищем акции, которые приносят максимальный доход</t>
  </si>
  <si>
    <t>PGR2204024-P</t>
  </si>
  <si>
    <t>978-5-206-00047-4</t>
  </si>
  <si>
    <t>5.04. Налоги, право, учет</t>
  </si>
  <si>
    <t>Сычев А.М., Ревенков П.В., Дудка А.Б.</t>
  </si>
  <si>
    <t>Безопасность электронного банкинга</t>
  </si>
  <si>
    <t>z170313</t>
  </si>
  <si>
    <t>978-5-9908133-4-2</t>
  </si>
  <si>
    <t>Мерген Дораев</t>
  </si>
  <si>
    <t>Путь литигатора Чему самурайский кодекс может научить судебного юриста</t>
  </si>
  <si>
    <t>PGR2112007-P</t>
  </si>
  <si>
    <t>978-5-907534-41-4</t>
  </si>
  <si>
    <t>Ильяхов Максим, Башук Алексей</t>
  </si>
  <si>
    <t>Своровали? Накажи! Книга о защите интеллектуальных прав</t>
  </si>
  <si>
    <t>AAA2303165-P</t>
  </si>
  <si>
    <t>978-5-9614-7756-6</t>
  </si>
  <si>
    <t>AAA2409193-P</t>
  </si>
  <si>
    <t>978-5-0063-0170-2</t>
  </si>
  <si>
    <t>06. Писательское мастерство, креативность и творчество</t>
  </si>
  <si>
    <t>6.01. Кино, театр, писательское и сценарное мастерство</t>
  </si>
  <si>
    <t xml:space="preserve"> Быть гением: Истории об искусстве, жизни, смерти, любви, сексе, деньгах и безумии</t>
  </si>
  <si>
    <t>AAA2601095-P</t>
  </si>
  <si>
    <t>978-5-9614-8920-0</t>
  </si>
  <si>
    <t>Пульизи Бекка , Акерман Анджела</t>
  </si>
  <si>
    <t>[2 тома] Тезаурус конфликтов. Руководство для писателей и сценаристов</t>
  </si>
  <si>
    <t>NNN2211209-P</t>
  </si>
  <si>
    <t>978-5-00139-927-8</t>
  </si>
  <si>
    <t>Нугманов Рашид</t>
  </si>
  <si>
    <t>Dramaticon : Драматургия на экране, на сцене и в жизни</t>
  </si>
  <si>
    <t>ZGZ2406177-P</t>
  </si>
  <si>
    <t>978-601-82240-3-4</t>
  </si>
  <si>
    <t>Елютин Федор</t>
  </si>
  <si>
    <t>Remote Moscow: Как зарабатывать на впечатлениях</t>
  </si>
  <si>
    <t>AAA1911111-P</t>
  </si>
  <si>
    <t>978-5-9614-1549-0</t>
  </si>
  <si>
    <t>Уэйланд Кэти Мари</t>
  </si>
  <si>
    <t>Архитектура сюжета: Как создать запоминающуюся историю</t>
  </si>
  <si>
    <t>NNN2603300-P</t>
  </si>
  <si>
    <t>978-5-00139-326-9</t>
  </si>
  <si>
    <t>[покет-серия] Архитектура сюжета: Как создать запоминающуюся историю</t>
  </si>
  <si>
    <t>NNN2601050-P</t>
  </si>
  <si>
    <t>978-5-00223-015-0</t>
  </si>
  <si>
    <t>Нашавати Крис</t>
  </si>
  <si>
    <t>Будущее было сейчас: 8 фильмов, которые изменили Голливуд</t>
  </si>
  <si>
    <t>NNN2404026-P</t>
  </si>
  <si>
    <t>978-5-00223-333-5</t>
  </si>
  <si>
    <t>Лиен Генри</t>
  </si>
  <si>
    <t>Весна, лето, астероид, птица: Искусство восточного сторителлинга</t>
  </si>
  <si>
    <t>NNN2507202-P</t>
  </si>
  <si>
    <t>978-5-00223-745-6</t>
  </si>
  <si>
    <t>[покет] Диалог: Искусство слова для писателей, сценаристов и драматургов</t>
  </si>
  <si>
    <t>NNN2601049-P</t>
  </si>
  <si>
    <t>978-5-00139-145-6</t>
  </si>
  <si>
    <t>Тупикина Юлия</t>
  </si>
  <si>
    <t>Диалоги — огонь! 15 сценарных и драматургических приемов</t>
  </si>
  <si>
    <t>NNN2401208-P</t>
  </si>
  <si>
    <t>978-5-00223-263-5</t>
  </si>
  <si>
    <t>Эванс Бек , Смит Крис</t>
  </si>
  <si>
    <t>Дойти до точки: Как преодолеть писательский блок и создавать тексты без мучений и боли</t>
  </si>
  <si>
    <t>NNN2211013-P</t>
  </si>
  <si>
    <t>978-5-00139-897-4</t>
  </si>
  <si>
    <t>Маслова Елена</t>
  </si>
  <si>
    <t>Звук в кино: Как создаются иллюзии</t>
  </si>
  <si>
    <t>NNN2310147-P</t>
  </si>
  <si>
    <t>978-5-00223-173-7</t>
  </si>
  <si>
    <t>Погорелый Юрий</t>
  </si>
  <si>
    <t>Интерфакс. Технология новостей</t>
  </si>
  <si>
    <t>PGR2008122-P</t>
  </si>
  <si>
    <t>978-5-907534-40-7</t>
  </si>
  <si>
    <t>История на миллион: Мастер-класс для сценаристов, писателей и не только...</t>
  </si>
  <si>
    <t>NNN2601131-P</t>
  </si>
  <si>
    <t>978-5-00223-499-8</t>
  </si>
  <si>
    <t>Биали Шэрон</t>
  </si>
  <si>
    <t>Кинопробы: Руководство для актеров от голливудского кастинг-директора</t>
  </si>
  <si>
    <t>NNN2508018-P</t>
  </si>
  <si>
    <t>978-5-00139-213-2</t>
  </si>
  <si>
    <t>Кожушаная Екатерина</t>
  </si>
  <si>
    <t>Короткий метр: Работа над сценарием</t>
  </si>
  <si>
    <t>NNN2407113-P</t>
  </si>
  <si>
    <t>978-5-00223-422-6</t>
  </si>
  <si>
    <t>Марков Максим, Звягинцев Андрей</t>
  </si>
  <si>
    <t>Левиафан. Разбор по косточкам</t>
  </si>
  <si>
    <t>PGR2211205-P</t>
  </si>
  <si>
    <t>978-5-206-00151-8</t>
  </si>
  <si>
    <t>Легкий текст: Как писать тексты, которые интересно читать и приятно слушать</t>
  </si>
  <si>
    <t>AAA2502123-P</t>
  </si>
  <si>
    <t>978-5-9614-7918-8</t>
  </si>
  <si>
    <t>Коэн Лола</t>
  </si>
  <si>
    <t>Метод Ли Страсберга: Сборник упражнений по актерскому мастерству</t>
  </si>
  <si>
    <t>NNN2501031-P</t>
  </si>
  <si>
    <t>978-5-91671-850-8</t>
  </si>
  <si>
    <t>Бросалина Любовь</t>
  </si>
  <si>
    <t>Напишите мою книгу! Все тонкости работы с наемным писателем</t>
  </si>
  <si>
    <t>LGI2202065-P</t>
  </si>
  <si>
    <t>978-5-907470-60-6</t>
  </si>
  <si>
    <t>Поляринов Алексей</t>
  </si>
  <si>
    <t>Ночная смена</t>
  </si>
  <si>
    <t>NNP2312088-P</t>
  </si>
  <si>
    <t>978-5-00139-613-0</t>
  </si>
  <si>
    <t>Харрис Чарльз</t>
  </si>
  <si>
    <t>Питч всемогущий: Как доказать, что твой сценарий лучший</t>
  </si>
  <si>
    <t>NNN2011164-P</t>
  </si>
  <si>
    <t>978-5-00139-421-1</t>
  </si>
  <si>
    <t>Соболь Екатерина</t>
  </si>
  <si>
    <t>Пиши как Миядзаки: Уроки мастера для писателей и сценаристов</t>
  </si>
  <si>
    <t>NNN2603195-P</t>
  </si>
  <si>
    <t>978-5-00223-590-2</t>
  </si>
  <si>
    <t>Апполонов Егор</t>
  </si>
  <si>
    <t>Пиши рьяно, редактируй резво: Полное руководство по работе над великим романом. Опыт писателей: от Аристотеля до Водолазкина</t>
  </si>
  <si>
    <t>AAA2508134-P</t>
  </si>
  <si>
    <t>978-5-9614-2668-7</t>
  </si>
  <si>
    <t>Сироткин Олег</t>
  </si>
  <si>
    <t>[покет-серия] Противоречие. Перевертыш. Парадокс. Курс лекций по сценарному мастерству</t>
  </si>
  <si>
    <t>AAA2601199-P</t>
  </si>
  <si>
    <t>978-5-9614-8665-0</t>
  </si>
  <si>
    <t>Салахиева-Талал Татьяна</t>
  </si>
  <si>
    <t>[покет-серия] Психология в кино: Создание героев и историй</t>
  </si>
  <si>
    <t>NNN2509134-P</t>
  </si>
  <si>
    <t>978-5-00139-932-2</t>
  </si>
  <si>
    <t>Воглер Кристофер</t>
  </si>
  <si>
    <t>Путешествие писателя: Мифологические структуры в литературе и кино</t>
  </si>
  <si>
    <t>NNN2604110-P</t>
  </si>
  <si>
    <t>978-5-91671-915-4</t>
  </si>
  <si>
    <t>Кожухарь Илья</t>
  </si>
  <si>
    <t>Разбор роли: Психология для актеров, режиссеров и сценаристов</t>
  </si>
  <si>
    <t>NNN2510022-P</t>
  </si>
  <si>
    <t>978-5-00223-407-3</t>
  </si>
  <si>
    <t>Создание арки персонажа. Секреты сценарного мастерства: единство структуры, сюжета и героя</t>
  </si>
  <si>
    <t>NNN2604042-P</t>
  </si>
  <si>
    <t>978-5-00139-278-1</t>
  </si>
  <si>
    <t>Норт Стив</t>
  </si>
  <si>
    <t>Стендап: 20 лучших формул</t>
  </si>
  <si>
    <t>NNN2512216-P</t>
  </si>
  <si>
    <t>978-5-00139-813-4</t>
  </si>
  <si>
    <t>Звягинцев Андрей, Негин Олег, Моисеенко Владимир, Новотоцкий Александр</t>
  </si>
  <si>
    <t>Сценарии кинофильмов Андрея Звягинцева</t>
  </si>
  <si>
    <t>NNN2206122-P</t>
  </si>
  <si>
    <t>978-5-91671-991-8</t>
  </si>
  <si>
    <t>Тезаурус отрицательных качеств персонажа. Руководство для писателей и сценаристов</t>
  </si>
  <si>
    <t>NNN2311071-P</t>
  </si>
  <si>
    <t>978-5-00223-209-3</t>
  </si>
  <si>
    <t>Тезаурус положительных качеств персонажа: Руководство для писателей и сценаристов</t>
  </si>
  <si>
    <t>NNN2311072-P</t>
  </si>
  <si>
    <t>978-5-00223-210-9</t>
  </si>
  <si>
    <t>Тезаурус профессий. Руководство для писателей и сценаристов</t>
  </si>
  <si>
    <t>NNN2311075-P</t>
  </si>
  <si>
    <t>978-5-00223-213-0</t>
  </si>
  <si>
    <t>Тезаурус усилителей эмоций. Руководство для писателей и сценаристов</t>
  </si>
  <si>
    <t>NNN2311078-P</t>
  </si>
  <si>
    <t>978-5-00223-215-4</t>
  </si>
  <si>
    <t>Тезаурус эмоций: Руководство для писателей и сценаристов</t>
  </si>
  <si>
    <t>NNN2411064-P</t>
  </si>
  <si>
    <t>978-5-00139-327-6</t>
  </si>
  <si>
    <t>NNN2602152-P</t>
  </si>
  <si>
    <t>978-5-00223-941-2</t>
  </si>
  <si>
    <t>Тезаурус эмоциональных травм. Руководство для писателей и сценаристов</t>
  </si>
  <si>
    <t>NNN2311073-P</t>
  </si>
  <si>
    <t>978-5-00223-211-6</t>
  </si>
  <si>
    <t>Текст по полочкам: Краткое пособие по деловой переписке</t>
  </si>
  <si>
    <t>AAA2601017-P</t>
  </si>
  <si>
    <t>978-5-9614-7450-3</t>
  </si>
  <si>
    <t>Диккерс Скотт</t>
  </si>
  <si>
    <t>Уже смешно: Как писать комические тексты</t>
  </si>
  <si>
    <t>NNN2404092-P</t>
  </si>
  <si>
    <t>978-5-00223-344-1</t>
  </si>
  <si>
    <t>Салахиева-Талал Татьяна, Лукшина Юлия, Дзираева Дина</t>
  </si>
  <si>
    <t>Уйти нельзя остаться: Кризисы, выгорание, смыслы и ресурсы в кинопрофессии</t>
  </si>
  <si>
    <t>NNN1910142-P</t>
  </si>
  <si>
    <t>978-5-00139-368-9</t>
  </si>
  <si>
    <t>Макки Роберт, Эль-Вакиль Бассим</t>
  </si>
  <si>
    <t>Экшен: Как создать захватывающий сюжет в кино, играх и литературе</t>
  </si>
  <si>
    <t>NNN2412138-P</t>
  </si>
  <si>
    <t>978-5-00223-538-4</t>
  </si>
  <si>
    <t>Богданова Майя</t>
  </si>
  <si>
    <t>Я — копирайтер: Как зарабатывать с помощью текстов</t>
  </si>
  <si>
    <t>AAA2505026-P</t>
  </si>
  <si>
    <t>978-5-9614-7713-9</t>
  </si>
  <si>
    <t>6.02. Серия "Сценарное и писательское мастерство" (покеты)</t>
  </si>
  <si>
    <t>Воглер Кристофер, Маккенна Дэвид</t>
  </si>
  <si>
    <t>[покет] Memo: Секреты создания структуры и персонажей в сценарии</t>
  </si>
  <si>
    <t>NNN2506128-P</t>
  </si>
  <si>
    <t>978-5-00139-140-1</t>
  </si>
  <si>
    <t>Говард Дэвид, Мабли Эдвард</t>
  </si>
  <si>
    <t>[покет-серия] Как работают над сценарием в Южной Калифорнии</t>
  </si>
  <si>
    <t>PGR2510166-P</t>
  </si>
  <si>
    <t>978-5-907394-97-1</t>
  </si>
  <si>
    <t>Персонаж: Искусство создания образа на экране, в книге и на сцене</t>
  </si>
  <si>
    <t>NNN2509148-P</t>
  </si>
  <si>
    <t>978-5-00223-484-4</t>
  </si>
  <si>
    <t>Индик Уильям</t>
  </si>
  <si>
    <t>[покет-серия] Психология для сценаристов: Построение конфликта в сюжете</t>
  </si>
  <si>
    <t>NNN2505147-P</t>
  </si>
  <si>
    <t>978-5-00139-125-8</t>
  </si>
  <si>
    <t>[покет] Путешествие писателя: Мифологические структуры в литературе и кино</t>
  </si>
  <si>
    <t>NNN2601134-P</t>
  </si>
  <si>
    <t>978-5-00139-144-9</t>
  </si>
  <si>
    <t>Крон Лиза</t>
  </si>
  <si>
    <t>[покет-серия] С первой фразы: Как увлечь читателя, используя когнитивную психологию</t>
  </si>
  <si>
    <t>AAA2601200-P</t>
  </si>
  <si>
    <t>978-5-9614-2553-6</t>
  </si>
  <si>
    <t>Сегер Линда</t>
  </si>
  <si>
    <t>[покет] Скрытый смысл: Создание подтекста в кино</t>
  </si>
  <si>
    <t>NNN2507295-P</t>
  </si>
  <si>
    <t>978-5-00139-139-5</t>
  </si>
  <si>
    <t>[покет-серия] Создание арки персонажа. Секреты сценарного мастерства: единство структуры, сюжета и героя</t>
  </si>
  <si>
    <t>NNN2602040-P</t>
  </si>
  <si>
    <t>978-5-00139-769-4</t>
  </si>
  <si>
    <t>Вольф Юрген</t>
  </si>
  <si>
    <t>[покет] Школа литературного и сценарного мастерства: От замысла до результата: рассказы, романы, статьи, нон-фикшн, сце- нарии, новые медиа</t>
  </si>
  <si>
    <t>NNN2603197-P</t>
  </si>
  <si>
    <t>978-5-00139-138-8</t>
  </si>
  <si>
    <t>6.03. Развитие креативности и творческих навыков</t>
  </si>
  <si>
    <t>Циммерман Элизабет</t>
  </si>
  <si>
    <t>Вязание без слез: Базовые техники и понятные схемы</t>
  </si>
  <si>
    <t>AAA2601193-P</t>
  </si>
  <si>
    <t>978-5-9614-6240-1</t>
  </si>
  <si>
    <t>Беркун Скотт</t>
  </si>
  <si>
    <t>Дизайн всего: Как появляются вещи, о которых мы не задумываемся</t>
  </si>
  <si>
    <t>AAA2602072-P</t>
  </si>
  <si>
    <t>978-5-9614-7513-5</t>
  </si>
  <si>
    <t>AAA2603172-P</t>
  </si>
  <si>
    <t>978-5-0063-2006-2</t>
  </si>
  <si>
    <t>Зинсер Уильям</t>
  </si>
  <si>
    <t>[покет-серия] Как писать хорошо: Классическое руководство по созданию нехудожественных текстов</t>
  </si>
  <si>
    <t>AAA2602168-P</t>
  </si>
  <si>
    <t>978-5-9614-9110-4</t>
  </si>
  <si>
    <t>Бирн Дэвид</t>
  </si>
  <si>
    <t>Как работает музыка</t>
  </si>
  <si>
    <t>NNN2507308-P</t>
  </si>
  <si>
    <t>978-5-00139-194-4</t>
  </si>
  <si>
    <t>Курманбаева Эльмира</t>
  </si>
  <si>
    <t>Клуб "28 петель". Мы вяжем для родившихся слишком рано</t>
  </si>
  <si>
    <t>LGA2110129-P</t>
  </si>
  <si>
    <t>978-5-907470-98-9</t>
  </si>
  <si>
    <t>Губанов Пётр</t>
  </si>
  <si>
    <t>Креативщики: Как работать с творческими людьми и не сойти с ума</t>
  </si>
  <si>
    <t>PGR2412013-P</t>
  </si>
  <si>
    <t>978-5-206-00448-9</t>
  </si>
  <si>
    <t>Хранеко Вероника</t>
  </si>
  <si>
    <t>Меньше слов. Как управлять диалогом и раскрыть любого собеседника</t>
  </si>
  <si>
    <t>PGR2412134-P</t>
  </si>
  <si>
    <t>978-5-206-00119-8</t>
  </si>
  <si>
    <t>Метод Зверевой: Растить себя, растить других. Книга наставника</t>
  </si>
  <si>
    <t>AAA2511095-P</t>
  </si>
  <si>
    <t>978-5-0063-0427-7</t>
  </si>
  <si>
    <t>Музыка и мозг: Как музыка влияет на эмоции, здоровье и интеллект</t>
  </si>
  <si>
    <t>AAA2505181-P</t>
  </si>
  <si>
    <t>978-5-9614-2536-9</t>
  </si>
  <si>
    <t>Альтшуллер Генрих</t>
  </si>
  <si>
    <t>Найти идею: Введение в ТРИЗ - теорию решения изобретательских задач</t>
  </si>
  <si>
    <t>AAA2605149-P</t>
  </si>
  <si>
    <t>978-5-9614-7704-7</t>
  </si>
  <si>
    <t>Зорина Лариса</t>
  </si>
  <si>
    <t>Не просто речь. 10 законов публичных выступлений</t>
  </si>
  <si>
    <t>PGR2511263-P</t>
  </si>
  <si>
    <t>978-5-206-00470-0</t>
  </si>
  <si>
    <t>Пенья Хавьер</t>
  </si>
  <si>
    <t>Невидимые чернила: Зависть, ревность и муки творчества великих писателей</t>
  </si>
  <si>
    <t>AAA2405082-P</t>
  </si>
  <si>
    <t>978-5-9614-9848-6</t>
  </si>
  <si>
    <t>Новые правила деловой переписки</t>
  </si>
  <si>
    <t>AAA2511070-P</t>
  </si>
  <si>
    <t>978-5-9614-1034-1</t>
  </si>
  <si>
    <t>Письма к жене: Невидимая сторона гения</t>
  </si>
  <si>
    <t>AAA2604057-P</t>
  </si>
  <si>
    <t>978-5-0063-0336-2</t>
  </si>
  <si>
    <t>Пельтек Евгения</t>
  </si>
  <si>
    <t>Пишите – не пишите: Психологическое руководство для авторов по работе с текстом и собой</t>
  </si>
  <si>
    <t>AAA2101109-P</t>
  </si>
  <si>
    <t>978-5-9614-4103-1</t>
  </si>
  <si>
    <t>Полчаса музыки: Как понять и полюбить классику</t>
  </si>
  <si>
    <t>AAA2603228-P</t>
  </si>
  <si>
    <t>978-5-9614-7144-1</t>
  </si>
  <si>
    <t>AAA2502031-P</t>
  </si>
  <si>
    <t>978-5-9614-3582-5</t>
  </si>
  <si>
    <t>07. Стиль жизни</t>
  </si>
  <si>
    <t>7.01. Здоровье, долголетие, спорт</t>
  </si>
  <si>
    <t>Совиярви Олли, Халметоя Яакко, Арина Теэму</t>
  </si>
  <si>
    <t>Биохакинг: Руководство по раскрытию потенциала организма</t>
  </si>
  <si>
    <t>AAA2506088-P</t>
  </si>
  <si>
    <t>978-5-9614-1065-5</t>
  </si>
  <si>
    <t>Выживание в дикой природе и экстремальных ситуациях по методике спецслужб. 100 ключевых навыков</t>
  </si>
  <si>
    <t>NNN2601246-P</t>
  </si>
  <si>
    <t>978-5-91671-791-4</t>
  </si>
  <si>
    <t>Айенгар Б.К. С.</t>
  </si>
  <si>
    <t>[обложка] Дерево йоги: Ежедневная практика</t>
  </si>
  <si>
    <t>NNN2604018-P</t>
  </si>
  <si>
    <t>978-5-00139-952-0</t>
  </si>
  <si>
    <t>Макарова Юлия, Ульмасбаева Елена</t>
  </si>
  <si>
    <t>Йога в кармане: Женская практика. Руководство по самостоятельной практике</t>
  </si>
  <si>
    <t>NNN2402220-P</t>
  </si>
  <si>
    <t>978-5-00223-462-2</t>
  </si>
  <si>
    <t>Йога в кармане</t>
  </si>
  <si>
    <t>Макарова Юлия</t>
  </si>
  <si>
    <t>Йога в кармане: Руководство по самостоятельной практике для здоровых ног</t>
  </si>
  <si>
    <t>NNN2402221-P</t>
  </si>
  <si>
    <t>978-5-00223-292-5</t>
  </si>
  <si>
    <t>Йога в кармане: Руководство по самостоятельной практике для начинающих</t>
  </si>
  <si>
    <t>NNN2402222-P</t>
  </si>
  <si>
    <t>978-5-00223-293-2</t>
  </si>
  <si>
    <t>Левенфиш Григорий</t>
  </si>
  <si>
    <t>Книга начинающего шахматиста</t>
  </si>
  <si>
    <t>AAA2601015-P</t>
  </si>
  <si>
    <t>978-5-9614-6698-0</t>
  </si>
  <si>
    <t>Ярин Михаил</t>
  </si>
  <si>
    <t>Навыки выживания в дикой природе: Карманное руководство</t>
  </si>
  <si>
    <t>AAA2602013-P</t>
  </si>
  <si>
    <t>978-5-9614-8331-4</t>
  </si>
  <si>
    <t>Комиссаров Алексей</t>
  </si>
  <si>
    <t>Разрушая барьеры. Как спортивные принципы приводят к успеху в бизнесе и жизни</t>
  </si>
  <si>
    <t>PGR2511012-P</t>
  </si>
  <si>
    <t>978-5-206-00452-6</t>
  </si>
  <si>
    <t>Свет жизни: йога</t>
  </si>
  <si>
    <t>NNN2511217-P</t>
  </si>
  <si>
    <t>978-5-91671-883-6</t>
  </si>
  <si>
    <t>Бреус Майкл</t>
  </si>
  <si>
    <t>Спи, пей, дыши: Простые привычки для хорошего самочувствия</t>
  </si>
  <si>
    <t>AAA2501073-P</t>
  </si>
  <si>
    <t>978-5-0063-0433-8</t>
  </si>
  <si>
    <t>Фоменко Андрей</t>
  </si>
  <si>
    <t>Фокус на жизнь. Научный подход к продлению молодости и сохранению здоровья</t>
  </si>
  <si>
    <t>LGA2103237-P</t>
  </si>
  <si>
    <t>978-5-907394-82-7</t>
  </si>
  <si>
    <t>7.02. Мода и красота</t>
  </si>
  <si>
    <t>В предвкушении себя: От имиджа к стилю</t>
  </si>
  <si>
    <t>AAA2502329-P</t>
  </si>
  <si>
    <t>978-5-0063-0613-4</t>
  </si>
  <si>
    <t>Кичигина Раиса</t>
  </si>
  <si>
    <t>В своем стиле: Гид по осознанному выбору одежды</t>
  </si>
  <si>
    <t>AAA2012319-P</t>
  </si>
  <si>
    <t>978-5-9614-6938-7</t>
  </si>
  <si>
    <t>Ворслав Маша, Мифтахова Адэль</t>
  </si>
  <si>
    <t>Нормально о косметике: Как разобраться в уходе и макияже и не сойти с ума</t>
  </si>
  <si>
    <t>AAA2410276-P</t>
  </si>
  <si>
    <t>978-5-9614-8892-0</t>
  </si>
  <si>
    <t>Сирин София</t>
  </si>
  <si>
    <t>Плохие девочки не худеют: Как обрести свободу, внутреннюю гармонию и стройную фигуру без диет и самоограничений</t>
  </si>
  <si>
    <t>PGR2410373-P</t>
  </si>
  <si>
    <t>978-5-206-00330-7</t>
  </si>
  <si>
    <t>Ивлева Натэлла</t>
  </si>
  <si>
    <t>Эволюция образа глазами гримера: Краткий экскурс в историю макияжа и прически</t>
  </si>
  <si>
    <t>PGR2107126-P</t>
  </si>
  <si>
    <t>978-5-206-00025-2</t>
  </si>
  <si>
    <t>Васильев Александр</t>
  </si>
  <si>
    <t>Этюды о моде и стиле</t>
  </si>
  <si>
    <t>NNN2509151-P</t>
  </si>
  <si>
    <t>978-5-91671-758-7</t>
  </si>
  <si>
    <t>7.03. Все о еде</t>
  </si>
  <si>
    <t>Щекин Владимир</t>
  </si>
  <si>
    <t>Винология : Записки профессионального гурмана о лучшем из напитков и культуре его потребления</t>
  </si>
  <si>
    <t>PGR2412298-P</t>
  </si>
  <si>
    <t>978-5-206-00193-8</t>
  </si>
  <si>
    <t>Олейник Тата</t>
  </si>
  <si>
    <t>Изгнанные в сад: Пособие для неначинавших огородников</t>
  </si>
  <si>
    <t>AAA2510196-P</t>
  </si>
  <si>
    <t>978-5-9614-6891-5</t>
  </si>
  <si>
    <t>Миллер Макс, Волквейн Энн</t>
  </si>
  <si>
    <t>История на вкус: 4000 лет в рецептах и ингредиентах</t>
  </si>
  <si>
    <t>AAA2409135-P</t>
  </si>
  <si>
    <t>978-5-0063-0162-7</t>
  </si>
  <si>
    <t>Биттман Марк</t>
  </si>
  <si>
    <t>Общество поглощения: Человечество в поисках еды</t>
  </si>
  <si>
    <t>NNN2104022-P</t>
  </si>
  <si>
    <t>978-5-00139-465-5</t>
  </si>
  <si>
    <t>Гильман Елизавета</t>
  </si>
  <si>
    <t>Помирись с едой: Как забыть о диетах и перейти на интуитивное питание</t>
  </si>
  <si>
    <t>AAA2509113-P</t>
  </si>
  <si>
    <t>978-5-0063-1223-4</t>
  </si>
  <si>
    <t>Кларк Нэнси</t>
  </si>
  <si>
    <t>Спортивное питание для профессионалов и любителей. Полное руководство</t>
  </si>
  <si>
    <t>PGR2512302-P</t>
  </si>
  <si>
    <t>978-5-907394-60-5</t>
  </si>
  <si>
    <t>Макгрегор Рене</t>
  </si>
  <si>
    <t>[покет-серия] Спортивное питание: Что есть до, во время и после тренировки</t>
  </si>
  <si>
    <t>AAA2508119-P</t>
  </si>
  <si>
    <t>978-5-9614-8407-6</t>
  </si>
  <si>
    <t>Ян Давид</t>
  </si>
  <si>
    <t>Теперь я ем все, что хочу! Система питания Давида Яна</t>
  </si>
  <si>
    <t>AAA2301130-P</t>
  </si>
  <si>
    <t>978-5-9614-6388-0</t>
  </si>
  <si>
    <t>Кесоян Светлана</t>
  </si>
  <si>
    <t>Торт</t>
  </si>
  <si>
    <t>a161014</t>
  </si>
  <si>
    <t>978-5-9614-5960-9</t>
  </si>
  <si>
    <t>08. Художественная литература</t>
  </si>
  <si>
    <t>8.01. Русская классическая литература</t>
  </si>
  <si>
    <t>Анна Каренина</t>
  </si>
  <si>
    <t>AFP2601164-P</t>
  </si>
  <si>
    <t>978-5-9614-8305-5</t>
  </si>
  <si>
    <t>Бедные люди. Записки из подполья</t>
  </si>
  <si>
    <t>AAP2308186-P</t>
  </si>
  <si>
    <t>978-5-9614-9213-2</t>
  </si>
  <si>
    <t>Герцен Александр</t>
  </si>
  <si>
    <t>[в 2-х книгах] Былое и думы</t>
  </si>
  <si>
    <t>AAP2212078-P</t>
  </si>
  <si>
    <t>978-5-9614-8553-0</t>
  </si>
  <si>
    <t>Гоголь Николай</t>
  </si>
  <si>
    <t>Вечера на хуторе близ Диканьки. Миргород</t>
  </si>
  <si>
    <t>AAP2309164-P</t>
  </si>
  <si>
    <t>978-5-9614-9266-8</t>
  </si>
  <si>
    <t>[в 2-х книгах] Война и мир</t>
  </si>
  <si>
    <t>AFP2601162-P</t>
  </si>
  <si>
    <t>978-5-9614-9085-5</t>
  </si>
  <si>
    <t>Лермонтов Михаил</t>
  </si>
  <si>
    <t>Герой нашего времени</t>
  </si>
  <si>
    <t>AFP2503039-P</t>
  </si>
  <si>
    <t>978-5-9614-8297-3</t>
  </si>
  <si>
    <t>Грибоедов Александр</t>
  </si>
  <si>
    <t>Горе от ума. Студент. Молодые супруги</t>
  </si>
  <si>
    <t>AAP2309117-P</t>
  </si>
  <si>
    <t>978-5-9614-9251-4</t>
  </si>
  <si>
    <t>Чехов Антон</t>
  </si>
  <si>
    <t>Дама с собачкой. Рассказы и повести</t>
  </si>
  <si>
    <t>AAP2308159-P</t>
  </si>
  <si>
    <t>978-5-9614-9198-2</t>
  </si>
  <si>
    <t>Ильф Илья, Петров Евгений</t>
  </si>
  <si>
    <t>Двенадцать стульев</t>
  </si>
  <si>
    <t>AFP2601168-P</t>
  </si>
  <si>
    <t>978-5-9614-8479-3</t>
  </si>
  <si>
    <t>Демон. Поэмы</t>
  </si>
  <si>
    <t>AAP2309109-P</t>
  </si>
  <si>
    <t>978-5-9614-9247-7</t>
  </si>
  <si>
    <t>Евгений Онегин. Повести покойного Ивана Петровича Белкина. Пиковая дама</t>
  </si>
  <si>
    <t>AFP2503034-P</t>
  </si>
  <si>
    <t>978-5-9614-8610-0</t>
  </si>
  <si>
    <t>Бунин Иван</t>
  </si>
  <si>
    <t>Жизнь Арсеньева</t>
  </si>
  <si>
    <t>AAP2308187-P</t>
  </si>
  <si>
    <t>978-5-9614-9214-9</t>
  </si>
  <si>
    <t>Петров Аввакум, Робинсон Андрей</t>
  </si>
  <si>
    <t>Житие протопопа Аввакума</t>
  </si>
  <si>
    <t>AFP2212075-P</t>
  </si>
  <si>
    <t>978-5-9614-8550-9</t>
  </si>
  <si>
    <t>Тэффи Надежда</t>
  </si>
  <si>
    <t>Забытая Тэффи: О «Титанике», кометах, гадалках, весне и конце света</t>
  </si>
  <si>
    <t>NFP2604097-P</t>
  </si>
  <si>
    <t>978-5-00223-281-9</t>
  </si>
  <si>
    <t>Записки охотника</t>
  </si>
  <si>
    <t>AAP2305138-P</t>
  </si>
  <si>
    <t>978-5-9614-8997-2</t>
  </si>
  <si>
    <t>Золотой теленок</t>
  </si>
  <si>
    <t>AAP2302031-P</t>
  </si>
  <si>
    <t>978-5-9614-8666-7</t>
  </si>
  <si>
    <t>Идиот</t>
  </si>
  <si>
    <t>AFP2412112-P</t>
  </si>
  <si>
    <t>978-5-9614-8527-1</t>
  </si>
  <si>
    <t>История одного города</t>
  </si>
  <si>
    <t>AAA2211266-P</t>
  </si>
  <si>
    <t>978-5-9614-8509-7</t>
  </si>
  <si>
    <t>Вагинов Константин</t>
  </si>
  <si>
    <t>Козлиная песнь</t>
  </si>
  <si>
    <t>AAP2308157-P</t>
  </si>
  <si>
    <t>978-5-9614-9196-8</t>
  </si>
  <si>
    <t>Бабель Исаак</t>
  </si>
  <si>
    <t>Конармия. Одесские рассказы</t>
  </si>
  <si>
    <t>AAP2210014-P</t>
  </si>
  <si>
    <t>978-5-9614-8359-8</t>
  </si>
  <si>
    <t>Крейцерова соната. Смерть Ивана Ильича. Хаджи-Мурат</t>
  </si>
  <si>
    <t>AAP2309111-P</t>
  </si>
  <si>
    <t>978-5-9614-9249-1</t>
  </si>
  <si>
    <t>Мастер и Маргарита</t>
  </si>
  <si>
    <t>AFP2310038-P</t>
  </si>
  <si>
    <t>978-5-9614-8358-1</t>
  </si>
  <si>
    <t>Медный всадник. Поэмы</t>
  </si>
  <si>
    <t>AAP2307153-P</t>
  </si>
  <si>
    <t>978-5-9614-9134-0</t>
  </si>
  <si>
    <t>Мертвые души</t>
  </si>
  <si>
    <t>AFP2601171-P</t>
  </si>
  <si>
    <t>978-5-9614-8301-7</t>
  </si>
  <si>
    <t>Замятин Евгений</t>
  </si>
  <si>
    <t>Мы</t>
  </si>
  <si>
    <t>AFP2503038-P</t>
  </si>
  <si>
    <t>978-5-9614-8298-0</t>
  </si>
  <si>
    <t xml:space="preserve"> Газданов Гайто</t>
  </si>
  <si>
    <t>Ночные дороги. Возвращение. Будды Великий музыкант [сборник]</t>
  </si>
  <si>
    <t>NFP2512222-P</t>
  </si>
  <si>
    <t>978-5-00223-273-4</t>
  </si>
  <si>
    <t>Гончаров Иван</t>
  </si>
  <si>
    <t>Обломов</t>
  </si>
  <si>
    <t>AFP2503020-P</t>
  </si>
  <si>
    <t>978-5-9614-8302-4</t>
  </si>
  <si>
    <t>Окаянные дни</t>
  </si>
  <si>
    <t>AAP2308168-P</t>
  </si>
  <si>
    <t>978-5-9614-9207-1</t>
  </si>
  <si>
    <t>Розанов Василий</t>
  </si>
  <si>
    <t>Опавшие листья</t>
  </si>
  <si>
    <t>AAP2211268-P</t>
  </si>
  <si>
    <t>978-5-9614-8511-0</t>
  </si>
  <si>
    <t>Отцы и дети</t>
  </si>
  <si>
    <t>AFP2502192-P</t>
  </si>
  <si>
    <t>978-5-9614-8507-3</t>
  </si>
  <si>
    <t>Белый Андрей</t>
  </si>
  <si>
    <t>Петербург</t>
  </si>
  <si>
    <t>AFP2503036-P</t>
  </si>
  <si>
    <t>978-5-9614-8365-9</t>
  </si>
  <si>
    <t>Петербургские повести</t>
  </si>
  <si>
    <t>AAP2305137-P</t>
  </si>
  <si>
    <t>978-5-9614-8996-5</t>
  </si>
  <si>
    <t>Преступление и наказание</t>
  </si>
  <si>
    <t>AFP2412017-P</t>
  </si>
  <si>
    <t>978-5-9614-8485-4</t>
  </si>
  <si>
    <t>Радищев Александр</t>
  </si>
  <si>
    <t>Путешествие из Петербурга в Москву</t>
  </si>
  <si>
    <t>AAP2301045-P</t>
  </si>
  <si>
    <t>978-5-9614-8609-4</t>
  </si>
  <si>
    <t>Севастопольские рассказы. Казаки</t>
  </si>
  <si>
    <t>AAP2309110-P</t>
  </si>
  <si>
    <t>978-5-9614-9248-4</t>
  </si>
  <si>
    <t>Соборяне</t>
  </si>
  <si>
    <t>AFP2309177-P</t>
  </si>
  <si>
    <t>978-5-9614-9209-5</t>
  </si>
  <si>
    <t>Темные аллеи</t>
  </si>
  <si>
    <t>AAP2308158-P</t>
  </si>
  <si>
    <t>978-5-9614-9197-5</t>
  </si>
  <si>
    <t>Чайка. Три сестры. Вишневый сад</t>
  </si>
  <si>
    <t>AFP2412016-P</t>
  </si>
  <si>
    <t>978-5-9614-8508-0</t>
  </si>
  <si>
    <t>Читательский билет: Литературное путешествие по миру отечественных буквоедов, книготорговцев и библиофилов</t>
  </si>
  <si>
    <t>NNP2502172-P</t>
  </si>
  <si>
    <t>978-5-00223-368-7</t>
  </si>
  <si>
    <t>8.02. Русская современная проза</t>
  </si>
  <si>
    <t xml:space="preserve">[покет-серия]  Сердце пармы</t>
  </si>
  <si>
    <t>NNP2411080-P</t>
  </si>
  <si>
    <t>978-5-00139-949-0</t>
  </si>
  <si>
    <t>Проза в кармане</t>
  </si>
  <si>
    <t>Пепперштейн Павел, Ануфриев Сергей</t>
  </si>
  <si>
    <t>[2 тома] Мифогенная любовь каст</t>
  </si>
  <si>
    <t>NNP2112192-P</t>
  </si>
  <si>
    <t>978-5-00139-652-9</t>
  </si>
  <si>
    <t>Овчинникова Евгения</t>
  </si>
  <si>
    <t>220 метров</t>
  </si>
  <si>
    <t>NFP2603049-P</t>
  </si>
  <si>
    <t>978-5-00223-560-5</t>
  </si>
  <si>
    <t>316, пункт "В"</t>
  </si>
  <si>
    <t>NNP2111310-P</t>
  </si>
  <si>
    <t>978-5-00139-632-1</t>
  </si>
  <si>
    <t>Закрученко Мария</t>
  </si>
  <si>
    <t>Bookship. Последний книжный магазин во Вселенной</t>
  </si>
  <si>
    <t>NFP2509136-P</t>
  </si>
  <si>
    <t>978-5-00223-576-6</t>
  </si>
  <si>
    <t>Анабарская сказка</t>
  </si>
  <si>
    <t>NFP2511370-P</t>
  </si>
  <si>
    <t>978-5-00223-868-2</t>
  </si>
  <si>
    <t>Пепперштейн Павел</t>
  </si>
  <si>
    <t>Бархатная кибитка</t>
  </si>
  <si>
    <t>NNP2201184-P</t>
  </si>
  <si>
    <t>978-5-00139-671-0</t>
  </si>
  <si>
    <t>Джафаров Рагим</t>
  </si>
  <si>
    <t>Башня тишины</t>
  </si>
  <si>
    <t>NNP2501186-P</t>
  </si>
  <si>
    <t>978-5-00223-463-9</t>
  </si>
  <si>
    <t>Блуда и МУДО</t>
  </si>
  <si>
    <t>NFP2601064-P</t>
  </si>
  <si>
    <t>978-5-00139-502-7</t>
  </si>
  <si>
    <t>[покет-серия] Блуда и МУДО</t>
  </si>
  <si>
    <t>NNP2307049-P</t>
  </si>
  <si>
    <t>978-5-00223-090-7</t>
  </si>
  <si>
    <t>Мамлеев Юрий</t>
  </si>
  <si>
    <t>Блуждающее время</t>
  </si>
  <si>
    <t>NNP2103081-P</t>
  </si>
  <si>
    <t>978-5-00139-474-7</t>
  </si>
  <si>
    <t>Большая Суета</t>
  </si>
  <si>
    <t>NFP2512167-P</t>
  </si>
  <si>
    <t>978-5-00139-766-3</t>
  </si>
  <si>
    <t>[покет-серия] Большая Суета</t>
  </si>
  <si>
    <t>NNP2307007-P</t>
  </si>
  <si>
    <t>978-5-00223-080-8</t>
  </si>
  <si>
    <t>Яковлева Юлия</t>
  </si>
  <si>
    <t>Бретёр</t>
  </si>
  <si>
    <t>NNP2310071-P</t>
  </si>
  <si>
    <t>978-5-00139-990-2</t>
  </si>
  <si>
    <t>Исторический детектив</t>
  </si>
  <si>
    <t>Идиатуллин Шамиль</t>
  </si>
  <si>
    <t>Бывшая Ленина</t>
  </si>
  <si>
    <t>NFP2503072-P</t>
  </si>
  <si>
    <t>978-5-00223-613-8</t>
  </si>
  <si>
    <t>Валсарб</t>
  </si>
  <si>
    <t>NNP2505135-P</t>
  </si>
  <si>
    <t>978-5-00139-888-2</t>
  </si>
  <si>
    <t>Вдруг охотник выбегает</t>
  </si>
  <si>
    <t>NNP2303081-P</t>
  </si>
  <si>
    <t>978-5-00223-087-7</t>
  </si>
  <si>
    <t>Вегетация</t>
  </si>
  <si>
    <t>NNP2412083-P</t>
  </si>
  <si>
    <t>978-5-00223-453-0</t>
  </si>
  <si>
    <t>Великая мечта</t>
  </si>
  <si>
    <t>NFP2506166-P</t>
  </si>
  <si>
    <t>978-5-00223-701-2</t>
  </si>
  <si>
    <t>Манойло Екатерина</t>
  </si>
  <si>
    <t>Ветер уносит мертвые листья</t>
  </si>
  <si>
    <t>NNP2411096-P</t>
  </si>
  <si>
    <t>978-5-00223-042-6</t>
  </si>
  <si>
    <t>Кириллова Оксана</t>
  </si>
  <si>
    <t>Виланд</t>
  </si>
  <si>
    <t>NFP2601062-P</t>
  </si>
  <si>
    <t>978-5-00223-073-0</t>
  </si>
  <si>
    <t>Кремчуков Евгений</t>
  </si>
  <si>
    <t>Волшебный хор</t>
  </si>
  <si>
    <t>NNP2403047-P</t>
  </si>
  <si>
    <t>978-5-00139-796-0</t>
  </si>
  <si>
    <t>Воля вольная</t>
  </si>
  <si>
    <t>NFP2605080-P</t>
  </si>
  <si>
    <t>978-5-00139-737-3</t>
  </si>
  <si>
    <t>Подковенко Илья</t>
  </si>
  <si>
    <t>Вост-Сибирград</t>
  </si>
  <si>
    <t>NFP2506081-P</t>
  </si>
  <si>
    <t>978-5-00223-692-3</t>
  </si>
  <si>
    <t>Попова Елена</t>
  </si>
  <si>
    <t>Восьмидесятый градус</t>
  </si>
  <si>
    <t>NNP2311083-P</t>
  </si>
  <si>
    <t>978-5-00223-217-8</t>
  </si>
  <si>
    <t>Минкина-Тайчер Елена</t>
  </si>
  <si>
    <t>Время обнимать</t>
  </si>
  <si>
    <t>NFP2511011-P</t>
  </si>
  <si>
    <t>978-5-00223-828-6</t>
  </si>
  <si>
    <t>Всё как у людей</t>
  </si>
  <si>
    <t>NFP2503117-P</t>
  </si>
  <si>
    <t>978-5-00223-625-1</t>
  </si>
  <si>
    <t>Андреев Коля</t>
  </si>
  <si>
    <t>Всклянь</t>
  </si>
  <si>
    <t>NFP2505089-P</t>
  </si>
  <si>
    <t>978-5-00223-671-8</t>
  </si>
  <si>
    <t>Гритт Марго</t>
  </si>
  <si>
    <t>Вторжение</t>
  </si>
  <si>
    <t>NNP2206157-P</t>
  </si>
  <si>
    <t>978-5-00139-774-8</t>
  </si>
  <si>
    <t>Географ глобус пропил</t>
  </si>
  <si>
    <t>NFP2511298-P</t>
  </si>
  <si>
    <t>978-5-00139-503-4</t>
  </si>
  <si>
    <t>[покет-серия] Географ глобус пропил</t>
  </si>
  <si>
    <t>NFP2511271-P</t>
  </si>
  <si>
    <t>978-5-00139-948-3</t>
  </si>
  <si>
    <t>Декабрев Рома</t>
  </si>
  <si>
    <t>Гнездо синицы</t>
  </si>
  <si>
    <t>NNP2210105-P</t>
  </si>
  <si>
    <t>978-5-00139-863-9</t>
  </si>
  <si>
    <t>Богатырёва Татьяна</t>
  </si>
  <si>
    <t>Говори</t>
  </si>
  <si>
    <t>NNP2309251-P</t>
  </si>
  <si>
    <t>978-5-00223-151-5</t>
  </si>
  <si>
    <t>Лукьянов Дмитрий</t>
  </si>
  <si>
    <t>Год в Чувашии</t>
  </si>
  <si>
    <t>NNP2404170-P</t>
  </si>
  <si>
    <t>978-5-00223-358-8</t>
  </si>
  <si>
    <t>Ракова Елизавета</t>
  </si>
  <si>
    <t>Год Черной Обезьяны</t>
  </si>
  <si>
    <t>NFP2510145-P</t>
  </si>
  <si>
    <t>978-5-00223-531-5</t>
  </si>
  <si>
    <t>Бакирова Наталья</t>
  </si>
  <si>
    <t>Дальний Лог: Уральские рассказы</t>
  </si>
  <si>
    <t>NNP2404048-P</t>
  </si>
  <si>
    <t>978-5-00223-338-0</t>
  </si>
  <si>
    <t>Клиновская Айгуль</t>
  </si>
  <si>
    <t>Дата С. Когда жизнь начинается заново</t>
  </si>
  <si>
    <t>ZGR2404177-P</t>
  </si>
  <si>
    <t>978-601-81159-1-2</t>
  </si>
  <si>
    <t>Буржская Ксения</t>
  </si>
  <si>
    <t>Дегустация</t>
  </si>
  <si>
    <t>NFP2601158-P</t>
  </si>
  <si>
    <t>978-5-00223-922-1</t>
  </si>
  <si>
    <t>Воронцов Эльдар</t>
  </si>
  <si>
    <t>Дело было в Алматы, или Алмазные двери</t>
  </si>
  <si>
    <t>ZGZ2502011-P</t>
  </si>
  <si>
    <t>978-601-82102-8-0</t>
  </si>
  <si>
    <t xml:space="preserve"> Ливенцов Александр</t>
  </si>
  <si>
    <t>День поперек недели</t>
  </si>
  <si>
    <t>NFP2510120-P</t>
  </si>
  <si>
    <t>978-5-00223-809-5</t>
  </si>
  <si>
    <t>Харт Уна</t>
  </si>
  <si>
    <t>Дети в гараже моего папы</t>
  </si>
  <si>
    <t>NNP2405022-P</t>
  </si>
  <si>
    <t>978-5-00223-171-3</t>
  </si>
  <si>
    <t>Дисгардиум. Книга 1 : «Угроза» А-класса</t>
  </si>
  <si>
    <t>ZGZ2503067-P</t>
  </si>
  <si>
    <t>978-601-82253-9-0</t>
  </si>
  <si>
    <t>Дисгардиум. Книга 10 : Явная угроза</t>
  </si>
  <si>
    <t>ZGZ2508052-P</t>
  </si>
  <si>
    <t>978-601-82322-9-9</t>
  </si>
  <si>
    <t>Дисгардиум. Книга 11 : Вне игры</t>
  </si>
  <si>
    <t>ZGZ2603199-P</t>
  </si>
  <si>
    <t>978-601-82338-2-1</t>
  </si>
  <si>
    <t>Дисгардиум. Книга 12 : Единство</t>
  </si>
  <si>
    <t>ZGZ2603202-P</t>
  </si>
  <si>
    <t>978-601-82338-4-5</t>
  </si>
  <si>
    <t>Дисгардиум. Книга 2 : Инициал Спящих</t>
  </si>
  <si>
    <t>ZGZ2504074-P</t>
  </si>
  <si>
    <t>978-601-82279-4-3</t>
  </si>
  <si>
    <t>Дисгардиум. Книга 3 : Чумной мор</t>
  </si>
  <si>
    <t>ZGZ2504075-P</t>
  </si>
  <si>
    <t>978-601-82279-9-8</t>
  </si>
  <si>
    <t>Дисгардиум. Книга 4 : Призыв Нергала</t>
  </si>
  <si>
    <t>ZGZ2504076-P</t>
  </si>
  <si>
    <t>978-601-82279-7-4</t>
  </si>
  <si>
    <t>Дисгардиум. Книга 5 : Священная война</t>
  </si>
  <si>
    <t>ZGZ2504077-P</t>
  </si>
  <si>
    <t>978-601-82305-4-7</t>
  </si>
  <si>
    <t>Дисгардиум. Книга 6 : Путь духа</t>
  </si>
  <si>
    <t>ZGZ2504083-P</t>
  </si>
  <si>
    <t>978-601-82305-8-5</t>
  </si>
  <si>
    <t>Дисгардиум. Книга 7 : Демонические игры</t>
  </si>
  <si>
    <t>ZGZ2504085-P</t>
  </si>
  <si>
    <t>978-601-82322-2-0</t>
  </si>
  <si>
    <t>Дисгардиум. Книга 8 : Враг Преисподней</t>
  </si>
  <si>
    <t>ZGZ2505001-P</t>
  </si>
  <si>
    <t>978-601-82322-0-6</t>
  </si>
  <si>
    <t>Дисгардиум. Книга 9 : Во славу доминиона!</t>
  </si>
  <si>
    <t>ZGZ2503069-P</t>
  </si>
  <si>
    <t>978-601-82279-1-2</t>
  </si>
  <si>
    <t>Другие ноты</t>
  </si>
  <si>
    <t>NNP2311079-P</t>
  </si>
  <si>
    <t>978-5-00223-300-7</t>
  </si>
  <si>
    <t>Другой</t>
  </si>
  <si>
    <t>NNP2103210-P</t>
  </si>
  <si>
    <t>978-5-00139-554-6</t>
  </si>
  <si>
    <t>[обложка] Его последние дни</t>
  </si>
  <si>
    <t>NNP2311085-P</t>
  </si>
  <si>
    <t>978-5-00223-218-5</t>
  </si>
  <si>
    <t>Мыңбай Унзила</t>
  </si>
  <si>
    <t>Женщины моего дома</t>
  </si>
  <si>
    <t>ZGZ2605189-P</t>
  </si>
  <si>
    <t>978-601-82230-7-5</t>
  </si>
  <si>
    <t>Заххок</t>
  </si>
  <si>
    <t>NNP2411092-P</t>
  </si>
  <si>
    <t>978-5-00223-154-6</t>
  </si>
  <si>
    <t>Золото бунта</t>
  </si>
  <si>
    <t>NFP2511272-P</t>
  </si>
  <si>
    <t>978-5-00139-504-1</t>
  </si>
  <si>
    <t>[покет-серия] Золото бунта</t>
  </si>
  <si>
    <t>NNP2410088-P</t>
  </si>
  <si>
    <t>978-5-00223-091-4</t>
  </si>
  <si>
    <t>Золотой мальчик</t>
  </si>
  <si>
    <t>NNP2501215-P</t>
  </si>
  <si>
    <t>978-5-00223-562-9</t>
  </si>
  <si>
    <t>Инспекция. Число Ревекки</t>
  </si>
  <si>
    <t>NNP2501289-P</t>
  </si>
  <si>
    <t>978-5-00223-270-3</t>
  </si>
  <si>
    <t>Иличевский Александр</t>
  </si>
  <si>
    <t>Исландия</t>
  </si>
  <si>
    <t>NNP2103231-P</t>
  </si>
  <si>
    <t>978-5-00139-518-8</t>
  </si>
  <si>
    <t>Исход</t>
  </si>
  <si>
    <t>NNP2502286-P</t>
  </si>
  <si>
    <t>978-5-00223-411-0</t>
  </si>
  <si>
    <t>Йод</t>
  </si>
  <si>
    <t>NFP2506229-P</t>
  </si>
  <si>
    <t>978-5-00223-713-5</t>
  </si>
  <si>
    <t>Шалашова Александра</t>
  </si>
  <si>
    <t>Как тебя зовут</t>
  </si>
  <si>
    <t>NNP2411150-P</t>
  </si>
  <si>
    <t>978-5-00223-522-3</t>
  </si>
  <si>
    <t>Шмараков Роман</t>
  </si>
  <si>
    <t>Каллиопа, дерево, Кориск</t>
  </si>
  <si>
    <t>NNP2407232-P</t>
  </si>
  <si>
    <t>978-5-00223-441-7</t>
  </si>
  <si>
    <t>Камни поют</t>
  </si>
  <si>
    <t>NNP2302118-P</t>
  </si>
  <si>
    <t>978-5-00139-983-4</t>
  </si>
  <si>
    <t>Картина Сархана</t>
  </si>
  <si>
    <t>NFP2302116-P</t>
  </si>
  <si>
    <t>978-5-00139-982-7</t>
  </si>
  <si>
    <t>Кетанда</t>
  </si>
  <si>
    <t>NNP2503089-P</t>
  </si>
  <si>
    <t>978-5-00223-620-6</t>
  </si>
  <si>
    <t>Захаров Дмитрий</t>
  </si>
  <si>
    <t>Кластер</t>
  </si>
  <si>
    <t>NNP2403235-P</t>
  </si>
  <si>
    <t>978-5-00223-324-3</t>
  </si>
  <si>
    <t>Книга мёртвых — 2. Некрологи</t>
  </si>
  <si>
    <t>NNP2211153-P</t>
  </si>
  <si>
    <t>978-5-00139-915-5</t>
  </si>
  <si>
    <t>Когда запоют мертвецы. Жизнь и приключения пастора и чернокнижника Эйрика Магнуссона</t>
  </si>
  <si>
    <t>NNP2411149-P</t>
  </si>
  <si>
    <t>978-5-00223-521-6</t>
  </si>
  <si>
    <t>Секисов Антон</t>
  </si>
  <si>
    <t>Комната Вагинова</t>
  </si>
  <si>
    <t>NFP2601133-P</t>
  </si>
  <si>
    <t>978-5-00223-060-0</t>
  </si>
  <si>
    <t>[покет-серия] Комьюнити</t>
  </si>
  <si>
    <t>NNP2311233-P</t>
  </si>
  <si>
    <t>978-5-00223-230-7</t>
  </si>
  <si>
    <t>Петрушевская Людмила</t>
  </si>
  <si>
    <t>Королева Лир. Чудесные истории</t>
  </si>
  <si>
    <t>NNP2111004-P</t>
  </si>
  <si>
    <t>978-5-00139-612-3</t>
  </si>
  <si>
    <t>Кошки-мышки</t>
  </si>
  <si>
    <t>NNP2504157-P</t>
  </si>
  <si>
    <t>978-5-00223-660-2</t>
  </si>
  <si>
    <t>Птицева Ольга</t>
  </si>
  <si>
    <t>Край чудес</t>
  </si>
  <si>
    <t>NNP2412216-P</t>
  </si>
  <si>
    <t>978-5-00223-420-2</t>
  </si>
  <si>
    <t>Красные блокноты Кристины</t>
  </si>
  <si>
    <t>NNP2305034-P</t>
  </si>
  <si>
    <t>978-5-00223-044-0</t>
  </si>
  <si>
    <t>Баснер Анна</t>
  </si>
  <si>
    <t>Круг, петля, спираль</t>
  </si>
  <si>
    <t>NNP2501226-P</t>
  </si>
  <si>
    <t>978-5-00223-564-3</t>
  </si>
  <si>
    <t>Крылья ужаса</t>
  </si>
  <si>
    <t>NNP2103209-P</t>
  </si>
  <si>
    <t>978-5-00139-555-3</t>
  </si>
  <si>
    <t>Курорт</t>
  </si>
  <si>
    <t>NNP2403146-P</t>
  </si>
  <si>
    <t>978-5-00223-310-6</t>
  </si>
  <si>
    <t>Олейников Алексей</t>
  </si>
  <si>
    <t>Легкое дыхание</t>
  </si>
  <si>
    <t>NNP2501187-P</t>
  </si>
  <si>
    <t>978-5-00223-098-3</t>
  </si>
  <si>
    <t>Летоисчисление от Иоанна</t>
  </si>
  <si>
    <t>NNP2201121-P</t>
  </si>
  <si>
    <t>978-5-00139-701-4</t>
  </si>
  <si>
    <t>[покет-серия] Летоисчисление от Иоанна</t>
  </si>
  <si>
    <t>NNP2307149-P</t>
  </si>
  <si>
    <t>978-5-00223-108-9</t>
  </si>
  <si>
    <t>Литораль</t>
  </si>
  <si>
    <t>NNP2404027-P</t>
  </si>
  <si>
    <t>978-5-00223-334-2</t>
  </si>
  <si>
    <t>Марк и Эзра 2.0</t>
  </si>
  <si>
    <t>NNP2408050-P</t>
  </si>
  <si>
    <t>978-5-00139-707-6</t>
  </si>
  <si>
    <t>Омар Мария</t>
  </si>
  <si>
    <t>Мёд и немного полыни</t>
  </si>
  <si>
    <t>ZGZ2511155-P</t>
  </si>
  <si>
    <t>978-601-7147-82-2</t>
  </si>
  <si>
    <t xml:space="preserve">Яковлева Юлия, Ханипаев Ислам, Сальников Алексей, Джафаров Рагим, Побяржина Хелена, Шалашова Александра, Благова Даша, Буржская Ксения, Матвеева Анна,  Толстая Татьяна , Вагнер Яна, Гритт Марго, Захаров Дмитрий, Некрасова  Евгения, Идиатуллин Шамиль</t>
  </si>
  <si>
    <t>Механическое вмешательство. 15 рассказов, написанных вместе с Алисой на YandexGPT</t>
  </si>
  <si>
    <t>NNP2403008-P</t>
  </si>
  <si>
    <t>978-5-00223-296-3</t>
  </si>
  <si>
    <t>Мир и хохот</t>
  </si>
  <si>
    <t>NNP2103080-P</t>
  </si>
  <si>
    <t>978-5-00139-473-0</t>
  </si>
  <si>
    <t>Мировая</t>
  </si>
  <si>
    <t>NNP2407226-P</t>
  </si>
  <si>
    <t>978-5-91671-973-4</t>
  </si>
  <si>
    <t>Мортал комбат и другие 90-е</t>
  </si>
  <si>
    <t>NFP2508080-P</t>
  </si>
  <si>
    <t>978-5-00223-763-0</t>
  </si>
  <si>
    <t>Москва майская</t>
  </si>
  <si>
    <t>NFP2602094-P</t>
  </si>
  <si>
    <t>978-5-00223-607-7</t>
  </si>
  <si>
    <t>[обложка] Москва майская</t>
  </si>
  <si>
    <t>NNP2506138-P</t>
  </si>
  <si>
    <t>978-5-00223-608-4</t>
  </si>
  <si>
    <t>Лимонов. Избранное</t>
  </si>
  <si>
    <t xml:space="preserve"> Маиловская Кристина</t>
  </si>
  <si>
    <t>На улице Дыбенко</t>
  </si>
  <si>
    <t>NFP2602042-P</t>
  </si>
  <si>
    <t>978-5-00223-267-3</t>
  </si>
  <si>
    <t>На этом свете: Рассказы</t>
  </si>
  <si>
    <t>NNP2204166-P</t>
  </si>
  <si>
    <t>978-5-00139-734-2</t>
  </si>
  <si>
    <t>[покет-серия] На этом свете: Рассказы</t>
  </si>
  <si>
    <t>NNP2311030-P</t>
  </si>
  <si>
    <t>978-5-00223-207-9</t>
  </si>
  <si>
    <t>Нашествие</t>
  </si>
  <si>
    <t>NNP2204162-P</t>
  </si>
  <si>
    <t>978-5-00139-731-1</t>
  </si>
  <si>
    <t>[покет-серия] Нашествие</t>
  </si>
  <si>
    <t>NNP2303218-P</t>
  </si>
  <si>
    <t>978-5-00223-007-5</t>
  </si>
  <si>
    <t>Белодед Игорь</t>
  </si>
  <si>
    <t>Не говори о нём. Повести</t>
  </si>
  <si>
    <t>NFP2209043-P</t>
  </si>
  <si>
    <t>978-5-00139-842-4</t>
  </si>
  <si>
    <t>Небо в алмазах</t>
  </si>
  <si>
    <t>NNP2303083-P</t>
  </si>
  <si>
    <t>978-5-91671-359-6</t>
  </si>
  <si>
    <t>Ненастье</t>
  </si>
  <si>
    <t>NNP2505150-P</t>
  </si>
  <si>
    <t>978-5-00139-702-1</t>
  </si>
  <si>
    <t>[покет-серия] Ненастье</t>
  </si>
  <si>
    <t>NNP2307145-P</t>
  </si>
  <si>
    <t>978-5-00223-095-2</t>
  </si>
  <si>
    <t>Ронжина Маргарита</t>
  </si>
  <si>
    <t>Непокои</t>
  </si>
  <si>
    <t>NNP2407049-P</t>
  </si>
  <si>
    <t>978-5-00223-410-3</t>
  </si>
  <si>
    <t>Золотова Дарья</t>
  </si>
  <si>
    <t>Ночь между июлем и августом</t>
  </si>
  <si>
    <t>NNP2407051-P</t>
  </si>
  <si>
    <t>978-5-00223-412-7</t>
  </si>
  <si>
    <t>Общага-на-Крови</t>
  </si>
  <si>
    <t>NNP2106105-P</t>
  </si>
  <si>
    <t>978-5-00139-516-4</t>
  </si>
  <si>
    <t>Мещанинова Наталия</t>
  </si>
  <si>
    <t>Один маленький ночной секрет</t>
  </si>
  <si>
    <t>NNP2309256-P</t>
  </si>
  <si>
    <t>978-5-00223-156-0</t>
  </si>
  <si>
    <t>Одинокое путешествие накануне зимы</t>
  </si>
  <si>
    <t>NFP2604224-P</t>
  </si>
  <si>
    <t>978-5-00139-736-6</t>
  </si>
  <si>
    <t>Одиночка</t>
  </si>
  <si>
    <t>NNP2211128-P</t>
  </si>
  <si>
    <t>978-5-00139-913-1</t>
  </si>
  <si>
    <t>Отрошенко Владислав</t>
  </si>
  <si>
    <t>Околицы Вавилона</t>
  </si>
  <si>
    <t>NNP2308048-P</t>
  </si>
  <si>
    <t>978-5-00139-733-5</t>
  </si>
  <si>
    <t>Логинов Майк</t>
  </si>
  <si>
    <t>Операция "Барбадосса"</t>
  </si>
  <si>
    <t>NFP2509005-P</t>
  </si>
  <si>
    <t>978-5-00223-770-8</t>
  </si>
  <si>
    <t>Остановка грачей по пути на юг</t>
  </si>
  <si>
    <t>NNP2411194-P</t>
  </si>
  <si>
    <t>978-5-00223-530-8</t>
  </si>
  <si>
    <t>Павлова Анна</t>
  </si>
  <si>
    <t>Острые</t>
  </si>
  <si>
    <t>NNP2408043-P</t>
  </si>
  <si>
    <t>978-5-00223-457-8</t>
  </si>
  <si>
    <t>Отец смотрит на запад</t>
  </si>
  <si>
    <t>NNP2412079-P</t>
  </si>
  <si>
    <t>978-5-00139-732-8</t>
  </si>
  <si>
    <t>[покет-серия] Отец смотрит на запад</t>
  </si>
  <si>
    <t>NNP2310001-P</t>
  </si>
  <si>
    <t>978-5-00223-160-7</t>
  </si>
  <si>
    <t xml:space="preserve"> Султан Алтынай</t>
  </si>
  <si>
    <t>Отслойка</t>
  </si>
  <si>
    <t>NNP2312220-P</t>
  </si>
  <si>
    <t>978-5-00223-249-9</t>
  </si>
  <si>
    <t>Костин Сергей</t>
  </si>
  <si>
    <t>Пако Аррайя. Афганская бессонница</t>
  </si>
  <si>
    <t>NFP2504189-P</t>
  </si>
  <si>
    <t>978-5-00223-662-6</t>
  </si>
  <si>
    <t>Секретный агент</t>
  </si>
  <si>
    <t>Пако Аррайя. В Париж на выходные</t>
  </si>
  <si>
    <t>NFP2504079-P</t>
  </si>
  <si>
    <t>978-5-00223-648-0</t>
  </si>
  <si>
    <t>Пако Аррайя. По ту сторону пруда - 1. Туман Лондонистана</t>
  </si>
  <si>
    <t>NFP2506226-P</t>
  </si>
  <si>
    <t>978-5-00223-710-4</t>
  </si>
  <si>
    <t>Пако Аррайя. По ту сторону пруда - 2 . Страстная неделя</t>
  </si>
  <si>
    <t>NFP2506171-P</t>
  </si>
  <si>
    <t>978-5-00223-703-6</t>
  </si>
  <si>
    <t>Пако Аррайя. Рам-Рам</t>
  </si>
  <si>
    <t>NFP2504128-P</t>
  </si>
  <si>
    <t>978-5-00223-654-1</t>
  </si>
  <si>
    <t>Пако Аррайя. Смерть белой мыши</t>
  </si>
  <si>
    <t>NFP2505104-P</t>
  </si>
  <si>
    <t>978-5-00223-677-0</t>
  </si>
  <si>
    <t>Парадокс Тесея</t>
  </si>
  <si>
    <t>NFP2507292-P</t>
  </si>
  <si>
    <t>978-5-00223-232-1</t>
  </si>
  <si>
    <t>Песнь о Сиде</t>
  </si>
  <si>
    <t>NNP2311232-P</t>
  </si>
  <si>
    <t>978-5-00223-229-1</t>
  </si>
  <si>
    <t>Нижельская Ольга</t>
  </si>
  <si>
    <t>Пианисты</t>
  </si>
  <si>
    <t>NNP2401077-P</t>
  </si>
  <si>
    <t>978-5-00223-257-4</t>
  </si>
  <si>
    <t>Климова Таня</t>
  </si>
  <si>
    <t>Письма к отцу</t>
  </si>
  <si>
    <t>NNP2312145-P</t>
  </si>
  <si>
    <t>978-5-00223-244-4</t>
  </si>
  <si>
    <t>Козлова Елена</t>
  </si>
  <si>
    <t>Плутон меняет знак</t>
  </si>
  <si>
    <t>NFP2505103-P</t>
  </si>
  <si>
    <t>978-5-00223-676-3</t>
  </si>
  <si>
    <t>Элтанг Лена</t>
  </si>
  <si>
    <t>Побег куманики</t>
  </si>
  <si>
    <t>NNP2206158-P</t>
  </si>
  <si>
    <t>978-5-00139-775-5</t>
  </si>
  <si>
    <t>Харитонова Ольга</t>
  </si>
  <si>
    <t>Погрязание</t>
  </si>
  <si>
    <t>NFP2505202-P</t>
  </si>
  <si>
    <t>978-5-00223-682-4</t>
  </si>
  <si>
    <t>Демишкевич Ася</t>
  </si>
  <si>
    <t>Под рекой</t>
  </si>
  <si>
    <t>NFP2601218-P</t>
  </si>
  <si>
    <t>978-5-00223-152-2</t>
  </si>
  <si>
    <t>Под синим солнцем</t>
  </si>
  <si>
    <t>NNP2406176-P</t>
  </si>
  <si>
    <t>978-5-00223-404-2</t>
  </si>
  <si>
    <t>После конца</t>
  </si>
  <si>
    <t>NFP2303080-P</t>
  </si>
  <si>
    <t>978-5-00223-086-0</t>
  </si>
  <si>
    <t xml:space="preserve">Летт  Яна</t>
  </si>
  <si>
    <t>Препараторы. Голос Кьертании</t>
  </si>
  <si>
    <t>NFP2506170-P</t>
  </si>
  <si>
    <t>978-5-00223-702-9</t>
  </si>
  <si>
    <t xml:space="preserve"> Газизов Ринат</t>
  </si>
  <si>
    <t>Приглашение к любви</t>
  </si>
  <si>
    <t>NNP2405094-P</t>
  </si>
  <si>
    <t>978-5-00223-383-0</t>
  </si>
  <si>
    <t>Джао Да Владимир</t>
  </si>
  <si>
    <t>Приключения китайского летчика Джао Да</t>
  </si>
  <si>
    <t>PGR2406182-P</t>
  </si>
  <si>
    <t>978-5-206-00379-6</t>
  </si>
  <si>
    <t>Псоглавцы</t>
  </si>
  <si>
    <t>NFP2512313-P</t>
  </si>
  <si>
    <t>978-5-00139-505-8</t>
  </si>
  <si>
    <t>[покет-серия] Псоглавцы</t>
  </si>
  <si>
    <t>NNP2307146-P</t>
  </si>
  <si>
    <t>978-5-00223-096-9</t>
  </si>
  <si>
    <t>Пути сообщения</t>
  </si>
  <si>
    <t>NFP2506161-P</t>
  </si>
  <si>
    <t>978-5-00223-697-8</t>
  </si>
  <si>
    <t>Пестерева Анна</t>
  </si>
  <si>
    <t>Пятно</t>
  </si>
  <si>
    <t>NFP2512312-P</t>
  </si>
  <si>
    <t>978-5-00223-359-5</t>
  </si>
  <si>
    <t>Селуков Павел</t>
  </si>
  <si>
    <t>Рагнарёк, или Попытка присвоить мир</t>
  </si>
  <si>
    <t>NNP2212168-P</t>
  </si>
  <si>
    <t>978-5-00139-937-7</t>
  </si>
  <si>
    <t>[обложка] Радин</t>
  </si>
  <si>
    <t>NNP2305143-P</t>
  </si>
  <si>
    <t>978-5-00223-053-2</t>
  </si>
  <si>
    <t>Раз мальчишка, два мальчишка</t>
  </si>
  <si>
    <t>NNP2412164-P</t>
  </si>
  <si>
    <t>978-5-00223-240-6</t>
  </si>
  <si>
    <t>Румия</t>
  </si>
  <si>
    <t>ZGZ2604235-P</t>
  </si>
  <si>
    <t>978-601-82322-4-4</t>
  </si>
  <si>
    <t>Салюты на той стороне</t>
  </si>
  <si>
    <t>NNP2210216-P</t>
  </si>
  <si>
    <t>978-5-00139-887-5</t>
  </si>
  <si>
    <t>[покет-серия] Сато</t>
  </si>
  <si>
    <t>NNP2307006-P</t>
  </si>
  <si>
    <t>978-5-00223-079-2</t>
  </si>
  <si>
    <t>Старобинец Анна</t>
  </si>
  <si>
    <t>Серебряный Ашолотль</t>
  </si>
  <si>
    <t>NFP2506183-P</t>
  </si>
  <si>
    <t>978-5-00223-705-0</t>
  </si>
  <si>
    <t>Сорока Вера</t>
  </si>
  <si>
    <t>Сказки слепого мира</t>
  </si>
  <si>
    <t>NFP2411155-P</t>
  </si>
  <si>
    <t>978-5-00223-523-0</t>
  </si>
  <si>
    <t>Сквозь огонь</t>
  </si>
  <si>
    <t>NFP2511004-P</t>
  </si>
  <si>
    <t>978-5-00223-826-2</t>
  </si>
  <si>
    <t>Скитания</t>
  </si>
  <si>
    <t>NNP2204165-P</t>
  </si>
  <si>
    <t>978-5-00139-735-9</t>
  </si>
  <si>
    <t xml:space="preserve">Ирина  Алексеева</t>
  </si>
  <si>
    <t>Скованные одной цепью</t>
  </si>
  <si>
    <t>NFP2501297-P</t>
  </si>
  <si>
    <t>978-5-00223-567-4</t>
  </si>
  <si>
    <t>Шипилова Анна</t>
  </si>
  <si>
    <t>Скоро Москва</t>
  </si>
  <si>
    <t>NFP2601216-P</t>
  </si>
  <si>
    <t>978-5-00223-153-9</t>
  </si>
  <si>
    <t>Случай в Москве</t>
  </si>
  <si>
    <t>NNP2305033-P</t>
  </si>
  <si>
    <t>978-5-00223-043-3</t>
  </si>
  <si>
    <t>Курылев Олег</t>
  </si>
  <si>
    <t>Спасатели, или Убить фюрера</t>
  </si>
  <si>
    <t>NFP2506189-P</t>
  </si>
  <si>
    <t>978-5-00223-706-7</t>
  </si>
  <si>
    <t>Среди людей</t>
  </si>
  <si>
    <t>NFP2407244-P</t>
  </si>
  <si>
    <t>978-5-00223-443-1</t>
  </si>
  <si>
    <t>Семеляк Максим</t>
  </si>
  <si>
    <t>Средняя продолжительность жизни</t>
  </si>
  <si>
    <t>NNP2412215-P</t>
  </si>
  <si>
    <t>978-5-00223-328-1</t>
  </si>
  <si>
    <t>СССР™</t>
  </si>
  <si>
    <t>NFP2503085-P</t>
  </si>
  <si>
    <t>978-5-00223-619-0</t>
  </si>
  <si>
    <t>Страх</t>
  </si>
  <si>
    <t>NNP2204169-P</t>
  </si>
  <si>
    <t>978-5-00139-738-0</t>
  </si>
  <si>
    <t>Стыдные подвиги</t>
  </si>
  <si>
    <t>NFP2510024-P</t>
  </si>
  <si>
    <t>978-5-00223-798-2</t>
  </si>
  <si>
    <t xml:space="preserve">Орловский  Виктор</t>
  </si>
  <si>
    <t>Счастье творческого поиска. Музыка слов и мыслей</t>
  </si>
  <si>
    <t>PGR2402024-P</t>
  </si>
  <si>
    <t>978-5-206-00331-4</t>
  </si>
  <si>
    <t>Таинственная невеста</t>
  </si>
  <si>
    <t>NNP2310072-P</t>
  </si>
  <si>
    <t>978-5-00223-071-6</t>
  </si>
  <si>
    <t>Там мое королевство</t>
  </si>
  <si>
    <t>NFP2502176-P</t>
  </si>
  <si>
    <t>978-5-00223-591-9</t>
  </si>
  <si>
    <t>Сопикова Анастасия</t>
  </si>
  <si>
    <t>Тем легче</t>
  </si>
  <si>
    <t>NNP2407243-P</t>
  </si>
  <si>
    <t>978-5-00223-442-4</t>
  </si>
  <si>
    <t>Лидский Владимир</t>
  </si>
  <si>
    <t>Тёмная Лида: Повести и рассказы</t>
  </si>
  <si>
    <t>NNP2302115-P</t>
  </si>
  <si>
    <t>978-5-00139-981-0</t>
  </si>
  <si>
    <t>Тени тевтонов</t>
  </si>
  <si>
    <t>NFP2503081-P</t>
  </si>
  <si>
    <t>978-5-00223-617-6</t>
  </si>
  <si>
    <t>Саттаров Эльдар</t>
  </si>
  <si>
    <t>Теряя наши улицы</t>
  </si>
  <si>
    <t>NNP2404120-P</t>
  </si>
  <si>
    <t>978-5-00223-350-2</t>
  </si>
  <si>
    <t>Типа я</t>
  </si>
  <si>
    <t>NNP2303150-P</t>
  </si>
  <si>
    <t>978-5-00139-567-6</t>
  </si>
  <si>
    <t>[покет-серия] Типа я</t>
  </si>
  <si>
    <t>NFP2601055-P</t>
  </si>
  <si>
    <t>978-5-00223-008-2</t>
  </si>
  <si>
    <t>[в 2-х книгах] Тобол</t>
  </si>
  <si>
    <t>NFP2601052-P</t>
  </si>
  <si>
    <t>978-5-00139-770-0</t>
  </si>
  <si>
    <t>[покет-серия] Тобол [в 2-х книгах]</t>
  </si>
  <si>
    <t>NNP2411093-P</t>
  </si>
  <si>
    <t>978-5-00223-097-6</t>
  </si>
  <si>
    <t>Точка росы: Повести и рассказы</t>
  </si>
  <si>
    <t>NNP2109139-P</t>
  </si>
  <si>
    <t>978-5-00139-580-5</t>
  </si>
  <si>
    <t>Ханипаев Ислам, Захаров Дмитрий , Манойло Екатерина, Осокин Денис , Секисов Антон , Благова Даша, Шипилова Анна, Буржская Ксения, Птицева Ольга, Кочан Марина, Мамаев-Найлз Илья, Джаббарова Егана</t>
  </si>
  <si>
    <t>Уклады</t>
  </si>
  <si>
    <t>NNP2502257-P</t>
  </si>
  <si>
    <t>978-5-00223-596-4</t>
  </si>
  <si>
    <t>Осокин Денис</t>
  </si>
  <si>
    <t>Уключина</t>
  </si>
  <si>
    <t>NNP2305030-P</t>
  </si>
  <si>
    <t>978-5-00223-040-2</t>
  </si>
  <si>
    <t>Укрощение красного коня</t>
  </si>
  <si>
    <t>NNP2303082-P</t>
  </si>
  <si>
    <t>978-5-91671-358-9</t>
  </si>
  <si>
    <t>Утро было глазом</t>
  </si>
  <si>
    <t>NNP2307064-P</t>
  </si>
  <si>
    <t>978-5-00223-100-3</t>
  </si>
  <si>
    <t>Фаюм</t>
  </si>
  <si>
    <t>NNP2401023-P</t>
  </si>
  <si>
    <t>978-5-00223-252-9</t>
  </si>
  <si>
    <t>Мамедов Афанасий</t>
  </si>
  <si>
    <t>Фрау Шрам</t>
  </si>
  <si>
    <t>NFP2507031-P</t>
  </si>
  <si>
    <t>978-5-00223-715-9</t>
  </si>
  <si>
    <t>[покет-серия] Холодные глаза</t>
  </si>
  <si>
    <t>NNP2303195-P</t>
  </si>
  <si>
    <t>978-5-00223-000-6</t>
  </si>
  <si>
    <t>Хороший братец — мертвый братец</t>
  </si>
  <si>
    <t>NNP2309255-P</t>
  </si>
  <si>
    <t>978-5-00223-155-3</t>
  </si>
  <si>
    <t>Лукшина Юлия</t>
  </si>
  <si>
    <t>Хрустальный дом</t>
  </si>
  <si>
    <t>NNP2409049-P</t>
  </si>
  <si>
    <t>978-5-00223-477-6</t>
  </si>
  <si>
    <t>Богданова Вера</t>
  </si>
  <si>
    <t>Царствие мне небесное</t>
  </si>
  <si>
    <t>NFP2512153-P</t>
  </si>
  <si>
    <t>978-5-00223-888-0</t>
  </si>
  <si>
    <t>Царь велел тебя повесить</t>
  </si>
  <si>
    <t>NFP2302216-P</t>
  </si>
  <si>
    <t>978-5-00139-991-9</t>
  </si>
  <si>
    <t>Центр тяжести</t>
  </si>
  <si>
    <t>NFP2509057-P</t>
  </si>
  <si>
    <t>978-5-00223-786-9</t>
  </si>
  <si>
    <t>Чёрное пальто. Страшные случаи</t>
  </si>
  <si>
    <t>NNP2109013-P</t>
  </si>
  <si>
    <t>978-5-00139-569-0</t>
  </si>
  <si>
    <t>[покет-серия] Чёрное пальто. Страшные случаи</t>
  </si>
  <si>
    <t>NNP2211210-P</t>
  </si>
  <si>
    <t>978-5-00139-928-5</t>
  </si>
  <si>
    <t>Четыре года до рассвета</t>
  </si>
  <si>
    <t>NFP2509321-P</t>
  </si>
  <si>
    <t>978-5-00223-792-0</t>
  </si>
  <si>
    <t>Чужая сторона</t>
  </si>
  <si>
    <t>NNP2406086-P</t>
  </si>
  <si>
    <t>978-5-00223-397-7</t>
  </si>
  <si>
    <t>Чужеродные</t>
  </si>
  <si>
    <t>NNP2404147-P</t>
  </si>
  <si>
    <t>978-5-00223-354-0</t>
  </si>
  <si>
    <t>Шатуны</t>
  </si>
  <si>
    <t>NFP2510020-P</t>
  </si>
  <si>
    <t>978-5-00139-519-5</t>
  </si>
  <si>
    <t>[покет-серия] Шатуны</t>
  </si>
  <si>
    <t>NFP2603117-P</t>
  </si>
  <si>
    <t>978-5-00139-929-2</t>
  </si>
  <si>
    <t>Лукиянова Анна</t>
  </si>
  <si>
    <t>Это не лечится</t>
  </si>
  <si>
    <t>NNP2307082-P</t>
  </si>
  <si>
    <t>978-5-00139-791-5</t>
  </si>
  <si>
    <t>Эффект Ребиндера</t>
  </si>
  <si>
    <t>NFP2511010-P</t>
  </si>
  <si>
    <t>978-5-00223-827-9</t>
  </si>
  <si>
    <t>Благова Даша</t>
  </si>
  <si>
    <t>Южный Ветер</t>
  </si>
  <si>
    <t>NNP2410265-P</t>
  </si>
  <si>
    <t>978-5-91671-920-8</t>
  </si>
  <si>
    <t>8.03. Зарубежная классическая проза</t>
  </si>
  <si>
    <t>[покет] 1984 (новый перевод)</t>
  </si>
  <si>
    <t>AAA2603156-P</t>
  </si>
  <si>
    <t>978-5-9614-8080-1</t>
  </si>
  <si>
    <t>Жестяной барабан</t>
  </si>
  <si>
    <t>NFP2601141-P</t>
  </si>
  <si>
    <t>978-5-00223-072-3</t>
  </si>
  <si>
    <t>15.04.2026</t>
  </si>
  <si>
    <t>О Коннор Фланнери</t>
  </si>
  <si>
    <t>Круг в огне: Рассказы</t>
  </si>
  <si>
    <t>NFP2506079-P</t>
  </si>
  <si>
    <t>978-5-00223-691-6</t>
  </si>
  <si>
    <t>Кафка Франц</t>
  </si>
  <si>
    <t>Процесс</t>
  </si>
  <si>
    <t>AAA2603313-P</t>
  </si>
  <si>
    <t>978-5-0063-0040-8</t>
  </si>
  <si>
    <t>8.04. Зарубежная современная проза</t>
  </si>
  <si>
    <t>[3 тома в одной книге] Атлант расправил плечи</t>
  </si>
  <si>
    <t>AAP2602078-P</t>
  </si>
  <si>
    <t>978-5-9614-6859-5</t>
  </si>
  <si>
    <t>Мэй Никки</t>
  </si>
  <si>
    <t>[обложка с клапанами] Беда</t>
  </si>
  <si>
    <t>SAA2209069-P</t>
  </si>
  <si>
    <t>978-5-907625-08-2</t>
  </si>
  <si>
    <t>Строки. Elure</t>
  </si>
  <si>
    <t>Тонг Куонг Валери</t>
  </si>
  <si>
    <t>Бей. Беги. Замри</t>
  </si>
  <si>
    <t>ABB2402216-P</t>
  </si>
  <si>
    <t>978-5-9614-9662-8</t>
  </si>
  <si>
    <t>Торебаева Мадия</t>
  </si>
  <si>
    <t>Беласагун. Тайна золотого амулета</t>
  </si>
  <si>
    <t>ZGZ2412049-P</t>
  </si>
  <si>
    <t>978-601-82230-0-6</t>
  </si>
  <si>
    <t>Риклз Бэт</t>
  </si>
  <si>
    <t>Ваш вылет задерживается</t>
  </si>
  <si>
    <t>ABB2502212-P</t>
  </si>
  <si>
    <t>978-5-0063-0560-1</t>
  </si>
  <si>
    <t xml:space="preserve">Диаз  Эрнан</t>
  </si>
  <si>
    <t>[обложка с клапанами] Вдали</t>
  </si>
  <si>
    <t>SAS2405093-P</t>
  </si>
  <si>
    <t>978-5-00216-243-7</t>
  </si>
  <si>
    <t>Строки. Top-Fiction</t>
  </si>
  <si>
    <t>Энрикез Кристина</t>
  </si>
  <si>
    <t>[СТРОКИ] Великий разлом</t>
  </si>
  <si>
    <t>SFS2512157-P</t>
  </si>
  <si>
    <t>978-5-00216-534-6</t>
  </si>
  <si>
    <t>Лёненс Кристин</t>
  </si>
  <si>
    <t>Вслед за Эмбер</t>
  </si>
  <si>
    <t>ABB2211277-P</t>
  </si>
  <si>
    <t>978-5-9614-8519-6</t>
  </si>
  <si>
    <t>Кернинон Жюлья</t>
  </si>
  <si>
    <t>Высокая кухня</t>
  </si>
  <si>
    <t>ABB2401126-P</t>
  </si>
  <si>
    <t>978-5-9614-9567-6</t>
  </si>
  <si>
    <t>Гурна Абдулразак</t>
  </si>
  <si>
    <t>[обложка с клапанами] Высохшее сердце</t>
  </si>
  <si>
    <t>SAS2311202-P</t>
  </si>
  <si>
    <t>978-5-00216-032-7</t>
  </si>
  <si>
    <t>Найдер Дана</t>
  </si>
  <si>
    <t>Ген превосходства</t>
  </si>
  <si>
    <t>ZGZ2412150-P</t>
  </si>
  <si>
    <t>978-601-82253-1-4</t>
  </si>
  <si>
    <t>Гимн</t>
  </si>
  <si>
    <t>AAA2604116-P</t>
  </si>
  <si>
    <t>978-5-9614-6974-5</t>
  </si>
  <si>
    <t>Глупый август</t>
  </si>
  <si>
    <t>NNP2406157-P</t>
  </si>
  <si>
    <t>978-5-00223-402-8</t>
  </si>
  <si>
    <t>Ли Чи</t>
  </si>
  <si>
    <t>[обложка с клапанами] Ее город</t>
  </si>
  <si>
    <t>Пер. с кит.</t>
  </si>
  <si>
    <t>SAS2403172-P</t>
  </si>
  <si>
    <t>978-5-00216-172-0</t>
  </si>
  <si>
    <t>Рувье Софи</t>
  </si>
  <si>
    <t>Желаю нам тысячи гроз</t>
  </si>
  <si>
    <t>ABB2305078-P</t>
  </si>
  <si>
    <t>978-5-9614-8972-9</t>
  </si>
  <si>
    <t>Ди Франча Марозелла , Мастрочинкве Даниэла</t>
  </si>
  <si>
    <t>Женщина, которая жила у моря</t>
  </si>
  <si>
    <t>ABB2509018-P</t>
  </si>
  <si>
    <t>978-5-9614-8693-3</t>
  </si>
  <si>
    <t>Бертола Стефания</t>
  </si>
  <si>
    <t>Завтра ветер переменится</t>
  </si>
  <si>
    <t>ABB2307035-P</t>
  </si>
  <si>
    <t>978-5-9614-9082-4</t>
  </si>
  <si>
    <t>Кукафка Даня</t>
  </si>
  <si>
    <t>Записки перед казнью</t>
  </si>
  <si>
    <t>ABB2603224-P</t>
  </si>
  <si>
    <t>978-5-9614-9740-3</t>
  </si>
  <si>
    <t>Питцорно Бьянка</t>
  </si>
  <si>
    <t>Интимная жизнь наших предков. Пояснительная записка для моей кузины Лауретты, которой хотелось бы верить, что она родилась в результате партеногенеза</t>
  </si>
  <si>
    <t>ABB2304055-P</t>
  </si>
  <si>
    <t>978-5-9614-8905-7</t>
  </si>
  <si>
    <t>[2 тома в одной книге] Источник</t>
  </si>
  <si>
    <t>AAA2511328-P</t>
  </si>
  <si>
    <t>978-5-9614-6777-2</t>
  </si>
  <si>
    <t>Каменная месса</t>
  </si>
  <si>
    <t>NNP2403179-P</t>
  </si>
  <si>
    <t>978-5-00223-318-2</t>
  </si>
  <si>
    <t>Альварес Джулия</t>
  </si>
  <si>
    <t>Кладбище нерассказанных историй</t>
  </si>
  <si>
    <t>ABB2407043-P</t>
  </si>
  <si>
    <t>978-5-9614-9911-7</t>
  </si>
  <si>
    <t>Руиc Оливия</t>
  </si>
  <si>
    <t>Комод с цветными ящиками</t>
  </si>
  <si>
    <t>ABB2412052-P</t>
  </si>
  <si>
    <t>978-5-0063-0366-9</t>
  </si>
  <si>
    <t>Одегов Илья</t>
  </si>
  <si>
    <t>Кочевые повести</t>
  </si>
  <si>
    <t>ZGZ2503116-P</t>
  </si>
  <si>
    <t>978-601-82253-7-6</t>
  </si>
  <si>
    <t>Кто ты, Билли Притти?</t>
  </si>
  <si>
    <t>ABB2401031-P</t>
  </si>
  <si>
    <t>978-5-9614-9543-0</t>
  </si>
  <si>
    <t>Кульбиты</t>
  </si>
  <si>
    <t>ABB2407175-P</t>
  </si>
  <si>
    <t>978-5-0063-0037-8</t>
  </si>
  <si>
    <t>Ле Гуин Урсула</t>
  </si>
  <si>
    <t>Лавиния</t>
  </si>
  <si>
    <t>NFP2601063-P</t>
  </si>
  <si>
    <t>978-5-00139-829-5</t>
  </si>
  <si>
    <t>Бобен Кристиан</t>
  </si>
  <si>
    <t>Легкий аллюр</t>
  </si>
  <si>
    <t>ABB2412172-P</t>
  </si>
  <si>
    <t>978-5-0063-0383-6</t>
  </si>
  <si>
    <t>Имя собственное: новая классика</t>
  </si>
  <si>
    <t>Умригар Трити</t>
  </si>
  <si>
    <t>Музей неудач</t>
  </si>
  <si>
    <t>ABB2501217-P</t>
  </si>
  <si>
    <t>978-5-0063-0498-7</t>
  </si>
  <si>
    <t>Кустурица Эмир</t>
  </si>
  <si>
    <t>Мятежный ангел</t>
  </si>
  <si>
    <t>NNP2411062-P</t>
  </si>
  <si>
    <t>978-5-00223-088-4</t>
  </si>
  <si>
    <t>Рис Франческа</t>
  </si>
  <si>
    <t>Наблюдатель</t>
  </si>
  <si>
    <t>ABB2501060-P</t>
  </si>
  <si>
    <t>978-5-9614-8688-9</t>
  </si>
  <si>
    <t>Нурхайдаров Омар</t>
  </si>
  <si>
    <t>Нежить Пржевальского. Каждый мерген желает знать, где прячется жезтырнак</t>
  </si>
  <si>
    <t>ZGZ2412004-P</t>
  </si>
  <si>
    <t>978-601-82230-8-2</t>
  </si>
  <si>
    <t>Гримальди Виржини</t>
  </si>
  <si>
    <t>Океан на двоих</t>
  </si>
  <si>
    <t>ABB2404002-P</t>
  </si>
  <si>
    <t>978-5-9614-9739-7</t>
  </si>
  <si>
    <t>Оно мне надо</t>
  </si>
  <si>
    <t>Пер. с серб.</t>
  </si>
  <si>
    <t>NFP2501024-P</t>
  </si>
  <si>
    <t>978-5-00223-556-8</t>
  </si>
  <si>
    <t>Палома</t>
  </si>
  <si>
    <t>ABB2604159-P</t>
  </si>
  <si>
    <t>978-5-9614-8529-5</t>
  </si>
  <si>
    <t>Перрон Мелисса</t>
  </si>
  <si>
    <t>По воле Персеид</t>
  </si>
  <si>
    <t>ABB2302117-P</t>
  </si>
  <si>
    <t>978-5-9614-8697-1</t>
  </si>
  <si>
    <t>Валонь Орели</t>
  </si>
  <si>
    <t>Полет</t>
  </si>
  <si>
    <t>ABB2407013-P</t>
  </si>
  <si>
    <t>978-5-9614-9992-6</t>
  </si>
  <si>
    <t>Пообещай мне весну</t>
  </si>
  <si>
    <t>ABB2603223-P</t>
  </si>
  <si>
    <t>978-5-9614-8695-7</t>
  </si>
  <si>
    <t>[обложка с клапанами] Последний дар</t>
  </si>
  <si>
    <t>SAS2311203-P</t>
  </si>
  <si>
    <t>978-5-00216-035-8</t>
  </si>
  <si>
    <t>[переплет] Посмертие</t>
  </si>
  <si>
    <t>SAA2208053-P</t>
  </si>
  <si>
    <t>978-5-907625-03-7</t>
  </si>
  <si>
    <t>Большая проза</t>
  </si>
  <si>
    <t>[обложка с клапанами] Посмертие</t>
  </si>
  <si>
    <t>SAA2208054-P</t>
  </si>
  <si>
    <t>978-5-907625-04-4</t>
  </si>
  <si>
    <t>Роже Дамьен</t>
  </si>
  <si>
    <t>Почетные арийки</t>
  </si>
  <si>
    <t>ABB2603077-P</t>
  </si>
  <si>
    <t>978-5-9614-8634-6</t>
  </si>
  <si>
    <t>ABB2508153-P</t>
  </si>
  <si>
    <t>978-5-0063-1201-2</t>
  </si>
  <si>
    <t>Прекрасная, как река</t>
  </si>
  <si>
    <t>ABB2302154-P</t>
  </si>
  <si>
    <t>978-5-9614-8701-5</t>
  </si>
  <si>
    <t>Притворись влюбленной</t>
  </si>
  <si>
    <t>ABB2304201-P</t>
  </si>
  <si>
    <t>978-5-9614-8949-1</t>
  </si>
  <si>
    <t>[переплет] Рай</t>
  </si>
  <si>
    <t>AAA2206038-P_МТС</t>
  </si>
  <si>
    <t>978-5-907625-00-6</t>
  </si>
  <si>
    <t>[обложка с клапанами] Рай</t>
  </si>
  <si>
    <t>AAA2206039-P_МТС</t>
  </si>
  <si>
    <t>978-5-907625-01-3</t>
  </si>
  <si>
    <t>Стил Эмма</t>
  </si>
  <si>
    <t>Секунда между нами</t>
  </si>
  <si>
    <t>ABB2303069-P</t>
  </si>
  <si>
    <t>978-5-9614-8744-2</t>
  </si>
  <si>
    <t>Делом Хлоя</t>
  </si>
  <si>
    <t>Сердце Аделаиды</t>
  </si>
  <si>
    <t>ABB2310173-P</t>
  </si>
  <si>
    <t>978-5-9614-8607-0</t>
  </si>
  <si>
    <t>Адамбаева Томирис</t>
  </si>
  <si>
    <t>Симфония праха</t>
  </si>
  <si>
    <t>ZGZ2412044-P</t>
  </si>
  <si>
    <t>978-601-82155-5-1</t>
  </si>
  <si>
    <t>Стеклянные дома</t>
  </si>
  <si>
    <t>ABB2401139-P</t>
  </si>
  <si>
    <t>978-5-9614-9569-0</t>
  </si>
  <si>
    <t>Сумма наших жизней</t>
  </si>
  <si>
    <t>ABB2602076-P</t>
  </si>
  <si>
    <t>978-5-9614-9544-7</t>
  </si>
  <si>
    <t>ABB2504202-P</t>
  </si>
  <si>
    <t>978-5-0063-0741-4</t>
  </si>
  <si>
    <t>Данли Эмили</t>
  </si>
  <si>
    <t>Тедди</t>
  </si>
  <si>
    <t>ABB2508132-P</t>
  </si>
  <si>
    <t>978-5-9614-9478-5</t>
  </si>
  <si>
    <t>Тара Джейн</t>
  </si>
  <si>
    <t>Тильда здесь</t>
  </si>
  <si>
    <t>ABB2505175-P</t>
  </si>
  <si>
    <t>978-5-0063-0825-1</t>
  </si>
  <si>
    <t>ABB2603157-P</t>
  </si>
  <si>
    <t>978-5-0063-0306-5</t>
  </si>
  <si>
    <t>Эклин Хелена</t>
  </si>
  <si>
    <t>Умница</t>
  </si>
  <si>
    <t>ABB2409228-P</t>
  </si>
  <si>
    <t>978-5-0063-0181-8</t>
  </si>
  <si>
    <t>Вильяхос Росарио</t>
  </si>
  <si>
    <t>Физическое воспитание</t>
  </si>
  <si>
    <t>ABB2402026-P</t>
  </si>
  <si>
    <t>978-5-9614-9608-6</t>
  </si>
  <si>
    <t>Ди Пьетрантонио Донателла</t>
  </si>
  <si>
    <t>Хрупкий возраст</t>
  </si>
  <si>
    <t>ABB2408072-P</t>
  </si>
  <si>
    <t>978-5-0063-0081-1</t>
  </si>
  <si>
    <t>Жангазинова Назым</t>
  </si>
  <si>
    <t>Частная жизнь</t>
  </si>
  <si>
    <t>ZGZ2501071-P</t>
  </si>
  <si>
    <t>978-601-82230-9-9</t>
  </si>
  <si>
    <t>Чем звезды обязаны ночи</t>
  </si>
  <si>
    <t>ABB2212025-P</t>
  </si>
  <si>
    <t>978-5-9614-8530-1</t>
  </si>
  <si>
    <t>[обложка с клапанами] Честь</t>
  </si>
  <si>
    <t>SAA2208068-P</t>
  </si>
  <si>
    <t>978-5-907625-07-5</t>
  </si>
  <si>
    <t>Шанс его жизни</t>
  </si>
  <si>
    <t>ABB2412002-P</t>
  </si>
  <si>
    <t>978-5-0063-0360-7</t>
  </si>
  <si>
    <t>Швея с Сардинии</t>
  </si>
  <si>
    <t>ABB2603225-P</t>
  </si>
  <si>
    <t>978-5-9614-8692-6</t>
  </si>
  <si>
    <t>Ледиг Аньес</t>
  </si>
  <si>
    <t>Я возвращаюсь к себе</t>
  </si>
  <si>
    <t>ABB2306041-P</t>
  </si>
  <si>
    <t>978-5-9614-9016-9</t>
  </si>
  <si>
    <t>Фив Кароль</t>
  </si>
  <si>
    <t>Я должна кое-что тебе сказать</t>
  </si>
  <si>
    <t>ABB2509093-P</t>
  </si>
  <si>
    <t>978-5-9614-8542-4</t>
  </si>
  <si>
    <t>Валуйских Дина</t>
  </si>
  <si>
    <t>Я знаю твою тайну</t>
  </si>
  <si>
    <t>ZGZ2503166-P</t>
  </si>
  <si>
    <t>978-601-82305-3-0</t>
  </si>
  <si>
    <t>Я помню музыку Прованса</t>
  </si>
  <si>
    <t>ABB2505127-P</t>
  </si>
  <si>
    <t>978-5-9614-8533-2</t>
  </si>
  <si>
    <t>8.05. Зарубежная историческая проза</t>
  </si>
  <si>
    <t>Белломо Барбара</t>
  </si>
  <si>
    <t>Библиотека пропавших физиков</t>
  </si>
  <si>
    <t>ABB2501220-P</t>
  </si>
  <si>
    <t>978-5-0063-0501-4</t>
  </si>
  <si>
    <t>Ло Яконо Симона</t>
  </si>
  <si>
    <t>Вирдимура</t>
  </si>
  <si>
    <t>ABB2405083-P</t>
  </si>
  <si>
    <t>978-5-9614-9849-3</t>
  </si>
  <si>
    <t>Мандзон Федерика</t>
  </si>
  <si>
    <t>Возвращение в Триест</t>
  </si>
  <si>
    <t>ABB2404004-P</t>
  </si>
  <si>
    <t>978-5-9614-9741-0</t>
  </si>
  <si>
    <t>Время бабочек</t>
  </si>
  <si>
    <t>ABB2407045-P</t>
  </si>
  <si>
    <t>978-5-9614-9994-0</t>
  </si>
  <si>
    <t>Берест Анн, Берест Клер</t>
  </si>
  <si>
    <t>Габриэль. Муза авангарда</t>
  </si>
  <si>
    <t>ABB2407011-P</t>
  </si>
  <si>
    <t>978-5-9614-9991-9</t>
  </si>
  <si>
    <t>Тамиджо Аврора</t>
  </si>
  <si>
    <t>Девичья фамилия</t>
  </si>
  <si>
    <t>ABB2509172-P</t>
  </si>
  <si>
    <t>978-5-9614-9559-1</t>
  </si>
  <si>
    <t>Трипп Дон</t>
  </si>
  <si>
    <t>Джеки</t>
  </si>
  <si>
    <t>ABB2603012-P</t>
  </si>
  <si>
    <t>978-5-9614-9542-3</t>
  </si>
  <si>
    <t>ABB2508035-P</t>
  </si>
  <si>
    <t>978-5-0063-0026-2</t>
  </si>
  <si>
    <t>Сабар Кларисса</t>
  </si>
  <si>
    <t>И время остановилось</t>
  </si>
  <si>
    <t>ABB2309211-P</t>
  </si>
  <si>
    <t>978-5-9614-9291-0</t>
  </si>
  <si>
    <t>Хорнби Джилл</t>
  </si>
  <si>
    <t>Мисс Остин</t>
  </si>
  <si>
    <t>ABB2604059-P</t>
  </si>
  <si>
    <t>978-5-0063-0562-5</t>
  </si>
  <si>
    <t xml:space="preserve">Коэн  Джошуа</t>
  </si>
  <si>
    <t>[обложка с клапанами] Нетаньяху. Отчет о незначительном и в конечном счете даже неважном эпизоде из жизни очень известной семьи</t>
  </si>
  <si>
    <t>SAS2305100-P</t>
  </si>
  <si>
    <t>978-5-00216-038-9</t>
  </si>
  <si>
    <t>Филлипс Джейн Энн</t>
  </si>
  <si>
    <t>Ночной страж</t>
  </si>
  <si>
    <t>ABB2406179-P</t>
  </si>
  <si>
    <t>978-5-9614-9976-6</t>
  </si>
  <si>
    <t>Вен Лай</t>
  </si>
  <si>
    <t>Площадь Тяньаньмэнь</t>
  </si>
  <si>
    <t>ABB2404018-P</t>
  </si>
  <si>
    <t>978-5-9614-9745-8</t>
  </si>
  <si>
    <t xml:space="preserve">ван дер Влюхт  Симоне</t>
  </si>
  <si>
    <t>Полуночно-синий</t>
  </si>
  <si>
    <t>ABB2411193-P</t>
  </si>
  <si>
    <t>978-5-0063-0344-7</t>
  </si>
  <si>
    <t>Грандес Альмудена</t>
  </si>
  <si>
    <t>Поцелуи на хлебе</t>
  </si>
  <si>
    <t>ABB2309242-P</t>
  </si>
  <si>
    <t>978-5-9614-9297-2</t>
  </si>
  <si>
    <t>Найт Элайза, Брайс Денни С.</t>
  </si>
  <si>
    <t>Разве мы не можем быть подругами</t>
  </si>
  <si>
    <t>ABB2511069-P</t>
  </si>
  <si>
    <t>978-5-9614-9760-1</t>
  </si>
  <si>
    <t>Фернандес Джоан</t>
  </si>
  <si>
    <t>Спасая Винсента</t>
  </si>
  <si>
    <t>ABB2507126-P</t>
  </si>
  <si>
    <t>978-5-0063-0982-1</t>
  </si>
  <si>
    <t>Дракулич Славенка</t>
  </si>
  <si>
    <t>Теория печали Милевы Эйнштейн</t>
  </si>
  <si>
    <t>Пер. с хорв.</t>
  </si>
  <si>
    <t>ABB2411237-P</t>
  </si>
  <si>
    <t>978-5-0063-0357-7</t>
  </si>
  <si>
    <t>Раттаро Сара</t>
  </si>
  <si>
    <t>Я — Мари Кюри</t>
  </si>
  <si>
    <t>ABB2504113-P</t>
  </si>
  <si>
    <t>978-5-0063-0007-1</t>
  </si>
  <si>
    <t>ABB2504185-P</t>
  </si>
  <si>
    <t>978-5-0063-0734-6</t>
  </si>
  <si>
    <t>8.06. Young Adult</t>
  </si>
  <si>
    <t>Мэтсон Морган</t>
  </si>
  <si>
    <t>Баллада о Дарси и Расселле</t>
  </si>
  <si>
    <t>AWW2406016-P</t>
  </si>
  <si>
    <t>978-5-9614-9904-9</t>
  </si>
  <si>
    <t>Руис Майрена</t>
  </si>
  <si>
    <t>Буря магии и пепла</t>
  </si>
  <si>
    <t>AWW2401052-P</t>
  </si>
  <si>
    <t>978-5-9614-9547-8</t>
  </si>
  <si>
    <t>Хокинс Финбар</t>
  </si>
  <si>
    <t>Ведьма</t>
  </si>
  <si>
    <t>AWW2509029-P</t>
  </si>
  <si>
    <t>978-5-9614-9475-4</t>
  </si>
  <si>
    <t>Рубиалес Инма</t>
  </si>
  <si>
    <t>Все наши цвета</t>
  </si>
  <si>
    <t>AWW2512046-P</t>
  </si>
  <si>
    <t>978-5-9614-9941-4</t>
  </si>
  <si>
    <t>Апперман Кэти</t>
  </si>
  <si>
    <t>Все, что я тебе обещала</t>
  </si>
  <si>
    <t>AWW2405076-P</t>
  </si>
  <si>
    <t>978-5-9614-9843-1</t>
  </si>
  <si>
    <t>Фергюсон Мелисса</t>
  </si>
  <si>
    <t>Встречи на полях</t>
  </si>
  <si>
    <t>AWW2510218-P</t>
  </si>
  <si>
    <t>978-5-9614-9447-1</t>
  </si>
  <si>
    <t>Чапаева Евгения</t>
  </si>
  <si>
    <t>Дети неба. Том 1. Сердце Феникс</t>
  </si>
  <si>
    <t>AWW2502084-P</t>
  </si>
  <si>
    <t>978-5-0063-0528-1</t>
  </si>
  <si>
    <t>Ши Фэн, Ко Кори</t>
  </si>
  <si>
    <t>Доктор-клоун. Последний шанс сказать "прощай"</t>
  </si>
  <si>
    <t>ADW2409082-P</t>
  </si>
  <si>
    <t>978-5-9614-9142-5</t>
  </si>
  <si>
    <t>Гробёль Фине</t>
  </si>
  <si>
    <t>Дом на полпути</t>
  </si>
  <si>
    <t>AWW2304103-P</t>
  </si>
  <si>
    <t>978-5-9614-9067-1</t>
  </si>
  <si>
    <t>Яковлева Александра</t>
  </si>
  <si>
    <t>Дочери Колыбели</t>
  </si>
  <si>
    <t>AWW2506194-P</t>
  </si>
  <si>
    <t>978-5-0063-0934-0</t>
  </si>
  <si>
    <t>- Блисс</t>
  </si>
  <si>
    <t>Елена и мистер Волк. Том 1</t>
  </si>
  <si>
    <t>AWW2409003-P</t>
  </si>
  <si>
    <t>978-5-0063-0106-1</t>
  </si>
  <si>
    <t>Елена и мистер Волк. Том 2</t>
  </si>
  <si>
    <t>AWW2409004-P</t>
  </si>
  <si>
    <t>978-5-0063-0107-8</t>
  </si>
  <si>
    <t>Вун Ивонн</t>
  </si>
  <si>
    <t>Если ты, то я</t>
  </si>
  <si>
    <t>ADW2412201-P</t>
  </si>
  <si>
    <t>978-5-9614-9449-5</t>
  </si>
  <si>
    <t>Ллойд-Джонс Эмили</t>
  </si>
  <si>
    <t>Затонувший лес</t>
  </si>
  <si>
    <t>ADW2312177-P</t>
  </si>
  <si>
    <t>978-5-9614-9515-7</t>
  </si>
  <si>
    <t>Кромер Ольга</t>
  </si>
  <si>
    <t>Каждый атом</t>
  </si>
  <si>
    <t>AWW2510219-P</t>
  </si>
  <si>
    <t>978-5-9614-8547-9</t>
  </si>
  <si>
    <t>Алиага Сильвия</t>
  </si>
  <si>
    <t>Книжный клуб в облаках</t>
  </si>
  <si>
    <t>AWW2604053-P</t>
  </si>
  <si>
    <t>978-5-9614-9246-0</t>
  </si>
  <si>
    <t>Шумахер Эшли</t>
  </si>
  <si>
    <t>Крылья на двоих</t>
  </si>
  <si>
    <t>AWW2603181-P</t>
  </si>
  <si>
    <t>978-5-9614-9800-4</t>
  </si>
  <si>
    <t>Дариа Алексис</t>
  </si>
  <si>
    <t>Любовь с первой серии</t>
  </si>
  <si>
    <t>ADW2308078-P</t>
  </si>
  <si>
    <t>978-5-9614-9170-8</t>
  </si>
  <si>
    <t xml:space="preserve">Месропова  Дарья</t>
  </si>
  <si>
    <t>Мама, я съела слона</t>
  </si>
  <si>
    <t>ADW2212159-P</t>
  </si>
  <si>
    <t>978-5-9614-8584-4</t>
  </si>
  <si>
    <t>Летт Яна</t>
  </si>
  <si>
    <t>Мир из прорех. Другой город</t>
  </si>
  <si>
    <t>ADW2312179-P</t>
  </si>
  <si>
    <t>978-5-9614-9517-1</t>
  </si>
  <si>
    <t>Мир из прорех. Иные земли</t>
  </si>
  <si>
    <t>ADW2312180-P</t>
  </si>
  <si>
    <t>978-5-9614-9518-8</t>
  </si>
  <si>
    <t>Мир из прорех. Новые правила</t>
  </si>
  <si>
    <t>ADW2312178-P</t>
  </si>
  <si>
    <t>978-5-9614-9516-4</t>
  </si>
  <si>
    <t>- Твинкл</t>
  </si>
  <si>
    <t>Мои соседи — котики</t>
  </si>
  <si>
    <t>AWW2408134-P</t>
  </si>
  <si>
    <t>978-5-0063-0100-9</t>
  </si>
  <si>
    <t>Хо Джоанна</t>
  </si>
  <si>
    <t>Молчание между нами</t>
  </si>
  <si>
    <t>ADW2311146-P</t>
  </si>
  <si>
    <t>978-5-9614-9461-7</t>
  </si>
  <si>
    <t>Моя безупречная жизнь</t>
  </si>
  <si>
    <t>AWW2509256-P</t>
  </si>
  <si>
    <t>978-5-9614-9190-6</t>
  </si>
  <si>
    <t>На твоей орбите</t>
  </si>
  <si>
    <t>AWW2312187-P</t>
  </si>
  <si>
    <t>978-5-9614-9525-6</t>
  </si>
  <si>
    <t>Элисон Мег</t>
  </si>
  <si>
    <t>Найдите Лейлу</t>
  </si>
  <si>
    <t>AWW2511123-P</t>
  </si>
  <si>
    <t>978-5-9614-9339-9</t>
  </si>
  <si>
    <t>Страусс Нира</t>
  </si>
  <si>
    <t>Наследник богов</t>
  </si>
  <si>
    <t>AWW2403039-P</t>
  </si>
  <si>
    <t>978-5-9614-9684-0</t>
  </si>
  <si>
    <t>Блум Исаак</t>
  </si>
  <si>
    <t>Невероятное преступление Худи Розена</t>
  </si>
  <si>
    <t>ADW2310066-P</t>
  </si>
  <si>
    <t>978-5-9614-9331-3</t>
  </si>
  <si>
    <t>Заргарпур Диба</t>
  </si>
  <si>
    <t>Отражения нашего дома</t>
  </si>
  <si>
    <t>ADW2310065-P</t>
  </si>
  <si>
    <t>978-5-9614-9330-6</t>
  </si>
  <si>
    <t>Миа Яна</t>
  </si>
  <si>
    <t>По ветру</t>
  </si>
  <si>
    <t>AWW2603180-P</t>
  </si>
  <si>
    <t>978-5-0063-0101-6</t>
  </si>
  <si>
    <t>Войцек Виктория</t>
  </si>
  <si>
    <t>Поймать океан</t>
  </si>
  <si>
    <t>AWW2509200-P</t>
  </si>
  <si>
    <t>978-5-9614-8745-9</t>
  </si>
  <si>
    <t>Пока не закончатся звезды</t>
  </si>
  <si>
    <t>AWW2509202-P</t>
  </si>
  <si>
    <t>978-5-9614-9275-0</t>
  </si>
  <si>
    <t>Гамильтон Элвин</t>
  </si>
  <si>
    <t>Порочные идеалы</t>
  </si>
  <si>
    <t>AWW2501007-P</t>
  </si>
  <si>
    <t>978-5-0063-0415-4</t>
  </si>
  <si>
    <t>Брусас Элейна</t>
  </si>
  <si>
    <t>После этого</t>
  </si>
  <si>
    <t>ADW2307178-P</t>
  </si>
  <si>
    <t>978-5-9614-9144-9</t>
  </si>
  <si>
    <t>Юмин Римюи</t>
  </si>
  <si>
    <t>Похоронный концерт</t>
  </si>
  <si>
    <t>ADW2410381-P</t>
  </si>
  <si>
    <t>978-5-9614-9507-2</t>
  </si>
  <si>
    <t>Пустая</t>
  </si>
  <si>
    <t>AWW2312176-P</t>
  </si>
  <si>
    <t>978-5-9614-9514-0</t>
  </si>
  <si>
    <t>Смит Лисса Мия</t>
  </si>
  <si>
    <t>Ревелль</t>
  </si>
  <si>
    <t>ADW2305105-P</t>
  </si>
  <si>
    <t>978-5-9614-8985-9</t>
  </si>
  <si>
    <t>О'Кловер Эллен</t>
  </si>
  <si>
    <t>Семь процентов хаоса</t>
  </si>
  <si>
    <t>AWW2404232-P</t>
  </si>
  <si>
    <t>978-5-9614-9817-2</t>
  </si>
  <si>
    <t>Сердце вне игры</t>
  </si>
  <si>
    <t>ADW2401096-P</t>
  </si>
  <si>
    <t>978-5-9614-9562-1</t>
  </si>
  <si>
    <t>Сыщики с Нанкин-роуд</t>
  </si>
  <si>
    <t>ADW2307177-P</t>
  </si>
  <si>
    <t>978-5-9614-9143-2</t>
  </si>
  <si>
    <t>Эллен Том</t>
  </si>
  <si>
    <t>Такая смешная любовь</t>
  </si>
  <si>
    <t>ADW2408137-P</t>
  </si>
  <si>
    <t>978-5-0063-0103-0</t>
  </si>
  <si>
    <t>Там, где мы настоящие</t>
  </si>
  <si>
    <t>AWW2406109-P</t>
  </si>
  <si>
    <t>978-5-9614-9942-1</t>
  </si>
  <si>
    <t>Тени за стеклом</t>
  </si>
  <si>
    <t>ADW2501064-P</t>
  </si>
  <si>
    <t>978-5-0063-0430-7</t>
  </si>
  <si>
    <t>Магамедова Камилла</t>
  </si>
  <si>
    <t>Тру-крайм свидания</t>
  </si>
  <si>
    <t>AWW2507237-P</t>
  </si>
  <si>
    <t>978-5-0063-0305-8</t>
  </si>
  <si>
    <t>Хигасимура Акико</t>
  </si>
  <si>
    <t>Фальшивая измена. Том 1</t>
  </si>
  <si>
    <t>ADW2312183-P</t>
  </si>
  <si>
    <t>978-5-9614-9521-8</t>
  </si>
  <si>
    <t>Фальшивая измена. Том 2</t>
  </si>
  <si>
    <t>AWW2312184-P</t>
  </si>
  <si>
    <t>978-5-9614-9522-5</t>
  </si>
  <si>
    <t>Фальшивая измена. Том 3</t>
  </si>
  <si>
    <t>AWW2312185-P</t>
  </si>
  <si>
    <t>978-5-9614-9523-2</t>
  </si>
  <si>
    <t>Гу Морин</t>
  </si>
  <si>
    <t>Флешбэк мечты</t>
  </si>
  <si>
    <t>ADW2501264-P</t>
  </si>
  <si>
    <t>978-5-9614-9276-7</t>
  </si>
  <si>
    <t>Мендес Ямиль Сайед</t>
  </si>
  <si>
    <t>Фурия</t>
  </si>
  <si>
    <t>ADW2309166-P</t>
  </si>
  <si>
    <t>978-5-9614-8950-7</t>
  </si>
  <si>
    <t>Богатырева Татьяна</t>
  </si>
  <si>
    <t>Хранители времени</t>
  </si>
  <si>
    <t>AWW2502174-P</t>
  </si>
  <si>
    <t>978-5-0063-0547-2</t>
  </si>
  <si>
    <t>Грегсон Марк Дж.</t>
  </si>
  <si>
    <t>Черная бездна. Том 1. Край неба</t>
  </si>
  <si>
    <t>AWW2502334-P</t>
  </si>
  <si>
    <t>978-5-0063-0598-4</t>
  </si>
  <si>
    <t>Черная бездна. Том 2. Среди змеев</t>
  </si>
  <si>
    <t>AWW2503007-P</t>
  </si>
  <si>
    <t>978-5-0063-0606-6</t>
  </si>
  <si>
    <t>Щучьи сплетни</t>
  </si>
  <si>
    <t>AWW2512210-P</t>
  </si>
  <si>
    <t>978-5-0063-1774-1</t>
  </si>
  <si>
    <t>05.05.2026</t>
  </si>
  <si>
    <t>Эллиот</t>
  </si>
  <si>
    <t>AWW2510199-P</t>
  </si>
  <si>
    <t>978-5-9614-9873-8</t>
  </si>
  <si>
    <t>09. Книги для детей</t>
  </si>
  <si>
    <t>9.01. Главные книги раздела</t>
  </si>
  <si>
    <t>9.01. Серия "Лучший друг — Конни"</t>
  </si>
  <si>
    <t>Большая книга приключений Конни: Детский сад</t>
  </si>
  <si>
    <t>ADH2509195-P</t>
  </si>
  <si>
    <t>978-5-9614-9240-8</t>
  </si>
  <si>
    <t>Большая книга приключений Конни: Самостоятельность</t>
  </si>
  <si>
    <t>ADH2512132-P</t>
  </si>
  <si>
    <t>978-5-9614-8901-9</t>
  </si>
  <si>
    <t>Большая книга приключений Конни. Безопасность</t>
  </si>
  <si>
    <t>ADK2509255-P</t>
  </si>
  <si>
    <t>978-5-9614-8768-8</t>
  </si>
  <si>
    <t>Большая книга приключений Конни. Животные</t>
  </si>
  <si>
    <t>ADH2512045-P</t>
  </si>
  <si>
    <t>978-5-9614-8904-0</t>
  </si>
  <si>
    <t>Большая книга приключений Конни. Полезные привычки</t>
  </si>
  <si>
    <t>ADH2510075-P</t>
  </si>
  <si>
    <t>978-5-9614-8902-6</t>
  </si>
  <si>
    <t>Большая книга приключений Конни. Путешествия</t>
  </si>
  <si>
    <t>ADH2512130-P</t>
  </si>
  <si>
    <t>978-5-9614-9241-5</t>
  </si>
  <si>
    <t>Большая книга приключений Конни. Семья</t>
  </si>
  <si>
    <t>ADH2605135-P</t>
  </si>
  <si>
    <t>978-5-0063-0201-3</t>
  </si>
  <si>
    <t xml:space="preserve">[
"https://api-enni.alpina.ru/FileCertificateProject/8"
]</t>
  </si>
  <si>
    <t>Большая книга приключений Конни. Спорт</t>
  </si>
  <si>
    <t>ADH2512133-P</t>
  </si>
  <si>
    <t>978-5-9614-9239-2</t>
  </si>
  <si>
    <t xml:space="preserve">[
"https://api-enni.alpina.ru/FileCertificateProject/92"
]</t>
  </si>
  <si>
    <t>Большая книга приключений Конни. Хобби</t>
  </si>
  <si>
    <t>ADK2511274-P</t>
  </si>
  <si>
    <t>978-5-9614-8767-1</t>
  </si>
  <si>
    <t>Гатчина Ольга</t>
  </si>
  <si>
    <t>Букварь. Навыки чтения с нуля до первых слов: Учим буквы с Конни</t>
  </si>
  <si>
    <t>ADK2301179-P</t>
  </si>
  <si>
    <t>978-5-9614-9129-6</t>
  </si>
  <si>
    <t>Хофманн Юлия</t>
  </si>
  <si>
    <t>[картонная книга] Виммельбух. Конни и Якоб играют в прятки</t>
  </si>
  <si>
    <t>ADK2511207-P</t>
  </si>
  <si>
    <t>978-5-9614-8468-7</t>
  </si>
  <si>
    <t xml:space="preserve">[
"https://api-enni.alpina.ru/FileCertificateProject/169"
]</t>
  </si>
  <si>
    <t>[картонная книга] Виммельбух. Якоб ищет Конни</t>
  </si>
  <si>
    <t>ADK2603098-P</t>
  </si>
  <si>
    <t>978-5-9614-8469-4</t>
  </si>
  <si>
    <t>[картонная книга с окошками] Времена года с Конни (книга с окошками)</t>
  </si>
  <si>
    <t>ADK2501117-P</t>
  </si>
  <si>
    <t>978-5-9614-3696-9</t>
  </si>
  <si>
    <t xml:space="preserve">[
"https://api-enni.alpina.ru/FileCertificateProject/30"
]</t>
  </si>
  <si>
    <t>Готовим с Конни. Простые рецепты для детей и родителей</t>
  </si>
  <si>
    <t>ADH2211086-P</t>
  </si>
  <si>
    <t>978-5-9614-8451-9</t>
  </si>
  <si>
    <t xml:space="preserve">[
"https://api-enni.alpina.ru/FileCertificateProject/110"
]</t>
  </si>
  <si>
    <t>Готовим с Конни. Рецепты на любой праздник</t>
  </si>
  <si>
    <t>ADK2402006-P</t>
  </si>
  <si>
    <t>978-5-9614-9597-3</t>
  </si>
  <si>
    <t xml:space="preserve">[
"https://api-enni.alpina.ru/FileCertificateProject/37"
]</t>
  </si>
  <si>
    <t>Максимова Елена</t>
  </si>
  <si>
    <t>[Лучший друг — Конни, Развивающие тетради] Игры с буквами. Знакомимся с буквами и учимся их писать. Развивающие тетради вместе с Конни!</t>
  </si>
  <si>
    <t>ADK2309175-P</t>
  </si>
  <si>
    <t>978-5-9614-9273-6</t>
  </si>
  <si>
    <t xml:space="preserve">[
"https://api-enni.alpina.ru/FileCertificateProject/53"
]</t>
  </si>
  <si>
    <t>Бёме Юлия</t>
  </si>
  <si>
    <t>Комиксы с Конни. Дневник гусеницы</t>
  </si>
  <si>
    <t>ADK2211252-P</t>
  </si>
  <si>
    <t>978-5-9614-8496-0</t>
  </si>
  <si>
    <t>Комиксы с Конни. Звёзды дружбы</t>
  </si>
  <si>
    <t>ADK2510078-P</t>
  </si>
  <si>
    <t>978-5-9614-8566-0</t>
  </si>
  <si>
    <t>Комиксы с Конни. Новичок на конюшне</t>
  </si>
  <si>
    <t>ADK2211253-P</t>
  </si>
  <si>
    <t>978-5-9614-8497-7</t>
  </si>
  <si>
    <t>Комиксы с Конни. Приключения на ферме</t>
  </si>
  <si>
    <t>ADK2509203-P</t>
  </si>
  <si>
    <t>978-5-9614-8565-3</t>
  </si>
  <si>
    <t>Конни в гостях у бабушки с дедушкой</t>
  </si>
  <si>
    <t>ADH2403175-P</t>
  </si>
  <si>
    <t>978-5-9614-9714-4</t>
  </si>
  <si>
    <t>[картонная книга с окошками] Конни в детском саду</t>
  </si>
  <si>
    <t>ADH2411021-P</t>
  </si>
  <si>
    <t>978-5-9614-5426-0</t>
  </si>
  <si>
    <t xml:space="preserve">[
"https://api-enni.alpina.ru/FileCertificateProject/41"
]</t>
  </si>
  <si>
    <t>Конни в замке с привидениями</t>
  </si>
  <si>
    <t>ADH2412203-P</t>
  </si>
  <si>
    <t>978-5-0063-0393-5</t>
  </si>
  <si>
    <t xml:space="preserve">[
"https://api-enni.alpina.ru/FileCertificateProject/13"
]</t>
  </si>
  <si>
    <t>Конни в школе</t>
  </si>
  <si>
    <t>ADH2012346-P</t>
  </si>
  <si>
    <t>978-5-9614-5440-6</t>
  </si>
  <si>
    <t>Шнайдер Лиана, Гёрриссен Янина, Руэда Марк</t>
  </si>
  <si>
    <t>Конни всё делает сама</t>
  </si>
  <si>
    <t>ADK2504127-P</t>
  </si>
  <si>
    <t>978-5-0063-0714-8</t>
  </si>
  <si>
    <t xml:space="preserve">[
"https://api-enni.alpina.ru/FileCertificateProject/86"
]</t>
  </si>
  <si>
    <t>Конни готовит пиццу</t>
  </si>
  <si>
    <t>ADH2311262-P</t>
  </si>
  <si>
    <t>978-5-9614-9484-6</t>
  </si>
  <si>
    <t xml:space="preserve">[
"https://api-enni.alpina.ru/FileCertificateProject/45"
]</t>
  </si>
  <si>
    <t>Конни делает печенье</t>
  </si>
  <si>
    <t>ADH2412123-P</t>
  </si>
  <si>
    <t>978-5-0063-0083-5</t>
  </si>
  <si>
    <t xml:space="preserve">[
"https://api-enni.alpina.ru/FileCertificateProject/124"
]</t>
  </si>
  <si>
    <t>Конни едет на экскурсию</t>
  </si>
  <si>
    <t>ADH2203152-P</t>
  </si>
  <si>
    <t>978-5-9614-7869-3</t>
  </si>
  <si>
    <t>Конни едет отдыхать</t>
  </si>
  <si>
    <t>ADK2511118-P</t>
  </si>
  <si>
    <t>978-5-9614-8930-9</t>
  </si>
  <si>
    <t>Конни заболела</t>
  </si>
  <si>
    <t>ADH2511348-P</t>
  </si>
  <si>
    <t>978-5-9614-9454-9</t>
  </si>
  <si>
    <t xml:space="preserve">[
"https://api-enni.alpina.ru/FileCertificateProject/7"
]</t>
  </si>
  <si>
    <t>Конни заботится о братике</t>
  </si>
  <si>
    <t>ADK2511115-P</t>
  </si>
  <si>
    <t>978-5-9614-9808-0</t>
  </si>
  <si>
    <t>Конни занимается гимнастикой</t>
  </si>
  <si>
    <t>ADH2602125-P</t>
  </si>
  <si>
    <t>978-5-0063-0507-6</t>
  </si>
  <si>
    <t xml:space="preserve">[
"https://api-enni.alpina.ru/FileCertificateProject/54"
]</t>
  </si>
  <si>
    <t>Конни занимается музыкой</t>
  </si>
  <si>
    <t>ADH2509039-P</t>
  </si>
  <si>
    <t>978-5-0063-1246-3</t>
  </si>
  <si>
    <t>Конни занимается спортом</t>
  </si>
  <si>
    <t>ADH2512131-P</t>
  </si>
  <si>
    <t>978-5-0063-1766-6</t>
  </si>
  <si>
    <t>Конни занимается танцами</t>
  </si>
  <si>
    <t>ADH2510088-P</t>
  </si>
  <si>
    <t>978-5-9614-9255-2</t>
  </si>
  <si>
    <t>[Лучший друг — Конни] Конни и безопасность. Набор из 6 книг</t>
  </si>
  <si>
    <t>ADK2507044-P</t>
  </si>
  <si>
    <t>978-5-0063-0961-6</t>
  </si>
  <si>
    <t>Сёренсен Ханна</t>
  </si>
  <si>
    <t>Конни и бумажные куклы для вырезания с раскраской</t>
  </si>
  <si>
    <t>ADH2206133-P</t>
  </si>
  <si>
    <t>978-5-9614-8172-3</t>
  </si>
  <si>
    <t xml:space="preserve">[
"https://api-enni.alpina.ru/FileCertificateProject/165"
]</t>
  </si>
  <si>
    <t>Конни и вши в детском саду</t>
  </si>
  <si>
    <t>ADH2111330-P</t>
  </si>
  <si>
    <t>978-5-9614-7670-5</t>
  </si>
  <si>
    <t xml:space="preserve">[
"https://api-enni.alpina.ru/FileCertificateProject/109"
]</t>
  </si>
  <si>
    <t>[Детские детективы, Лучший друг — Конни] [покет] Конни и домик на дереве</t>
  </si>
  <si>
    <t>ADH2512139-P</t>
  </si>
  <si>
    <t>978-5-0063-1752-9</t>
  </si>
  <si>
    <t xml:space="preserve">[
"https://api-enni.alpina.ru/FileCertificateProject/12"
]</t>
  </si>
  <si>
    <t>Конни и друзья. Новая школа</t>
  </si>
  <si>
    <t>ADH2311220-P</t>
  </si>
  <si>
    <t>978-5-9614-8448-9</t>
  </si>
  <si>
    <t>Хосфельд Дагмар</t>
  </si>
  <si>
    <t>Конни и друзья. Новичок в классе</t>
  </si>
  <si>
    <t>ADH2211084-P</t>
  </si>
  <si>
    <t>978-5-9614-8449-6</t>
  </si>
  <si>
    <t>Конни и друзья. Школьная вечеринка</t>
  </si>
  <si>
    <t>ADK2309025-P</t>
  </si>
  <si>
    <t>978-5-9614-9228-6</t>
  </si>
  <si>
    <t xml:space="preserve">[
"https://api-enni.alpina.ru/FileCertificateProject/35"
]</t>
  </si>
  <si>
    <t>Конни и друзья. Школьница по обмену</t>
  </si>
  <si>
    <t>ADH2211085-P</t>
  </si>
  <si>
    <t>978-5-9614-8450-2</t>
  </si>
  <si>
    <t>[Детские детективы, Лучший друг — Конни] Конни и зимние приключения на конюшне</t>
  </si>
  <si>
    <t>ADH2512138-P</t>
  </si>
  <si>
    <t>978-5-0063-1751-2</t>
  </si>
  <si>
    <t>Конни и зубная фея</t>
  </si>
  <si>
    <t>ADH2601085-P</t>
  </si>
  <si>
    <t>978-5-0063-0465-9</t>
  </si>
  <si>
    <t>Конни и котёнок</t>
  </si>
  <si>
    <t>ADK2509035-P</t>
  </si>
  <si>
    <t>978-5-9614-9127-2</t>
  </si>
  <si>
    <t>[Детские детективы, Лучший друг — Конни] [покет] Конни и кража в школе</t>
  </si>
  <si>
    <t>ADH2512136-P</t>
  </si>
  <si>
    <t>978-5-0063-1749-9</t>
  </si>
  <si>
    <t xml:space="preserve">[
"https://api-enni.alpina.ru/FileCertificateProject/59"
]</t>
  </si>
  <si>
    <t>Конни и лето</t>
  </si>
  <si>
    <t>ADK2604076-P</t>
  </si>
  <si>
    <t>978-5-9614-8962-0</t>
  </si>
  <si>
    <t>[Детские детективы, Лучший друг — Конни] [покет] Конни и лучшая собака-ищейка</t>
  </si>
  <si>
    <t>ADK2407143-P</t>
  </si>
  <si>
    <t>978-5-0063-0023-1</t>
  </si>
  <si>
    <t xml:space="preserve">[
"https://api-enni.alpina.ru/FileCertificateProject/160"
]</t>
  </si>
  <si>
    <t>Конни и любовная записка</t>
  </si>
  <si>
    <t>ADH2412144-P</t>
  </si>
  <si>
    <t>978-5-0063-0379-9</t>
  </si>
  <si>
    <t>Конни и неприятности</t>
  </si>
  <si>
    <t>ADH2512283-P</t>
  </si>
  <si>
    <t>978-5-9614-9713-7</t>
  </si>
  <si>
    <t>[Лучший друг — Конни] Конни и Новый год. Набор из 6 книг</t>
  </si>
  <si>
    <t>ADK2507043-P</t>
  </si>
  <si>
    <t>978-5-0063-0960-9</t>
  </si>
  <si>
    <t>Конни и первый снег</t>
  </si>
  <si>
    <t>ADH2509262-P</t>
  </si>
  <si>
    <t>978-5-9614-8742-8</t>
  </si>
  <si>
    <t>Конни и поездка на море</t>
  </si>
  <si>
    <t>ADH2211069-P</t>
  </si>
  <si>
    <t>978-5-9614-8435-9</t>
  </si>
  <si>
    <t>[Лучший друг — Конни] Конни и полезные привычки. Набор из 6 книг</t>
  </si>
  <si>
    <t>ADK2603095-P</t>
  </si>
  <si>
    <t>978-5-9614-9325-2</t>
  </si>
  <si>
    <t>[картонная книга с окошками] Конни и правила дорожного движения</t>
  </si>
  <si>
    <t>ADH2506065-P</t>
  </si>
  <si>
    <t>978-5-9614-7372-8</t>
  </si>
  <si>
    <t xml:space="preserve">[
"https://api-enni.alpina.ru/FileCertificateProject/117"
]</t>
  </si>
  <si>
    <t>[Детские детективы, Лучший друг — Конни] [покет] Конни и приключения в большом городе</t>
  </si>
  <si>
    <t>ADH2512079-P</t>
  </si>
  <si>
    <t>978-5-0063-1738-3</t>
  </si>
  <si>
    <t>[Детские детективы, Лучший друг — Конни] [покет] Конни и пропавший Мяф</t>
  </si>
  <si>
    <t>ADH2512140-P</t>
  </si>
  <si>
    <t>978-5-0063-1753-6</t>
  </si>
  <si>
    <t>[Лучший друг — Конни] Конни и самостоятельность. Набор из 6 книг</t>
  </si>
  <si>
    <t>ADK2507042-P</t>
  </si>
  <si>
    <t>978-5-0063-0959-3</t>
  </si>
  <si>
    <t>[покет] Конни и скелет динозавра</t>
  </si>
  <si>
    <t>ADH2512135-P</t>
  </si>
  <si>
    <t>978-5-0063-1748-2</t>
  </si>
  <si>
    <t>Бёме Юлия, Альбрехт Хердис</t>
  </si>
  <si>
    <t>Конни и спасение диких лошадей</t>
  </si>
  <si>
    <t>ADH2211070-P</t>
  </si>
  <si>
    <t>978-5-9614-8436-6</t>
  </si>
  <si>
    <t>[Детские детективы, Лучший друг — Конни] [покет] Конни и тайна белого карпа</t>
  </si>
  <si>
    <t>ADH2512141-P</t>
  </si>
  <si>
    <t>978-5-0063-1754-3</t>
  </si>
  <si>
    <t xml:space="preserve">[
"https://api-enni.alpina.ru/FileCertificateProject/122"
]</t>
  </si>
  <si>
    <t>[Детские детективы, Лучший друг — Конни] [покет] Конни и тайна музыкальной шкатулки</t>
  </si>
  <si>
    <t>ADH2512137-P</t>
  </si>
  <si>
    <t>978-5-0063-1750-5</t>
  </si>
  <si>
    <t>Конни и тело</t>
  </si>
  <si>
    <t>ADH2511280-P</t>
  </si>
  <si>
    <t>978-5-9614-9226-2</t>
  </si>
  <si>
    <t>[Детские детективы, Лучший друг — Конни] [покет] Конни и украденная картина</t>
  </si>
  <si>
    <t>ADH2512134-P</t>
  </si>
  <si>
    <t>978-5-0063-1747-5</t>
  </si>
  <si>
    <t xml:space="preserve">[
"https://api-enni.alpina.ru/FileCertificateProject/108"
]</t>
  </si>
  <si>
    <t>Конни и хорошие манеры</t>
  </si>
  <si>
    <t>ADH2507239-P</t>
  </si>
  <si>
    <t>978-5-9614-9124-1</t>
  </si>
  <si>
    <t>[Лучший друг — Конни] Конни и эмоции. Набор из 6 книг</t>
  </si>
  <si>
    <t>ADK2603040-P</t>
  </si>
  <si>
    <t>978-5-9614-9350-4</t>
  </si>
  <si>
    <t>Конни и Якоб наряжают ёлку. Адвент-календарь для малышей</t>
  </si>
  <si>
    <t>ADK2405121-P</t>
  </si>
  <si>
    <t>978-5-9614-9867-7</t>
  </si>
  <si>
    <t>Конни идёт в бассейн</t>
  </si>
  <si>
    <t>ADH2509254-P</t>
  </si>
  <si>
    <t>978-5-9614-9499-0</t>
  </si>
  <si>
    <t>Конни идет в детский сад</t>
  </si>
  <si>
    <t>ADK2510077-P</t>
  </si>
  <si>
    <t>978-5-9614-8923-1</t>
  </si>
  <si>
    <t>Конни идёт в зоопарк</t>
  </si>
  <si>
    <t>ADH2403173-P</t>
  </si>
  <si>
    <t>978-5-9614-9712-0</t>
  </si>
  <si>
    <t>Конни идёт в парикмахерскую</t>
  </si>
  <si>
    <t>ADH2509130-P</t>
  </si>
  <si>
    <t>978-5-9614-8738-1</t>
  </si>
  <si>
    <t>Конни идёт в школу</t>
  </si>
  <si>
    <t>ADH2508049-P</t>
  </si>
  <si>
    <t>978-5-9614-9033-6</t>
  </si>
  <si>
    <t xml:space="preserve">[
"https://api-enni.alpina.ru/FileCertificateProject/9"
]</t>
  </si>
  <si>
    <t>Конни идёт за покупками</t>
  </si>
  <si>
    <t>ADH2501131-P</t>
  </si>
  <si>
    <t>978-5-0063-0464-2</t>
  </si>
  <si>
    <t>Конни идёт к врачу</t>
  </si>
  <si>
    <t>ADH2311263-P</t>
  </si>
  <si>
    <t>978-5-9614-9485-3</t>
  </si>
  <si>
    <t>[картонная книга с окошками] Конни изучает тело</t>
  </si>
  <si>
    <t>ADH2504058-P</t>
  </si>
  <si>
    <t>978-5-9614-3700-3</t>
  </si>
  <si>
    <t>Конни катается на лыжах</t>
  </si>
  <si>
    <t>ADH2410053-P</t>
  </si>
  <si>
    <t>978-5-0063-0217-4</t>
  </si>
  <si>
    <t>Конни летит на самолёте</t>
  </si>
  <si>
    <t>ADH2509258-P</t>
  </si>
  <si>
    <t>978-5-9614-9068-8</t>
  </si>
  <si>
    <t>Конни на больничном</t>
  </si>
  <si>
    <t>ADH2509127-P</t>
  </si>
  <si>
    <t>978-5-9614-8771-8</t>
  </si>
  <si>
    <t>Конни на каникулах у бабушки</t>
  </si>
  <si>
    <t>ADH2412241-P</t>
  </si>
  <si>
    <t>978-5-0063-0399-7</t>
  </si>
  <si>
    <t>Конни на ферме</t>
  </si>
  <si>
    <t>ADK2507025-P</t>
  </si>
  <si>
    <t>978-5-0063-0953-1</t>
  </si>
  <si>
    <t>Конни наряжается</t>
  </si>
  <si>
    <t>ADH2511116-P</t>
  </si>
  <si>
    <t>978-5-0063-0089-7</t>
  </si>
  <si>
    <t>Конни ночует у подруги</t>
  </si>
  <si>
    <t>ADH2112191-P</t>
  </si>
  <si>
    <t>978-5-9614-3166-7</t>
  </si>
  <si>
    <t>Конни переезжает</t>
  </si>
  <si>
    <t>ADH2511127-P</t>
  </si>
  <si>
    <t>978-5-0063-1668-3</t>
  </si>
  <si>
    <t>Конни печёт блинчики</t>
  </si>
  <si>
    <t>ADK2509128-P</t>
  </si>
  <si>
    <t>978-5-9614-8929-3</t>
  </si>
  <si>
    <t>Конни попадает в больницу</t>
  </si>
  <si>
    <t>ADH2511117-P</t>
  </si>
  <si>
    <t>978-5-0063-1669-0</t>
  </si>
  <si>
    <t>Конни празднует день рождения</t>
  </si>
  <si>
    <t>ADH2509126-P</t>
  </si>
  <si>
    <t>978-5-9614-9467-9</t>
  </si>
  <si>
    <t>Конни снимается в кино</t>
  </si>
  <si>
    <t>ADH2501016-P</t>
  </si>
  <si>
    <t>978-5-0063-0416-1</t>
  </si>
  <si>
    <t>Конни ссорится с подругой</t>
  </si>
  <si>
    <t>ADH2412199-P</t>
  </si>
  <si>
    <t>978-5-9614-9069-5</t>
  </si>
  <si>
    <t>Бахман Лена</t>
  </si>
  <si>
    <t>Конни у врача</t>
  </si>
  <si>
    <t>ADH2410135-P</t>
  </si>
  <si>
    <t>978-5-9614-3874-1</t>
  </si>
  <si>
    <t>Конни учится дружить</t>
  </si>
  <si>
    <t>ADK2604213-P</t>
  </si>
  <si>
    <t>978-5-9614-9696-3</t>
  </si>
  <si>
    <t>Конни учится определять время</t>
  </si>
  <si>
    <t>ADH2509125-P</t>
  </si>
  <si>
    <t>978-5-9614-9114-2</t>
  </si>
  <si>
    <t>Конни читает</t>
  </si>
  <si>
    <t>ADH2509129-P</t>
  </si>
  <si>
    <t>978-5-0063-0235-8</t>
  </si>
  <si>
    <t>[Развивающие тетради, Лучший друг — Конни] Лабиринты: Развиваем мелкую моторику и готовим руку к письму вместе с Конни!</t>
  </si>
  <si>
    <t>ADK2603184-P</t>
  </si>
  <si>
    <t>978-5-0063-0423-9</t>
  </si>
  <si>
    <t>[Развивающие тетради, Лучший друг — Конни] Логика. Математические раскраски: Готовимся к школе и развиваем навыки счёта вместе с Конни!</t>
  </si>
  <si>
    <t>ADK2509208-P</t>
  </si>
  <si>
    <t>978-5-0063-1258-6</t>
  </si>
  <si>
    <t xml:space="preserve">[
"https://api-enni.alpina.ru/FileCertificateProject/11"
]</t>
  </si>
  <si>
    <t>[Развивающие тетради, Лучший друг — Конни] Логика. Судоку: Готовимся к школе и решаем головоломки вместе с Конни!</t>
  </si>
  <si>
    <t>ADK2603096-P</t>
  </si>
  <si>
    <t>978-5-0063-1982-0</t>
  </si>
  <si>
    <t xml:space="preserve">[
"https://api-enni.alpina.ru/FileCertificateProject/19"
]</t>
  </si>
  <si>
    <t>Мой первый словарь с картинками: Учим немецкий и английский с Конни (КАРТОН)</t>
  </si>
  <si>
    <t>ADH2104188-P</t>
  </si>
  <si>
    <t>978-5-9614-7273-8</t>
  </si>
  <si>
    <t>[Лучший друг — Конни] Пазлы с Конни. Готовим пиццу. Конни готовит пиццу</t>
  </si>
  <si>
    <t>ADK2301098-P</t>
  </si>
  <si>
    <t>978-5-9614-8628-5</t>
  </si>
  <si>
    <t>3+ нет ФЗ № 436</t>
  </si>
  <si>
    <t xml:space="preserve">[
"https://api-enni.alpina.ru/FileCertificateProject/142"
]</t>
  </si>
  <si>
    <t>[Лучший друг — Конни] Пазлы с Конни. Ферма. Конни на ферме</t>
  </si>
  <si>
    <t>ADK2301097-P</t>
  </si>
  <si>
    <t>978-5-9614-8627-8</t>
  </si>
  <si>
    <t>[Развивающие тетради, Лучший друг — Конни] Поделки. Скоро Новый год! Готовимся к Новому году и украшаем дом вместе с Конни!</t>
  </si>
  <si>
    <t>ADK2506028-P</t>
  </si>
  <si>
    <t>978-5-0063-0864-0</t>
  </si>
  <si>
    <t>[Развивающие тетради, Лучший друг — Конни] Полезные привычки. Играем и учимся создавать здоровые привычки. Развивающие тетради вместе с Конни!</t>
  </si>
  <si>
    <t>ADK2403158-P</t>
  </si>
  <si>
    <t>978-5-9614-9706-9</t>
  </si>
  <si>
    <t xml:space="preserve">[
"https://api-enni.alpina.ru/FileCertificateProject/36"
]</t>
  </si>
  <si>
    <t>Приключения Конни в ночном лесу</t>
  </si>
  <si>
    <t>ADK2403149-P</t>
  </si>
  <si>
    <t>978-5-9614-9779-3</t>
  </si>
  <si>
    <t>[Детские детективы, Лучший друг — Конни] Приключения Конни на зимних каникулах</t>
  </si>
  <si>
    <t>ADH2406074-P</t>
  </si>
  <si>
    <t>978-5-9614-9923-0</t>
  </si>
  <si>
    <t>[Детские детективы, Лучший друг — Конни] Пропавший кролик</t>
  </si>
  <si>
    <t>ADH2211074-P</t>
  </si>
  <si>
    <t>978-5-9614-8439-7</t>
  </si>
  <si>
    <t>Расту вместе с Конни: Детский сад с Конни</t>
  </si>
  <si>
    <t>ADH2106117-P</t>
  </si>
  <si>
    <t>978-5-9614-7434-3</t>
  </si>
  <si>
    <t>[Лучший друг — Конни, Развивающие тетради] Рисуем по точкам: Развиваем моторику и готовим руку к письму. Развивающие тетради вместе с Конни!</t>
  </si>
  <si>
    <t>ADK2308013-P</t>
  </si>
  <si>
    <t>978-5-9614-9154-8</t>
  </si>
  <si>
    <t>Ура! Школа! Готовимся читать, писать и считать с Конни</t>
  </si>
  <si>
    <t>ADH2207056-P</t>
  </si>
  <si>
    <t>978-5-9614-8208-9</t>
  </si>
  <si>
    <t>[Развивающие тетради, Лучший друг — Конни] Учим английский: Расширяем словарный запас и учимся говорить по-английски. Развивающие тетради вместе с Конни!</t>
  </si>
  <si>
    <t>ADH2312146-P</t>
  </si>
  <si>
    <t>978-5-9614-9512-6</t>
  </si>
  <si>
    <t>Учим время с Конни</t>
  </si>
  <si>
    <t>ADH2209129-P</t>
  </si>
  <si>
    <t>978-5-9614-4135-2</t>
  </si>
  <si>
    <t>Учусь читать с Конни: Волшебный сон</t>
  </si>
  <si>
    <t>ADH2111327-P</t>
  </si>
  <si>
    <t>978-5-9614-7667-5</t>
  </si>
  <si>
    <t>Учусь читать с Конни: Загадочный воришка</t>
  </si>
  <si>
    <t>ADH2206135-P</t>
  </si>
  <si>
    <t>978-5-9614-8174-7</t>
  </si>
  <si>
    <t>Учусь читать с Конни: Кот и мышь в школе</t>
  </si>
  <si>
    <t>ADH2111326-P</t>
  </si>
  <si>
    <t>978-5-9614-7666-8</t>
  </si>
  <si>
    <t>Учусь читать с Конни: Куда пропал Мяф?</t>
  </si>
  <si>
    <t>ADH2503144-P</t>
  </si>
  <si>
    <t>978-5-9614-7600-2</t>
  </si>
  <si>
    <t>Учусь читать с Конни. Пропавший воздушный змей</t>
  </si>
  <si>
    <t>ADH2211076-P</t>
  </si>
  <si>
    <t>978-5-9614-8441-0</t>
  </si>
  <si>
    <t>Сёренсен Ханна, Вельте Ульрих</t>
  </si>
  <si>
    <t>[Развивающие тетради, Лучший друг — Конни] Цифры. Первый счет: Готовимся к школе и учим цифры вместе с Конни!</t>
  </si>
  <si>
    <t>ADA2304204-P</t>
  </si>
  <si>
    <t>978-5-9614-8707-7</t>
  </si>
  <si>
    <t>[Развивающие тетради, Лучший друг — Конни] Чистим зубы: Учимся правильно чистить зубы вместе с Конни!</t>
  </si>
  <si>
    <t>ADK2508146-P</t>
  </si>
  <si>
    <t>978-5-0063-1197-8</t>
  </si>
  <si>
    <t>Михайлова Дарья</t>
  </si>
  <si>
    <t>Читательский дневник с Конни</t>
  </si>
  <si>
    <t>ADH2211087-P</t>
  </si>
  <si>
    <t>978-5-9614-8452-6</t>
  </si>
  <si>
    <t>9.02. Серия "Уроки из жизни"</t>
  </si>
  <si>
    <t>29636</t>
  </si>
  <si>
    <t>Бояркина Полина</t>
  </si>
  <si>
    <t>[обложка] Чему я могу научиться у Александра Пушкина</t>
  </si>
  <si>
    <t>ADK2604089-P</t>
  </si>
  <si>
    <t>978-5-00283-132-6</t>
  </si>
  <si>
    <t>Уроки из жизни</t>
  </si>
  <si>
    <t xml:space="preserve">[
"https://api-enni.alpina.ru/FileCertificateProject/47"
]</t>
  </si>
  <si>
    <t>Смешливая Елена, Богомаз Лана</t>
  </si>
  <si>
    <t>Чему я могу научиться у Анны Ахматовой</t>
  </si>
  <si>
    <t>ADK2502160-P</t>
  </si>
  <si>
    <t>978-5-9614-1210-9</t>
  </si>
  <si>
    <t xml:space="preserve">[
"https://api-enni.alpina.ru/FileCertificateProject/38"
]</t>
  </si>
  <si>
    <t>Мартьянова Валерия</t>
  </si>
  <si>
    <t>Чему я могу научиться у Антуана де Сент-Экзюпери</t>
  </si>
  <si>
    <t>ADK2402022-P</t>
  </si>
  <si>
    <t>978-5-9614-9607-9</t>
  </si>
  <si>
    <t xml:space="preserve">[
"https://api-enni.alpina.ru/FileCertificateProject/143"
]</t>
  </si>
  <si>
    <t>Баженова-Сорокина Александра</t>
  </si>
  <si>
    <t>Чему я могу научиться у Артура Конан Дойла</t>
  </si>
  <si>
    <t>ADK2310052-P</t>
  </si>
  <si>
    <t>978-5-9614-9321-4</t>
  </si>
  <si>
    <t>Багаутдинов Айрат</t>
  </si>
  <si>
    <t>Чему я могу научиться у Владимира Шухова</t>
  </si>
  <si>
    <t>ADK2310109-P</t>
  </si>
  <si>
    <t>978-5-9614-9346-7</t>
  </si>
  <si>
    <t>Мирецкая Елена</t>
  </si>
  <si>
    <t>Чему я могу научиться у Даниила Хармса</t>
  </si>
  <si>
    <t>ADK2402124-P</t>
  </si>
  <si>
    <t>978-5-9614-9626-0</t>
  </si>
  <si>
    <t xml:space="preserve">[
"https://api-enni.alpina.ru/FileCertificateProject/98"
]</t>
  </si>
  <si>
    <t xml:space="preserve"> Лё Февр Даниэль</t>
  </si>
  <si>
    <t>Чему я могу научиться у Джеймса Кэмерона</t>
  </si>
  <si>
    <t>ADK2403103-P</t>
  </si>
  <si>
    <t>978-5-9614-9691-8</t>
  </si>
  <si>
    <t>Соломатина Ольга</t>
  </si>
  <si>
    <t>Чему я могу научиться у Илона Маска</t>
  </si>
  <si>
    <t>ADH2601189-P</t>
  </si>
  <si>
    <t>978-5-9614-2442-3</t>
  </si>
  <si>
    <t xml:space="preserve">[
"https://api-enni.alpina.ru/FileCertificateProject/18"
]</t>
  </si>
  <si>
    <t>Медина Мелисса, Колтинг Фредрик</t>
  </si>
  <si>
    <t>Чему я могу научиться у Ингвара Кампрада</t>
  </si>
  <si>
    <t>ADH2502159-P</t>
  </si>
  <si>
    <t>978-5-9614-2418-8</t>
  </si>
  <si>
    <t xml:space="preserve">[
"https://api-enni.alpina.ru/FileCertificateProject/17"
]</t>
  </si>
  <si>
    <t>23938</t>
  </si>
  <si>
    <t>[обложка] Чему я могу научиться у Майи Плисецкой</t>
  </si>
  <si>
    <t>ADH2604091-P</t>
  </si>
  <si>
    <t>978-5-00283-121-0</t>
  </si>
  <si>
    <t>Шамонов Дмитрий</t>
  </si>
  <si>
    <t>Чему я могу научиться у Михаила Ломоносова</t>
  </si>
  <si>
    <t>ADK2501115-P</t>
  </si>
  <si>
    <t>978-5-0063-0458-1</t>
  </si>
  <si>
    <t>Михневич Юлия</t>
  </si>
  <si>
    <t>Чему я могу научиться у Надежды Ладыгиной-Котс</t>
  </si>
  <si>
    <t>ADK2310110-P</t>
  </si>
  <si>
    <t>978-5-9614-9347-4</t>
  </si>
  <si>
    <t>Востоков Станислав</t>
  </si>
  <si>
    <t>Чему я могу научиться у Николая Дроздова</t>
  </si>
  <si>
    <t>ADK2601190-P</t>
  </si>
  <si>
    <t>978-5-9614-9095-4</t>
  </si>
  <si>
    <t>Окунев Игорь</t>
  </si>
  <si>
    <t>Чему я могу научиться у Николая Миклухо-Маклая</t>
  </si>
  <si>
    <t>ADK2605140-P</t>
  </si>
  <si>
    <t>978-5-9614-8094-8</t>
  </si>
  <si>
    <t>Андреева Мария</t>
  </si>
  <si>
    <t>Чему я могу научиться у Петра Великого</t>
  </si>
  <si>
    <t>ADK2501113-P</t>
  </si>
  <si>
    <t>978-5-0063-0457-4</t>
  </si>
  <si>
    <t>32178</t>
  </si>
  <si>
    <t>Айнбиндер Ада</t>
  </si>
  <si>
    <t>[обложка] Чему я могу научиться у Петра Чайковского</t>
  </si>
  <si>
    <t>ADK2604088-P</t>
  </si>
  <si>
    <t>978-5-00283-119-7</t>
  </si>
  <si>
    <t>8825</t>
  </si>
  <si>
    <t>Акулова Наталья</t>
  </si>
  <si>
    <t>[обложка] Чему я могу научиться у Сергея Королёва</t>
  </si>
  <si>
    <t>ADH2604093-P</t>
  </si>
  <si>
    <t>978-5-00283-130-2</t>
  </si>
  <si>
    <t xml:space="preserve">[
"https://api-enni.alpina.ru/FileCertificateProject/154"
]</t>
  </si>
  <si>
    <t>Чему я могу научиться у Сергея Рахманинова</t>
  </si>
  <si>
    <t>ADK2506242-P</t>
  </si>
  <si>
    <t>978-5-9614-9345-0</t>
  </si>
  <si>
    <t xml:space="preserve">Румянцева-Клейман  Вера</t>
  </si>
  <si>
    <t>Чему я могу научиться у Сергея Эйзенштейна</t>
  </si>
  <si>
    <t>ADK2403102-P</t>
  </si>
  <si>
    <t>978-5-9614-9690-1</t>
  </si>
  <si>
    <t>8783</t>
  </si>
  <si>
    <t>[обложка] Чему я могу научиться у Стива Джобса</t>
  </si>
  <si>
    <t>ADK2604092-P</t>
  </si>
  <si>
    <t>978-5-00283-129-6</t>
  </si>
  <si>
    <t>Король Сергей</t>
  </si>
  <si>
    <t>Чему я могу научиться у Стивена Хокинга</t>
  </si>
  <si>
    <t>ADH2502161-P</t>
  </si>
  <si>
    <t>978-5-9614-2000-5</t>
  </si>
  <si>
    <t>Чему я могу научиться у Фила Найта</t>
  </si>
  <si>
    <t>ADH2502158-P</t>
  </si>
  <si>
    <t>978-5-9614-2416-4</t>
  </si>
  <si>
    <t>26264</t>
  </si>
  <si>
    <t>Кудь-Сверчков Сергей</t>
  </si>
  <si>
    <t>[обложка] Чему я могу научиться у Юрия Гагарина</t>
  </si>
  <si>
    <t>ADH2604090-P</t>
  </si>
  <si>
    <t>978-5-00283-120-3</t>
  </si>
  <si>
    <t>9.03. Серия "Другие сказки"</t>
  </si>
  <si>
    <t>9.04. Серия "Якоб — лучший друг Конни"</t>
  </si>
  <si>
    <t>[картонная книга] Якоб в детском саду</t>
  </si>
  <si>
    <t>ADH2511204-P</t>
  </si>
  <si>
    <t>978-5-9614-4711-8</t>
  </si>
  <si>
    <t>[картонная книга] Якоб в поликлинике</t>
  </si>
  <si>
    <t>ADH2509209-P</t>
  </si>
  <si>
    <t>978-5-0063-0263-1</t>
  </si>
  <si>
    <t>[картонная книга] Якоб встречает Новый год</t>
  </si>
  <si>
    <t>ADH2511195-P</t>
  </si>
  <si>
    <t>978-5-9614-7445-9</t>
  </si>
  <si>
    <t>[картонная книга] Якоб говорит "нет"</t>
  </si>
  <si>
    <t>ADH2511208-P</t>
  </si>
  <si>
    <t>978-5-9614-9702-1</t>
  </si>
  <si>
    <t>[картонная книга] Якоб злится</t>
  </si>
  <si>
    <t>ADH2511194-P</t>
  </si>
  <si>
    <t>978-5-9614-8060-3</t>
  </si>
  <si>
    <t>Айнвольт Илона</t>
  </si>
  <si>
    <t>[картонная книга] Якоб и беговел</t>
  </si>
  <si>
    <t>ADH2506064-P</t>
  </si>
  <si>
    <t>978-5-9614-7165-6</t>
  </si>
  <si>
    <t>Якоб и Конни не боятся темноты</t>
  </si>
  <si>
    <t>ADH2209117-P</t>
  </si>
  <si>
    <t>978-5-9614-7665-1</t>
  </si>
  <si>
    <t>[картонная книга] Якоб и мокрые штанишки</t>
  </si>
  <si>
    <t>ADH2511203-P</t>
  </si>
  <si>
    <t>978-5-9614-7374-2</t>
  </si>
  <si>
    <t>[картонная книга] Якоб играет в футбол</t>
  </si>
  <si>
    <t>ADH2511192-P</t>
  </si>
  <si>
    <t>978-5-9614-8445-8</t>
  </si>
  <si>
    <t>[картонная книга] Якоб на детской площадке</t>
  </si>
  <si>
    <t>ADH2511201-P</t>
  </si>
  <si>
    <t>978-5-9614-8952-1</t>
  </si>
  <si>
    <t>[картонная книга] Якоб не хочет пробовать новое</t>
  </si>
  <si>
    <t>ADH2511202-P</t>
  </si>
  <si>
    <t>978-5-9614-4707-1</t>
  </si>
  <si>
    <t>[картонная книга] Якоб ночует у бабушки с дедушкой</t>
  </si>
  <si>
    <t>ADH2506057-P</t>
  </si>
  <si>
    <t>978-5-9614-8059-7</t>
  </si>
  <si>
    <t>[картонная книга] Якоб помогает папе</t>
  </si>
  <si>
    <t>ADH2511198-P</t>
  </si>
  <si>
    <t>978-5-9614-7375-9</t>
  </si>
  <si>
    <t>Якоб поранился</t>
  </si>
  <si>
    <t>ADK2305050-P</t>
  </si>
  <si>
    <t>978-5-9614-8963-7</t>
  </si>
  <si>
    <t>[картонная книга] Якоб путешествует на поезде</t>
  </si>
  <si>
    <t>ADH2506063-P</t>
  </si>
  <si>
    <t>978-5-9614-8444-1</t>
  </si>
  <si>
    <t>[картонная книга] Якоб ссорится с Конни</t>
  </si>
  <si>
    <t>ADH2506061-P</t>
  </si>
  <si>
    <t>978-5-9614-4651-7</t>
  </si>
  <si>
    <t xml:space="preserve">[
"https://api-enni.alpina.ru/FileCertificateProject/3"
]</t>
  </si>
  <si>
    <t>[Якоб — лучший друг Конни] Якоб учится общаться. 10 историй в одной книге</t>
  </si>
  <si>
    <t>ADK2510086-P</t>
  </si>
  <si>
    <t>978-5-0063-0084-2</t>
  </si>
  <si>
    <t>[картонная книга] Якоб учится плавать</t>
  </si>
  <si>
    <t>ADH2506059-P</t>
  </si>
  <si>
    <t>978-5-9614-8447-2</t>
  </si>
  <si>
    <t>[картонная книга] Якоб хочет на горшок</t>
  </si>
  <si>
    <t>ADH2511206-P</t>
  </si>
  <si>
    <t>978-5-9614-5724-7</t>
  </si>
  <si>
    <t>[картонная книга] Якоб, пора купаться</t>
  </si>
  <si>
    <t>ADH2511191-P</t>
  </si>
  <si>
    <t>978-5-9614-8061-0</t>
  </si>
  <si>
    <t>[картонная книга] Якоб, пора спать!</t>
  </si>
  <si>
    <t>ADH2511205-P</t>
  </si>
  <si>
    <t>978-5-9614-7373-5</t>
  </si>
  <si>
    <t>[картонная книга] Якобу соска больше не нужна</t>
  </si>
  <si>
    <t>ADH2511197-P</t>
  </si>
  <si>
    <t>978-5-9614-4695-1</t>
  </si>
  <si>
    <t>9.05. Первое самостоятельное чтение</t>
  </si>
  <si>
    <t>"Ромео и Джульетта" Уильяма Шекспира</t>
  </si>
  <si>
    <t>ADH1901024-P</t>
  </si>
  <si>
    <t>978-5-9614-2398-3</t>
  </si>
  <si>
    <t>Дети читают</t>
  </si>
  <si>
    <t>Асланова Юлия</t>
  </si>
  <si>
    <t>[СТРОКИ] А что там в школе?</t>
  </si>
  <si>
    <t>АДети+Строки</t>
  </si>
  <si>
    <t>ADC2502279-P</t>
  </si>
  <si>
    <t>978-5-0063-0590-8</t>
  </si>
  <si>
    <t>АльпинаДети + МТС Строки</t>
  </si>
  <si>
    <t>[СТРОКИ] В школе снова перемены</t>
  </si>
  <si>
    <t>ADC2503131-P</t>
  </si>
  <si>
    <t>978-5-0063-0627-1</t>
  </si>
  <si>
    <t>Симбирская Юлия, Гурченкова Ксения</t>
  </si>
  <si>
    <t>[Уровень 1, очень легко читать] Ворона и кот</t>
  </si>
  <si>
    <t>ADK2501139-P</t>
  </si>
  <si>
    <t>978-5-0063-0472-7</t>
  </si>
  <si>
    <t>Книжный старт</t>
  </si>
  <si>
    <t xml:space="preserve">[
"https://api-enni.alpina.ru/FileCertificateProject/157"
]</t>
  </si>
  <si>
    <t>Щербак Полина</t>
  </si>
  <si>
    <t>[Уровень 1, очень легко читать] Вспоминай, Дед Мороз!</t>
  </si>
  <si>
    <t>ADK2501138-P</t>
  </si>
  <si>
    <t>978-5-0063-0471-0</t>
  </si>
  <si>
    <t xml:space="preserve">[
"https://api-enni.alpina.ru/FileCertificateProject/85"
]</t>
  </si>
  <si>
    <t>Аромштам Марина</t>
  </si>
  <si>
    <t>[Уровень 3, читать не сложно] Где Лев?</t>
  </si>
  <si>
    <t>ADK2402107-P</t>
  </si>
  <si>
    <t>978-5-9614-9620-8</t>
  </si>
  <si>
    <t>Симбирская Юлия, Авакянц Анна</t>
  </si>
  <si>
    <t>[Уровень 1, очень легко читать] Голодный шкаф</t>
  </si>
  <si>
    <t>ADK2501137-P</t>
  </si>
  <si>
    <t>978-5-0063-0470-3</t>
  </si>
  <si>
    <t xml:space="preserve"> Земляничкина Екатерина, Безлюдная Анастасия </t>
  </si>
  <si>
    <t>[СТРОКИ] Дневник-оборотень и другие истории из чёрного портфеля</t>
  </si>
  <si>
    <t>ADC2502283-P</t>
  </si>
  <si>
    <t>978-5-0063-0594-6</t>
  </si>
  <si>
    <t xml:space="preserve">СТРОКИ  Коллектив авторов</t>
  </si>
  <si>
    <t>[СТРОКИ] Жажда приключений. Рассказы</t>
  </si>
  <si>
    <t>ADC2304002-P</t>
  </si>
  <si>
    <t>978-5-9614-8886-9</t>
  </si>
  <si>
    <t>[Уровень 1, очень легко читать] Живой камень</t>
  </si>
  <si>
    <t>ADK2501140-P</t>
  </si>
  <si>
    <t>978-5-0063-0473-4</t>
  </si>
  <si>
    <t>Капица Ольга</t>
  </si>
  <si>
    <t>[Уровень 2, легко читать] Заюшкина избушка</t>
  </si>
  <si>
    <t>ADK2501141-P</t>
  </si>
  <si>
    <t>978-5-0063-0474-1</t>
  </si>
  <si>
    <t xml:space="preserve">[
"https://api-enni.alpina.ru/FileCertificateProject/84"
]</t>
  </si>
  <si>
    <t>[СТРОКИ] Звёзды Академии Лос Суэньос</t>
  </si>
  <si>
    <t>ADC2311153-P</t>
  </si>
  <si>
    <t>978-5-9614-9463-1</t>
  </si>
  <si>
    <t>[СТРОКИ] Звёзды: время блистать</t>
  </si>
  <si>
    <t>ADC2311154-P</t>
  </si>
  <si>
    <t>978-5-9614-9464-8</t>
  </si>
  <si>
    <t>[Уровень 1, очень легко читать] Зубы? Зубы... Зубы!</t>
  </si>
  <si>
    <t>ADK2509350-P</t>
  </si>
  <si>
    <t>978-5-9614-9434-1</t>
  </si>
  <si>
    <t>Ушинский Константин</t>
  </si>
  <si>
    <t>[Уровень 1, очень легко читать] Колобок</t>
  </si>
  <si>
    <t>ADK2501143-P</t>
  </si>
  <si>
    <t>978-5-0063-0476-5</t>
  </si>
  <si>
    <t xml:space="preserve">[
"https://api-enni.alpina.ru/FileCertificateProject/96"
]</t>
  </si>
  <si>
    <t>[СТРОКИ] Кролы и цаки</t>
  </si>
  <si>
    <t>ADC2308160-P</t>
  </si>
  <si>
    <t>978-5-9614-9199-9</t>
  </si>
  <si>
    <t>[Уровень 1, очень легко читать] Кто там? Там уж!</t>
  </si>
  <si>
    <t>ADK2309173-P</t>
  </si>
  <si>
    <t>978-5-9614-9272-9</t>
  </si>
  <si>
    <t>Лейк Ирина</t>
  </si>
  <si>
    <t>[СТРОКИ] Мафия с подоконника</t>
  </si>
  <si>
    <t>ADC2511353-P</t>
  </si>
  <si>
    <t>978-5-9614-9072-5</t>
  </si>
  <si>
    <t>Джонс Келли</t>
  </si>
  <si>
    <t>[СТРОКИ] Необыкновенные куры для лучшего фермера-птицевода</t>
  </si>
  <si>
    <t>ADC2305109-P</t>
  </si>
  <si>
    <t>978-5-9614-8991-0</t>
  </si>
  <si>
    <t>[Уровень 1, очень легко читать] Ноги? Ноги... Ноги!</t>
  </si>
  <si>
    <t>ADK2311018-P</t>
  </si>
  <si>
    <t>978-5-9614-9433-4</t>
  </si>
  <si>
    <t>Дитль Эрхард</t>
  </si>
  <si>
    <t>Огрики в школе</t>
  </si>
  <si>
    <t>ADH2104118-P</t>
  </si>
  <si>
    <t>978-5-9614-7242-4</t>
  </si>
  <si>
    <t>Приключения Огриков</t>
  </si>
  <si>
    <t xml:space="preserve">[
"https://api-enni.alpina.ru/FileCertificateProject/128"
]</t>
  </si>
  <si>
    <t>Огрики и динозаврик: Доисторические приключения</t>
  </si>
  <si>
    <t>ADH2112074-P</t>
  </si>
  <si>
    <t>978-5-9614-7691-0</t>
  </si>
  <si>
    <t>Огрики и непорядок с соседом</t>
  </si>
  <si>
    <t>ADH2106125-P</t>
  </si>
  <si>
    <t>978-5-9614-7447-3</t>
  </si>
  <si>
    <t xml:space="preserve">[
"https://api-enni.alpina.ru/FileCertificateProject/126"
]</t>
  </si>
  <si>
    <t>Огрики из Грязьбурга</t>
  </si>
  <si>
    <t>ADH2112080-P</t>
  </si>
  <si>
    <t>978-5-9614-7208-0</t>
  </si>
  <si>
    <t xml:space="preserve">[
"https://api-enni.alpina.ru/FileCertificateProject/141"
]</t>
  </si>
  <si>
    <t>Огрики: Большой переезд</t>
  </si>
  <si>
    <t>ADH2111129-P</t>
  </si>
  <si>
    <t>978-5-9614-7676-7</t>
  </si>
  <si>
    <t>Огрики: Жабечательные сказки дедушки Огри</t>
  </si>
  <si>
    <t>ADH2111128-P</t>
  </si>
  <si>
    <t>978-5-9614-7692-7</t>
  </si>
  <si>
    <t>Огрики: Кто же вылечит дракона?</t>
  </si>
  <si>
    <t>ADH2106123-P</t>
  </si>
  <si>
    <t>978-5-9614-7446-6</t>
  </si>
  <si>
    <t>Огрики: Приключения в космосе</t>
  </si>
  <si>
    <t>ADH2111143-P</t>
  </si>
  <si>
    <t>978-5-9614-7629-3</t>
  </si>
  <si>
    <t>Филиппенко Валя</t>
  </si>
  <si>
    <t>[СТРОКИ] Пафка и шкаф</t>
  </si>
  <si>
    <t>ADC2305106-P</t>
  </si>
  <si>
    <t>978-5-9614-8990-3</t>
  </si>
  <si>
    <t>[СТРОКИ] Приключения Майи, или История необычной девочки</t>
  </si>
  <si>
    <t>ADC2310085-P</t>
  </si>
  <si>
    <t>978-5-9614-9337-5</t>
  </si>
  <si>
    <t>Саар Анти</t>
  </si>
  <si>
    <t>Пярт и последний кусок торта</t>
  </si>
  <si>
    <t>Пер. с эст</t>
  </si>
  <si>
    <t>ADH2307098-P</t>
  </si>
  <si>
    <t>978-5-9614-3855-0</t>
  </si>
  <si>
    <t>Истории про Пярта</t>
  </si>
  <si>
    <t xml:space="preserve">[
"https://api-enni.alpina.ru/FileCertificateProject/120"
]</t>
  </si>
  <si>
    <t>Пярт и соседские сливы</t>
  </si>
  <si>
    <t>ADH2307099-P</t>
  </si>
  <si>
    <t>978-5-9614-3854-3</t>
  </si>
  <si>
    <t xml:space="preserve">[
"https://api-enni.alpina.ru/FileCertificateProject/120",
"https://api-enni.alpina.ru/FileCertificateProject/125"
]</t>
  </si>
  <si>
    <t>Пярт не может прыгнуть сальто</t>
  </si>
  <si>
    <t>ADH2007099-P</t>
  </si>
  <si>
    <t>978-5-9614-3852-9</t>
  </si>
  <si>
    <t xml:space="preserve">[
"https://api-enni.alpina.ru/FileCertificateProject/125"
]</t>
  </si>
  <si>
    <t>Пярт проехал остановку</t>
  </si>
  <si>
    <t>ADH2007103-P</t>
  </si>
  <si>
    <t>978-5-9614-3856-7</t>
  </si>
  <si>
    <t>Чернышова Евгения</t>
  </si>
  <si>
    <t>Родственник жирафа и другие истории</t>
  </si>
  <si>
    <t>ADH2007074-P</t>
  </si>
  <si>
    <t>978-5-9614-3850-5</t>
  </si>
  <si>
    <t xml:space="preserve">[
"https://api-enni.alpina.ru/FileCertificateProject/119"
]</t>
  </si>
  <si>
    <t>[Уровень 2, легко читать] Слоны идут!</t>
  </si>
  <si>
    <t>ADK2311025-P</t>
  </si>
  <si>
    <t>978-5-9614-9436-5</t>
  </si>
  <si>
    <t xml:space="preserve"> Земляничкина Екатерина, Назарова Лариса</t>
  </si>
  <si>
    <t>[СТРОКИ] Смотри от страха не умри</t>
  </si>
  <si>
    <t>ADC2509206-P</t>
  </si>
  <si>
    <t>978-5-9614-8887-6</t>
  </si>
  <si>
    <t>[СТРОКИ] Снежный шар историй. Рассказы</t>
  </si>
  <si>
    <t>ADC2307001-P</t>
  </si>
  <si>
    <t>978-5-9614-9073-2</t>
  </si>
  <si>
    <t xml:space="preserve">Назарова Лариса, Григорян  Лев</t>
  </si>
  <si>
    <t>[СТРОКИ] Страшилки под чердаком</t>
  </si>
  <si>
    <t>ADC2502281-P</t>
  </si>
  <si>
    <t>978-5-0063-0592-2</t>
  </si>
  <si>
    <t>Савушкина Наталья</t>
  </si>
  <si>
    <t>[СТРОКИ] Счастливые коньки</t>
  </si>
  <si>
    <t>ADC2502275-P</t>
  </si>
  <si>
    <t>978-5-0063-0586-1</t>
  </si>
  <si>
    <t>[Уровень 3, читать не сложно] Такса в джипе</t>
  </si>
  <si>
    <t>ADK2402106-P</t>
  </si>
  <si>
    <t>978-5-9614-9619-2</t>
  </si>
  <si>
    <t>[Уровень 1, очень легко читать] Теремок</t>
  </si>
  <si>
    <t>ADK2501142-P</t>
  </si>
  <si>
    <t>978-5-0063-0475-8</t>
  </si>
  <si>
    <t>[СТРОКИ] Три ключа из четвёртого А</t>
  </si>
  <si>
    <t>ADC2511352-P</t>
  </si>
  <si>
    <t>978-5-9614-9105-0</t>
  </si>
  <si>
    <t>[СТРОКИ] Цвета. Рассказы</t>
  </si>
  <si>
    <t>ADC2304001-P</t>
  </si>
  <si>
    <t>978-5-9614-8885-2</t>
  </si>
  <si>
    <t>[СТРОКИ] Чёртов угол</t>
  </si>
  <si>
    <t>ADC2309189-P</t>
  </si>
  <si>
    <t>978-5-9614-9280-4</t>
  </si>
  <si>
    <t>[Уровень 2, легко читать] Я и мой кот</t>
  </si>
  <si>
    <t>ADK2311023-P</t>
  </si>
  <si>
    <t>978-5-9614-9435-8</t>
  </si>
  <si>
    <t>9.06. Книжки-картонки</t>
  </si>
  <si>
    <t>А где все? Пики и Клювик летят на поиски</t>
  </si>
  <si>
    <t>ADK2404123-P</t>
  </si>
  <si>
    <t>978-5-9614-9785-4</t>
  </si>
  <si>
    <t>Медвежонок Тёпа катается на велосипеде</t>
  </si>
  <si>
    <t>ADK2402175-P</t>
  </si>
  <si>
    <t>978-5-9614-9647-5</t>
  </si>
  <si>
    <t>Обине Мари, Бур Даниэль, Бур Лора</t>
  </si>
  <si>
    <t>Медвежонок Тёпа отдыхает на море</t>
  </si>
  <si>
    <t>ADK2402176-P</t>
  </si>
  <si>
    <t>978-5-9614-9648-2</t>
  </si>
  <si>
    <t>Обине Мари, Бур Даниэль, Бур-Шоле Селин</t>
  </si>
  <si>
    <t>Медвежонок Тёпа сидит на горшке</t>
  </si>
  <si>
    <t>ADK2403117-P</t>
  </si>
  <si>
    <t>978-5-9614-9697-0</t>
  </si>
  <si>
    <t>Бур Даниэль</t>
  </si>
  <si>
    <t>Медвежонок Тёпа убирает свои игрушки</t>
  </si>
  <si>
    <t>ADK2403118-P</t>
  </si>
  <si>
    <t>978-5-9614-9698-7</t>
  </si>
  <si>
    <t xml:space="preserve">Райдер  Катя</t>
  </si>
  <si>
    <t>[картонная книга] Поросёнок идёт в детский сад</t>
  </si>
  <si>
    <t>ADK2306112-P</t>
  </si>
  <si>
    <t>978-5-9614-9049-7</t>
  </si>
  <si>
    <t>Хрюша Хрюшкин. Истории с хвостиком</t>
  </si>
  <si>
    <t xml:space="preserve">[
"https://api-enni.alpina.ru/FileCertificateProject/21"
]</t>
  </si>
  <si>
    <t>[картонная книга] Поросёнок идёт к врачу</t>
  </si>
  <si>
    <t>ADK2306116-P</t>
  </si>
  <si>
    <t>978-5-9614-9053-4</t>
  </si>
  <si>
    <t>[картонная книга] Поросёнок, пора купаться!</t>
  </si>
  <si>
    <t>ADK2306115-P</t>
  </si>
  <si>
    <t>978-5-9614-9052-7</t>
  </si>
  <si>
    <t>[картонная книга] Поросёнок, пора спать!</t>
  </si>
  <si>
    <t>ADK2306114-P</t>
  </si>
  <si>
    <t>978-5-9614-9051-0</t>
  </si>
  <si>
    <t>Я иду искать в Москве</t>
  </si>
  <si>
    <t>ADH2203144-P</t>
  </si>
  <si>
    <t>978-5-9614-7865-5</t>
  </si>
  <si>
    <t>Я иду искать в Санкт-Петербурге</t>
  </si>
  <si>
    <t>ADH2411022-P</t>
  </si>
  <si>
    <t>978-5-9614-7867-9</t>
  </si>
  <si>
    <t>9.07. Детская обучающая литература</t>
  </si>
  <si>
    <t>Альфонси Дж.</t>
  </si>
  <si>
    <t>STEAM-образование: Математика</t>
  </si>
  <si>
    <t>ADH2012066-P</t>
  </si>
  <si>
    <t>978-5-9614-4575-6</t>
  </si>
  <si>
    <t>STEAM-образование</t>
  </si>
  <si>
    <t xml:space="preserve">[
"https://api-enni.alpina.ru/FileCertificateProject/127"
]</t>
  </si>
  <si>
    <t>Букварь</t>
  </si>
  <si>
    <t>ADH2404145-P</t>
  </si>
  <si>
    <t>978-5-9614-8241-6</t>
  </si>
  <si>
    <t xml:space="preserve">[
"https://api-enni.alpina.ru/FileCertificateProject/26"
]</t>
  </si>
  <si>
    <t>Букварь для детей с особенностями развития</t>
  </si>
  <si>
    <t>ADK2404144-P</t>
  </si>
  <si>
    <t>978-5-9614-9120-3</t>
  </si>
  <si>
    <t>Кривеллини Маттиа</t>
  </si>
  <si>
    <t>Весёлая геометрия. Тетрадь-тренажёр</t>
  </si>
  <si>
    <t>ADK2311187-P</t>
  </si>
  <si>
    <t>978-5-9614-9470-9</t>
  </si>
  <si>
    <t>Математический старт</t>
  </si>
  <si>
    <t xml:space="preserve">[
"https://api-enni.alpina.ru/FileCertificateProject/148"
]</t>
  </si>
  <si>
    <t>Текносьенца -</t>
  </si>
  <si>
    <t>Волшебный квест. Тетрадь-тренажёр</t>
  </si>
  <si>
    <t>ADK2310241-P</t>
  </si>
  <si>
    <t>978-5-9614-9402-0</t>
  </si>
  <si>
    <t>День зимнего солнцестояния. Правописание сложных слов</t>
  </si>
  <si>
    <t>ADK2402146-P</t>
  </si>
  <si>
    <t>978-5-9614-9637-6</t>
  </si>
  <si>
    <t>Орфографические сказки</t>
  </si>
  <si>
    <t xml:space="preserve">[
"https://api-enni.alpina.ru/FileCertificateProject/147"
]</t>
  </si>
  <si>
    <t>Рупасова Маша</t>
  </si>
  <si>
    <t>Домашка — это просто! Учимся делать уроки быстро</t>
  </si>
  <si>
    <t>ADK2511351-P</t>
  </si>
  <si>
    <t>978-5-9614-9169-2</t>
  </si>
  <si>
    <t>Единицы измерения. Тетрадь-тренажёр</t>
  </si>
  <si>
    <t>ADK2311185-P</t>
  </si>
  <si>
    <t>978-5-9614-9468-6</t>
  </si>
  <si>
    <t>Если ты превращаешься в мышь… или Потерянный ключ! Правописание Ь после шипящих в конце слова</t>
  </si>
  <si>
    <t>ADK2309203-P</t>
  </si>
  <si>
    <t>978-5-9614-9287-3</t>
  </si>
  <si>
    <t>Как быть внимательным. Готовим внимательность с вечера</t>
  </si>
  <si>
    <t>ADH2601191-P</t>
  </si>
  <si>
    <t>978-5-9614-9108-1</t>
  </si>
  <si>
    <t xml:space="preserve">[
"https://api-enni.alpina.ru/FileCertificateProject/22"
]</t>
  </si>
  <si>
    <t>Как несчастный лошадёнок стал счастливым. Правописание непроизносимых согласных в корне слова</t>
  </si>
  <si>
    <t>ADK2304203-P</t>
  </si>
  <si>
    <t>978-5-9614-8951-4</t>
  </si>
  <si>
    <t>Шиманская Виктория, Карпов Никита</t>
  </si>
  <si>
    <t>Командная работа: Запуск проекта любой сложности</t>
  </si>
  <si>
    <t>ADH2308136-P</t>
  </si>
  <si>
    <t>978-5-9614-9188-3</t>
  </si>
  <si>
    <t>4К - навыки будущего</t>
  </si>
  <si>
    <t>ADH2401046-P</t>
  </si>
  <si>
    <t>978-5-9614-9546-1</t>
  </si>
  <si>
    <t>Шиманская Виктория</t>
  </si>
  <si>
    <t>Коммуникация: Найди общий язык с кем угодно</t>
  </si>
  <si>
    <t>ADH2511133-P</t>
  </si>
  <si>
    <t>978-5-9614-8125-9</t>
  </si>
  <si>
    <t>Намаконов Игорь</t>
  </si>
  <si>
    <t>Креативность: 31 способ заставить мозг работать</t>
  </si>
  <si>
    <t>ADH2509199-P</t>
  </si>
  <si>
    <t>978-5-9614-8620-9</t>
  </si>
  <si>
    <t>Непряхин Никита, Пащенко Тарас</t>
  </si>
  <si>
    <t>Критическое мышление: Железная логика на все случаи жизни</t>
  </si>
  <si>
    <t>ADH2511134-P</t>
  </si>
  <si>
    <t>978-5-9614-8133-4</t>
  </si>
  <si>
    <t>Бакал Лада, Потапов Константин</t>
  </si>
  <si>
    <t>Лили узнаёт фигуры</t>
  </si>
  <si>
    <t>ADH2107080-P</t>
  </si>
  <si>
    <t>978-5-9614-4265-6</t>
  </si>
  <si>
    <t>Маленькие дети - большие учёные</t>
  </si>
  <si>
    <t>Лили учится сравнивать</t>
  </si>
  <si>
    <t>ADH2107079-P</t>
  </si>
  <si>
    <t>978-5-9614-7533-3</t>
  </si>
  <si>
    <t>Лили учится считать</t>
  </si>
  <si>
    <t>ADH2107078-P</t>
  </si>
  <si>
    <t>978-5-9614-7462-6</t>
  </si>
  <si>
    <t>Волоцкая Юлия</t>
  </si>
  <si>
    <t>Малышки-букваришки в детском саду</t>
  </si>
  <si>
    <t>ADK2412095-P</t>
  </si>
  <si>
    <t>978-5-0063-0373-7</t>
  </si>
  <si>
    <t xml:space="preserve">[
"https://api-enni.alpina.ru/FileCertificateProject/152"
]</t>
  </si>
  <si>
    <t>Видигер Анна</t>
  </si>
  <si>
    <t>Приключения в Математическом королевстве</t>
  </si>
  <si>
    <t>ADK2410225-P</t>
  </si>
  <si>
    <t>978-5-0063-0252-5</t>
  </si>
  <si>
    <t xml:space="preserve">[
"https://api-enni.alpina.ru/FileCertificateProject/71"
]</t>
  </si>
  <si>
    <t>Ремиш Наталья</t>
  </si>
  <si>
    <t xml:space="preserve">Про Миру и Гошу.  Вместе учимся считать</t>
  </si>
  <si>
    <t>ADK2501218-P</t>
  </si>
  <si>
    <t>978-5-0063-0499-4</t>
  </si>
  <si>
    <t>Про Миру и Гошу</t>
  </si>
  <si>
    <t xml:space="preserve">[
"https://api-enni.alpina.ru/FileCertificateProject/104"
]</t>
  </si>
  <si>
    <t>Про Миру и Гошу. Вместе узнаём новые слова</t>
  </si>
  <si>
    <t>ADK2501216-P</t>
  </si>
  <si>
    <t>978-5-0063-0497-0</t>
  </si>
  <si>
    <t>Про Миру и Гошу. Вместе учим правила безопасности</t>
  </si>
  <si>
    <t>ADK2501219-P</t>
  </si>
  <si>
    <t>978-5-0063-0500-7</t>
  </si>
  <si>
    <t xml:space="preserve">[
"https://api-enni.alpina.ru/FileCertificateProject/174"
]</t>
  </si>
  <si>
    <t>Работа над ошибками, или давайте ошибаться правильно!</t>
  </si>
  <si>
    <t>ADH2601045-P</t>
  </si>
  <si>
    <t>978-5-9614-9317-7</t>
  </si>
  <si>
    <t xml:space="preserve">[
"https://api-enni.alpina.ru/FileCertificateProject/155"
]</t>
  </si>
  <si>
    <t>Дегтева Валентина</t>
  </si>
  <si>
    <t>Сочинение на 5 по литературе. 7 секретов, как писать быстро, легко и своими словами</t>
  </si>
  <si>
    <t>ADK2602027-P</t>
  </si>
  <si>
    <t>978-5-9614-9432-7</t>
  </si>
  <si>
    <t>Сочинение на 5! Как писать быстро, легко и на любую тему</t>
  </si>
  <si>
    <t>ADK2602028-P</t>
  </si>
  <si>
    <t>978-5-9614-8475-5</t>
  </si>
  <si>
    <t>Сразиться с самим собой, или Жонглёр в капюшоне. Правописание -тся и -ться в глаголах и другие орфограммы</t>
  </si>
  <si>
    <t>ADK2408104-P</t>
  </si>
  <si>
    <t>978-5-0063-0086-6</t>
  </si>
  <si>
    <t xml:space="preserve">[
"https://api-enni.alpina.ru/FileCertificateProject/151"
]</t>
  </si>
  <si>
    <t>Страшно интересные головоломки. Тетрадь-тренажёр</t>
  </si>
  <si>
    <t>ADK2310242-P</t>
  </si>
  <si>
    <t>978-5-9614-9403-7</t>
  </si>
  <si>
    <t xml:space="preserve">[
"https://api-enni.alpina.ru/FileCertificateProject/87"
]</t>
  </si>
  <si>
    <t xml:space="preserve">Счёт в пределах  100. Тетрадь-тренажёр</t>
  </si>
  <si>
    <t>ADK2310244-P</t>
  </si>
  <si>
    <t>978-5-9614-9405-1</t>
  </si>
  <si>
    <t>Табличное умножение и деление. Тетрадь-тренажёр</t>
  </si>
  <si>
    <t>ADK2310240-P</t>
  </si>
  <si>
    <t>978-5-9614-9401-3</t>
  </si>
  <si>
    <t>Умножение и деление. Тетрадь-тренажёр</t>
  </si>
  <si>
    <t>ADK2311186-P</t>
  </si>
  <si>
    <t>978-5-9614-9469-3</t>
  </si>
  <si>
    <t>Цифры и формы. Тетрадь-тренажёр</t>
  </si>
  <si>
    <t>ADK2310069-P</t>
  </si>
  <si>
    <t>978-5-9614-9335-1</t>
  </si>
  <si>
    <t>Чудесное путешествие в Чудинию. Правописание ЖИ, ШИ, ЧА, ЩА, ЧУ, ЩУ</t>
  </si>
  <si>
    <t>ADK2301105-P</t>
  </si>
  <si>
    <t>978-5-9614-8633-9</t>
  </si>
  <si>
    <t xml:space="preserve">[
"https://api-enni.alpina.ru/FileCertificateProject/105"
]</t>
  </si>
  <si>
    <t>Астафьев Денис</t>
  </si>
  <si>
    <t>Шерики в мире финансов. Как Спо узнал про деньги</t>
  </si>
  <si>
    <t>ADH2108061-P Астафьев</t>
  </si>
  <si>
    <t>978-5-9614-7463-3</t>
  </si>
  <si>
    <t>Финансовая сказка</t>
  </si>
  <si>
    <t>Шерики и деньги разных стран</t>
  </si>
  <si>
    <t>ADH2108063-P Астафьев</t>
  </si>
  <si>
    <t>978-5-9614-7464-0</t>
  </si>
  <si>
    <t>Шерики и уроки финансовой грамотности</t>
  </si>
  <si>
    <t>ADH2108071-P Астафьев</t>
  </si>
  <si>
    <t>978-5-9614-7465-7</t>
  </si>
  <si>
    <t>9.08. Детская научно-популярная литература</t>
  </si>
  <si>
    <t>Шевчук Полина, Волчок Анастасия</t>
  </si>
  <si>
    <t xml:space="preserve"> Мир биолога Мечникова : Как разглядеть в микроскоп целый мир </t>
  </si>
  <si>
    <t>ADK2604077-P</t>
  </si>
  <si>
    <t>978-5-0063-0350-8</t>
  </si>
  <si>
    <t>Миры</t>
  </si>
  <si>
    <t xml:space="preserve">[
"https://api-enni.alpina.ru/FileCertificateProject/90"
]</t>
  </si>
  <si>
    <t xml:space="preserve">Можгина  Александра, Ремез Софья</t>
  </si>
  <si>
    <t>Алиса, привет! Приключения Ксюши, Серёжи и Ляпсуса в мире высоких технологий</t>
  </si>
  <si>
    <t>PGR2406105-P</t>
  </si>
  <si>
    <t>978-5-206-00378-9</t>
  </si>
  <si>
    <t>Бабанская Марина, Пряничникова Маша</t>
  </si>
  <si>
    <t>Атлас народов Сибири и Дальнего Востока : Мир видимый и невидимый</t>
  </si>
  <si>
    <t>ADK2407167-P</t>
  </si>
  <si>
    <t>978-5-0063-0031-6</t>
  </si>
  <si>
    <t>70x100/8</t>
  </si>
  <si>
    <t xml:space="preserve">[
"https://api-enni.alpina.ru/FileCertificateProject/163"
]</t>
  </si>
  <si>
    <t>Клепикова Елена, Земскова Ксения</t>
  </si>
  <si>
    <t>Баурсак и Карузо/Бауырсақ пен Карузо</t>
  </si>
  <si>
    <t>Пер. с рус-каз.</t>
  </si>
  <si>
    <t>ZGZ2406019-P</t>
  </si>
  <si>
    <t>978-601-81159-4-3</t>
  </si>
  <si>
    <t>де Моор Паул, Пандерс Венди</t>
  </si>
  <si>
    <t>Большая книга велосипедов</t>
  </si>
  <si>
    <t>ADK2308050-P</t>
  </si>
  <si>
    <t>978-5-9614-9168-5</t>
  </si>
  <si>
    <t xml:space="preserve">[
"https://api-enni.alpina.ru/FileCertificateProject/50"
]</t>
  </si>
  <si>
    <t>Мильнер Анжела</t>
  </si>
  <si>
    <t>Большая книга динозавров</t>
  </si>
  <si>
    <t>a180212</t>
  </si>
  <si>
    <t>978-5-9614-7127-4</t>
  </si>
  <si>
    <t xml:space="preserve">[
"https://api-enni.alpina.ru/FileCertificateProject/108",
"https://api-enni.alpina.ru/FileCertificateProject/113"
]</t>
  </si>
  <si>
    <t>Хартцман Марк</t>
  </si>
  <si>
    <t>Большая книга Марса: Миллион фактов от фараонов до Маска</t>
  </si>
  <si>
    <t>ADH2012353-P</t>
  </si>
  <si>
    <t>978-5-9614-8002-3</t>
  </si>
  <si>
    <t xml:space="preserve">[
"https://api-enni.alpina.ru/FileCertificateProject/34"
]</t>
  </si>
  <si>
    <t>Багаутдинов Айрат , Шевчук Полина</t>
  </si>
  <si>
    <t>Большая книга мостов</t>
  </si>
  <si>
    <t>ADK2509201-P</t>
  </si>
  <si>
    <t>978-5-9614-9427-3</t>
  </si>
  <si>
    <t xml:space="preserve">[
"https://api-enni.alpina.ru/FileCertificateProject/40"
]</t>
  </si>
  <si>
    <t>Маркелова Анастасия</t>
  </si>
  <si>
    <t>Большая книга рынков : От древних базаров до современных городских маркетов</t>
  </si>
  <si>
    <t>ADH2105048-P</t>
  </si>
  <si>
    <t>978-5-9614-7315-5</t>
  </si>
  <si>
    <t>Сальников Сергей</t>
  </si>
  <si>
    <t>Большая книга самолётов. Фюзеляж, багаж и экипаж</t>
  </si>
  <si>
    <t>ADK2508031-P</t>
  </si>
  <si>
    <t>978-5-9614-8476-2</t>
  </si>
  <si>
    <t xml:space="preserve">[
"https://api-enni.alpina.ru/FileCertificateProject/20"
]</t>
  </si>
  <si>
    <t>Секанинова Штепанка</t>
  </si>
  <si>
    <t>Большая книга снега и льда</t>
  </si>
  <si>
    <t>ADH2506027-P</t>
  </si>
  <si>
    <t>978-5-9614-8453-3</t>
  </si>
  <si>
    <t>Аллен Питер</t>
  </si>
  <si>
    <t>Взлёты и падения : Великие империи, сформировавшие мир</t>
  </si>
  <si>
    <t>ADK2411218-P</t>
  </si>
  <si>
    <t>978-5-0063-0346-1</t>
  </si>
  <si>
    <t xml:space="preserve">[
"https://api-enni.alpina.ru/FileCertificateProject/100"
]</t>
  </si>
  <si>
    <t>Новиковская Анна</t>
  </si>
  <si>
    <t>Вот так капибара : необыкновенные грызуны и их родственники</t>
  </si>
  <si>
    <t>ADK2409134-P</t>
  </si>
  <si>
    <t>978-5-0063-0161-0</t>
  </si>
  <si>
    <t>Моя планета: от вопросов к открытиям</t>
  </si>
  <si>
    <t xml:space="preserve">[
"https://api-enni.alpina.ru/FileCertificateProject/67"
]</t>
  </si>
  <si>
    <t>Ханаор Зигги , Шмал Кристобаль</t>
  </si>
  <si>
    <t>Жизнь (какой мы её знаем)</t>
  </si>
  <si>
    <t>ADK2504155-P</t>
  </si>
  <si>
    <t>978-5-0063-0717-9</t>
  </si>
  <si>
    <t xml:space="preserve">[
"https://api-enni.alpina.ru/FileCertificateProject/149"
]</t>
  </si>
  <si>
    <t>Ярин Михаил, Турко Сергей</t>
  </si>
  <si>
    <t>Зажигалка, компас, нож: Навыки выживания в лесу для детей и подростков</t>
  </si>
  <si>
    <t>ADK2412174-P</t>
  </si>
  <si>
    <t>978-5-0063-0384-3</t>
  </si>
  <si>
    <t>Безопасный маршрут</t>
  </si>
  <si>
    <t xml:space="preserve">[
"https://api-enni.alpina.ru/FileCertificateProject/176"
]</t>
  </si>
  <si>
    <t>21.04.2026</t>
  </si>
  <si>
    <t>Злобина Анастасия</t>
  </si>
  <si>
    <t>Золото: от звезды до монеты. История. Наука. Применение</t>
  </si>
  <si>
    <t>ADK2505155-P</t>
  </si>
  <si>
    <t>978-5-0063-0806-0</t>
  </si>
  <si>
    <t xml:space="preserve">[
"https://api-enni.alpina.ru/FileCertificateProject/172"
]</t>
  </si>
  <si>
    <t>Искусственный интеллект. 5 больших идей</t>
  </si>
  <si>
    <t>LGI2109022-P</t>
  </si>
  <si>
    <t>978-5-907534-16-2</t>
  </si>
  <si>
    <t>Темпорелли Макс</t>
  </si>
  <si>
    <t>Как все менялось. Эволюция 10 изобретений, без которых невозможно представить наш мир</t>
  </si>
  <si>
    <t>ADK2512129-P</t>
  </si>
  <si>
    <t>978-5-9614-9102-9</t>
  </si>
  <si>
    <t>Поляруш Яна</t>
  </si>
  <si>
    <t>Как устроен футбол. Книга о самой популярной игре в мире</t>
  </si>
  <si>
    <t>PGR2401047-P</t>
  </si>
  <si>
    <t>978-5-206-00328-4</t>
  </si>
  <si>
    <t>Когда все пошло не по плану. 10 реальных историй изобретателей, которые не сдались!</t>
  </si>
  <si>
    <t>ADK2602126-P</t>
  </si>
  <si>
    <t>978-5-9614-9103-6</t>
  </si>
  <si>
    <t>Булгасова Анастасия</t>
  </si>
  <si>
    <t>Косолапые медведи</t>
  </si>
  <si>
    <t>ADK2506158-P</t>
  </si>
  <si>
    <t>978-5-0063-0938-8</t>
  </si>
  <si>
    <t xml:space="preserve">[
"https://api-enni.alpina.ru/FileCertificateProject/88"
]</t>
  </si>
  <si>
    <t>Шевчук Полина, Турко Сергей</t>
  </si>
  <si>
    <t>Мир академика Королёва : Мечтатель, лидер, инженер</t>
  </si>
  <si>
    <t>ADK2511125-P</t>
  </si>
  <si>
    <t>978-5-9614-9919-3</t>
  </si>
  <si>
    <t>Шевчук Полина, Цыбко Антон</t>
  </si>
  <si>
    <t>Мир ботаника Вавилова : Человек, который мечтал накормить весь мир</t>
  </si>
  <si>
    <t>ADK2503240-P</t>
  </si>
  <si>
    <t>978-5-0063-0650-9</t>
  </si>
  <si>
    <t xml:space="preserve">[
"https://api-enni.alpina.ru/FileCertificateProject/175"
]</t>
  </si>
  <si>
    <t>Мир инженера Шухова. Как работает мозг изобретателя</t>
  </si>
  <si>
    <t>ADH2501124-P</t>
  </si>
  <si>
    <t>978-5-9614-9389-4</t>
  </si>
  <si>
    <t>Мир механика Кулибина : Человек, который умел всё на свете</t>
  </si>
  <si>
    <t>ADK2511126-P</t>
  </si>
  <si>
    <t>978-5-9614-9905-6</t>
  </si>
  <si>
    <t>Шевчук Полина, Ульяненкова Марина</t>
  </si>
  <si>
    <t>Мир учёного Менделеева: Как рождаются научные открытия</t>
  </si>
  <si>
    <t>ADK2509198-P</t>
  </si>
  <si>
    <t>978-5-0063-1256-2</t>
  </si>
  <si>
    <t>Пигарева Надя, Тюльпинова Оксана</t>
  </si>
  <si>
    <t>МЫ ПОГАВКАЛИ! КАК ВЫБРАТЬ И ВОСПИТАТЬ ЩЕНКА</t>
  </si>
  <si>
    <t>ADP2111259-P</t>
  </si>
  <si>
    <t>978-5-9614-7648-4</t>
  </si>
  <si>
    <t>Браун Эд Джей, Джейкобс Робин</t>
  </si>
  <si>
    <t>На вершине мира : удивительные горы Земли (и как их покорить)</t>
  </si>
  <si>
    <t>ADK2512127-P</t>
  </si>
  <si>
    <t>978-5-0063-0029-3</t>
  </si>
  <si>
    <t>Браун Эд Джей</t>
  </si>
  <si>
    <t>Невероятные странствия животных : навигация и миграция по воздуху, суше и морю</t>
  </si>
  <si>
    <t>ADK2512126-P</t>
  </si>
  <si>
    <t>978-5-0063-0028-6</t>
  </si>
  <si>
    <t xml:space="preserve">[
"https://api-enni.alpina.ru/FileCertificateProject/56"
]</t>
  </si>
  <si>
    <t>Журко Аня, Горячок Кирилл</t>
  </si>
  <si>
    <t>Немое кино : Магия кинематографа в буквах и картинках</t>
  </si>
  <si>
    <t>ADK2411224-P</t>
  </si>
  <si>
    <t>978-5-0063-0352-2</t>
  </si>
  <si>
    <t>Искусство в буквах и картинках</t>
  </si>
  <si>
    <t xml:space="preserve">[
"https://api-enni.alpina.ru/FileCertificateProject/156"
]</t>
  </si>
  <si>
    <t>Оперы и призраки. Страшные истории в буквах и картинках</t>
  </si>
  <si>
    <t>ADK2211064-P</t>
  </si>
  <si>
    <t>978-5-9614-8430-4</t>
  </si>
  <si>
    <t>Уильямс Софи, Джейкобс Робин</t>
  </si>
  <si>
    <t>Потрясающая стихия: землетрясения, торнадо, цунами и другие природные бедствия</t>
  </si>
  <si>
    <t>ADK2508030-P</t>
  </si>
  <si>
    <t>978-5-0063-1027-8</t>
  </si>
  <si>
    <t>Логачева Элина</t>
  </si>
  <si>
    <t>Профессия 一 архитектор: от города до дверной ручки</t>
  </si>
  <si>
    <t>ADK2511284-P</t>
  </si>
  <si>
    <t>978-5-9614-8685-8</t>
  </si>
  <si>
    <t>Нелихов Антон , Логачева Элина</t>
  </si>
  <si>
    <t>Профессия 一 палеонтолог : От камня до динозавра</t>
  </si>
  <si>
    <t>ADK2512282-P</t>
  </si>
  <si>
    <t>978-5-9614-9861-5</t>
  </si>
  <si>
    <t>Потапова Надежда, Стоянова Элина</t>
  </si>
  <si>
    <t>Расплетая ДНК : увлекательный путеводитель по генетике</t>
  </si>
  <si>
    <t>ADK2512203-P</t>
  </si>
  <si>
    <t>978-5-9614-8992-7</t>
  </si>
  <si>
    <t>Вилльс Анна, Томм Нора</t>
  </si>
  <si>
    <t>Религии мира. Кто во что верит? Виммельбух для детей и взрослых</t>
  </si>
  <si>
    <t>ADH2407065-P</t>
  </si>
  <si>
    <t>978-5-9614-8268-3</t>
  </si>
  <si>
    <t>Рауш Саша</t>
  </si>
  <si>
    <t>Секреты кошек. Как понять свою кошку и подружиться с ней</t>
  </si>
  <si>
    <t>ADH2412279-P</t>
  </si>
  <si>
    <t>978-5-9614-8202-7</t>
  </si>
  <si>
    <t>Секреты собак. Как понять собаку и стать ей другом</t>
  </si>
  <si>
    <t>ADK2508033-P</t>
  </si>
  <si>
    <t>978-5-9614-9096-1</t>
  </si>
  <si>
    <t>Андрусов Андрей</t>
  </si>
  <si>
    <t>Твой первый бизнес или Как запустить свой предпринимательский проект еще в школе</t>
  </si>
  <si>
    <t>ADH2601041-P</t>
  </si>
  <si>
    <t>978-5-0063-0245-7</t>
  </si>
  <si>
    <t>Твой первый социальный проект или Как менять мир к лучшему уже в школе</t>
  </si>
  <si>
    <t>ADK2504238-P</t>
  </si>
  <si>
    <t>978-5-0063-0768-1</t>
  </si>
  <si>
    <t xml:space="preserve">[
"https://api-enni.alpina.ru/FileCertificateProject/162"
]</t>
  </si>
  <si>
    <t>Умные открытия. Вода</t>
  </si>
  <si>
    <t>ADK2310185-P</t>
  </si>
  <si>
    <t>978-5-9614-9381-8</t>
  </si>
  <si>
    <t xml:space="preserve">[
"https://api-enni.alpina.ru/FileCertificateProject/60"
]</t>
  </si>
  <si>
    <t>Баруцци Аньезе, - Техношенца</t>
  </si>
  <si>
    <t>Умные открытия. Геология</t>
  </si>
  <si>
    <t>ADK2310184-P</t>
  </si>
  <si>
    <t>978-5-9614-9380-1</t>
  </si>
  <si>
    <t>Умные открытия</t>
  </si>
  <si>
    <t>Умные открытия. Насекомые</t>
  </si>
  <si>
    <t>ADK2310186-P</t>
  </si>
  <si>
    <t>978-5-9614-9382-5</t>
  </si>
  <si>
    <t>Бояринов Денис</t>
  </si>
  <si>
    <t>Цой. История рок-звезды в буквах и картинках</t>
  </si>
  <si>
    <t>ADK2509031-P</t>
  </si>
  <si>
    <t>978-5-9614-8431-1</t>
  </si>
  <si>
    <t>Плаксунова Дарья, Прохоцкая Юлия</t>
  </si>
  <si>
    <t>Чем пахнут книги</t>
  </si>
  <si>
    <t>ADH2507094-P</t>
  </si>
  <si>
    <t>978-5-9614-7303-2</t>
  </si>
  <si>
    <t xml:space="preserve">[
"https://api-enni.alpina.ru/FileCertificateProject/15"
]</t>
  </si>
  <si>
    <t>Мариньо Соледад Ромеро, Кабасса Мариона</t>
  </si>
  <si>
    <t>Чудесная книга жизни</t>
  </si>
  <si>
    <t>ADK2504150-P</t>
  </si>
  <si>
    <t>978-5-0063-0716-2</t>
  </si>
  <si>
    <t xml:space="preserve">[
"https://api-enni.alpina.ru/FileCertificateProject/95"
]</t>
  </si>
  <si>
    <t>Чудесная книга смерти</t>
  </si>
  <si>
    <t>ADK2509144-P</t>
  </si>
  <si>
    <t>978-5-9614-9858-5</t>
  </si>
  <si>
    <t xml:space="preserve">[
"https://api-enni.alpina.ru/FileCertificateProject/48"
]</t>
  </si>
  <si>
    <t>Шебеко Маша</t>
  </si>
  <si>
    <t>Я тебя чую! Путешествие в мир запахов</t>
  </si>
  <si>
    <t>ADK2512242-P</t>
  </si>
  <si>
    <t>978-5-0063-1794-9</t>
  </si>
  <si>
    <t xml:space="preserve">[
"https://api-enni.alpina.ru/FileCertificateProject/161"
]</t>
  </si>
  <si>
    <t>9.09. Детская научно-художественная литература</t>
  </si>
  <si>
    <t>Бучков Ральф</t>
  </si>
  <si>
    <t>Архитектор</t>
  </si>
  <si>
    <t>ADK2512081-P</t>
  </si>
  <si>
    <t>978-5-9614-9088-6</t>
  </si>
  <si>
    <t>Знакомство с профессиями</t>
  </si>
  <si>
    <t xml:space="preserve">[
"https://api-enni.alpina.ru/FileCertificateProject/46"
]</t>
  </si>
  <si>
    <t>Мицкевич Анастасия</t>
  </si>
  <si>
    <t>Ася и волшебные очки. Экосекреты и экосоветы</t>
  </si>
  <si>
    <t>ADK2507242-P</t>
  </si>
  <si>
    <t>978-5-0063-1046-9</t>
  </si>
  <si>
    <t>Умный мир</t>
  </si>
  <si>
    <t xml:space="preserve">[
"https://api-enni.alpina.ru/FileCertificateProject/194"
]</t>
  </si>
  <si>
    <t>Балерина</t>
  </si>
  <si>
    <t>ADH2511128-P</t>
  </si>
  <si>
    <t>978-5-9614-8406-9</t>
  </si>
  <si>
    <t>В саду Базилика. Как какают деревья?</t>
  </si>
  <si>
    <t>ADK2406090-P</t>
  </si>
  <si>
    <t>978-5-9614-9925-4</t>
  </si>
  <si>
    <t>В саду Базилика. Растения обладают суперспособностями</t>
  </si>
  <si>
    <t>ADK2406094-P</t>
  </si>
  <si>
    <t>978-5-9614-9929-2</t>
  </si>
  <si>
    <t>В саду Базилика. Сорняков не существует!</t>
  </si>
  <si>
    <t>ADK2406092-P</t>
  </si>
  <si>
    <t>978-5-9614-9927-8</t>
  </si>
  <si>
    <t>Ветеринар</t>
  </si>
  <si>
    <t>ADH2509114-P</t>
  </si>
  <si>
    <t>978-5-9614-5551-9</t>
  </si>
  <si>
    <t>Водитель автобуса</t>
  </si>
  <si>
    <t>ADH2509352-P</t>
  </si>
  <si>
    <t>978-5-9614-5616-5</t>
  </si>
  <si>
    <t>Водитель грузовика</t>
  </si>
  <si>
    <t>ADK2511129-P</t>
  </si>
  <si>
    <t>978-5-9614-9699-4</t>
  </si>
  <si>
    <t>Водитель мусоровоза</t>
  </si>
  <si>
    <t>ADH2510080-P</t>
  </si>
  <si>
    <t>978-5-9614-5255-6</t>
  </si>
  <si>
    <t>Геннадий Туманович и другие облака</t>
  </si>
  <si>
    <t>ADH2207111-P</t>
  </si>
  <si>
    <t>978-5-9614-8232-4</t>
  </si>
  <si>
    <t>Дело о пропавшей учительнице, или параллельные человечества палеолита</t>
  </si>
  <si>
    <t>ADH2501290-P</t>
  </si>
  <si>
    <t>978-5-0063-0506-9</t>
  </si>
  <si>
    <t>Библиотека Маши Рупасовой</t>
  </si>
  <si>
    <t>Космонавт</t>
  </si>
  <si>
    <t>ADK2503139-P</t>
  </si>
  <si>
    <t>978-5-9614-9090-9</t>
  </si>
  <si>
    <t>Машинист поезда</t>
  </si>
  <si>
    <t>ADK2601043-P</t>
  </si>
  <si>
    <t>978-5-9614-9089-3</t>
  </si>
  <si>
    <t>Виттманн Моника</t>
  </si>
  <si>
    <t>Машинки-помощники в городе</t>
  </si>
  <si>
    <t>ADK2504172-P</t>
  </si>
  <si>
    <t>978-5-0063-0725-4</t>
  </si>
  <si>
    <t>Машинки-помощники</t>
  </si>
  <si>
    <t xml:space="preserve">[
"https://api-enni.alpina.ru/FileCertificateProject/103"
]</t>
  </si>
  <si>
    <t>Машинки-помощники на стройке</t>
  </si>
  <si>
    <t>ADK2504170-P</t>
  </si>
  <si>
    <t>978-5-0063-0723-0</t>
  </si>
  <si>
    <t>Машинки-помощники строят дорогу</t>
  </si>
  <si>
    <t>ADK2504171-P</t>
  </si>
  <si>
    <t>978-5-0063-0724-7</t>
  </si>
  <si>
    <t>Локхарт Даг</t>
  </si>
  <si>
    <t>Планируй как панда Пула. История про бамбуковый лес</t>
  </si>
  <si>
    <t>ADH2202004-P</t>
  </si>
  <si>
    <t>978-5-9614-8181-5</t>
  </si>
  <si>
    <t>Уроки финансовой грамотности для самых маленьких</t>
  </si>
  <si>
    <t>Скворцов Владимир</t>
  </si>
  <si>
    <t>Плюсы и минусы: Что такое электроэнергия, как она работает и зачем ее беречь</t>
  </si>
  <si>
    <t>PGH2109225-P</t>
  </si>
  <si>
    <t>978-5-907534-29-2</t>
  </si>
  <si>
    <t>Пожарная машинка спешит на помощь</t>
  </si>
  <si>
    <t>ADK2504169-P</t>
  </si>
  <si>
    <t>978-5-0063-0722-3</t>
  </si>
  <si>
    <t>Пожарный</t>
  </si>
  <si>
    <t>ADK2509034-P</t>
  </si>
  <si>
    <t>978-5-9614-9700-7</t>
  </si>
  <si>
    <t>Орлова Ольга, Лаврова Дарья</t>
  </si>
  <si>
    <t>Пожарный. Кем я стану, когда вырасту?</t>
  </si>
  <si>
    <t>ADK2409201-P</t>
  </si>
  <si>
    <t>978-5-0063-0171-9</t>
  </si>
  <si>
    <t>Кем я стану, когда вырасту?</t>
  </si>
  <si>
    <t>Полицейский</t>
  </si>
  <si>
    <t>ADH2509115-P</t>
  </si>
  <si>
    <t>978-5-0063-0189-4</t>
  </si>
  <si>
    <t>Происхождение человека</t>
  </si>
  <si>
    <t>ADH2410268-P</t>
  </si>
  <si>
    <t>978-5-0063-0276-1</t>
  </si>
  <si>
    <t>Кеннеке Оле</t>
  </si>
  <si>
    <t>Роем, грузим, строим. Мир больших машин: истории, которые оживают!</t>
  </si>
  <si>
    <t>ADK2403066-P</t>
  </si>
  <si>
    <t>978-5-9614-9686-4</t>
  </si>
  <si>
    <t>Стоматолог</t>
  </si>
  <si>
    <t>ADH2506032-P</t>
  </si>
  <si>
    <t>978-5-9614-7444-2</t>
  </si>
  <si>
    <t>Шюрманн Сюзанна</t>
  </si>
  <si>
    <t>Строитель</t>
  </si>
  <si>
    <t>ADH2510079-P</t>
  </si>
  <si>
    <t>978-5-9614-5580-9</t>
  </si>
  <si>
    <t>Богомаз Лана</t>
  </si>
  <si>
    <t>Тайный мир даркстора. Раскройте его секреты с роботом Турби</t>
  </si>
  <si>
    <t>ADK2509071-P</t>
  </si>
  <si>
    <t>978-5-0063-1220-3</t>
  </si>
  <si>
    <t xml:space="preserve">[
"https://api-enni.alpina.ru/FileCertificateProject/83"
]</t>
  </si>
  <si>
    <t>Футбольный тренер</t>
  </si>
  <si>
    <t>ADK2503140-P</t>
  </si>
  <si>
    <t>978-5-9614-9087-9</t>
  </si>
  <si>
    <t>Шеф-повар</t>
  </si>
  <si>
    <t>ADH2501114-P</t>
  </si>
  <si>
    <t>978-5-9614-5585-4</t>
  </si>
  <si>
    <t>Инин Аркадий</t>
  </si>
  <si>
    <t>Я Бегемот с раскрасками</t>
  </si>
  <si>
    <t>ADH2112073-P</t>
  </si>
  <si>
    <t>978-5-9614-7779-5</t>
  </si>
  <si>
    <t>Занимательная зоология</t>
  </si>
  <si>
    <t>Коренева Елена</t>
  </si>
  <si>
    <t>Я Белка с раскрасками</t>
  </si>
  <si>
    <t>ADH2201178-P</t>
  </si>
  <si>
    <t>978-5-9614-5337-9</t>
  </si>
  <si>
    <t>Коростышевская Оксана</t>
  </si>
  <si>
    <t>Я Выхухоль с раскрасками</t>
  </si>
  <si>
    <t>ADH2201177-P</t>
  </si>
  <si>
    <t>978-5-9614-7507-4</t>
  </si>
  <si>
    <t>Тимофеевский Александр</t>
  </si>
  <si>
    <t>[переплет] Я енот</t>
  </si>
  <si>
    <t>ADH2208050-P</t>
  </si>
  <si>
    <t>978-5-9614-7119-9</t>
  </si>
  <si>
    <t>Кардакова Мария</t>
  </si>
  <si>
    <t>Я знаю, что я ем! Молоко</t>
  </si>
  <si>
    <t>ADK2404089-P</t>
  </si>
  <si>
    <t>978-5-9614-9774-8</t>
  </si>
  <si>
    <t>Я знаю, что я ЕМ</t>
  </si>
  <si>
    <t>Я знаю, что я ем! Орехи</t>
  </si>
  <si>
    <t>ADK2412242-P</t>
  </si>
  <si>
    <t>978-5-0063-0400-0</t>
  </si>
  <si>
    <t>Я знаю, что я ем! Суп</t>
  </si>
  <si>
    <t>ADK2311026-P</t>
  </si>
  <si>
    <t>978-5-9614-9437-2</t>
  </si>
  <si>
    <t xml:space="preserve">[
"https://api-enni.alpina.ru/FileCertificateProject/97"
]</t>
  </si>
  <si>
    <t>Я знаю, что я ем! Хлеб</t>
  </si>
  <si>
    <t>ADK2404091-P</t>
  </si>
  <si>
    <t>978-5-9614-9775-5</t>
  </si>
  <si>
    <t>Я знаю, что я ем. Крупы</t>
  </si>
  <si>
    <t>ADK2305089-P</t>
  </si>
  <si>
    <t>978-5-9614-8978-1</t>
  </si>
  <si>
    <t xml:space="preserve">[
"https://api-enni.alpina.ru/FileCertificateProject/39"
]</t>
  </si>
  <si>
    <t>Я знаю, что я ем. Овощи</t>
  </si>
  <si>
    <t>ADK2602026-P</t>
  </si>
  <si>
    <t>978-5-9614-8976-7</t>
  </si>
  <si>
    <t>Я знаю, что я ем. Рыба</t>
  </si>
  <si>
    <t>ADK2406156-P</t>
  </si>
  <si>
    <t>978-5-9614-9966-7</t>
  </si>
  <si>
    <t>Я знаю, что я ем. Соль</t>
  </si>
  <si>
    <t>ADK2406100-P</t>
  </si>
  <si>
    <t>978-5-9614-9934-6</t>
  </si>
  <si>
    <t>Я знаю, что я ем. Фрукты</t>
  </si>
  <si>
    <t>ADK2305088-P</t>
  </si>
  <si>
    <t>978-5-9614-8977-4</t>
  </si>
  <si>
    <t>Я знаю, что я ем. Шоколад</t>
  </si>
  <si>
    <t>ADK2410226-P</t>
  </si>
  <si>
    <t>978-5-0063-0253-2</t>
  </si>
  <si>
    <t>Юрский Сергей</t>
  </si>
  <si>
    <t>Я кот. Издание с раскрасками</t>
  </si>
  <si>
    <t>ADH2208052-P</t>
  </si>
  <si>
    <t>978-5-9614-8259-1</t>
  </si>
  <si>
    <t>Смехов Вениамин</t>
  </si>
  <si>
    <t>Я Крокодил с раскрасками</t>
  </si>
  <si>
    <t>ADH2202028-P</t>
  </si>
  <si>
    <t>978-5-9614-7780-1</t>
  </si>
  <si>
    <t>Комолов Антон</t>
  </si>
  <si>
    <t>Я Ленивец с раскрасками</t>
  </si>
  <si>
    <t>ADH2202027-P</t>
  </si>
  <si>
    <t>978-5-9614-7781-8</t>
  </si>
  <si>
    <t>Устинова Татьяна</t>
  </si>
  <si>
    <t>Я Скунс с раскрасками</t>
  </si>
  <si>
    <t>ADH2202026-P</t>
  </si>
  <si>
    <t>978-5-9614-7770-2</t>
  </si>
  <si>
    <t>9.10. Книжки-картинки</t>
  </si>
  <si>
    <t>Бранкович Лидия</t>
  </si>
  <si>
    <t>Гранд-отель чувств</t>
  </si>
  <si>
    <t>ADK2511122-P</t>
  </si>
  <si>
    <t>978-5-0063-0184-9</t>
  </si>
  <si>
    <t>Вола Ноэми</t>
  </si>
  <si>
    <t>Если плакать как фонтан</t>
  </si>
  <si>
    <t>ADK2509119-P</t>
  </si>
  <si>
    <t>978-5-9614-9286-6</t>
  </si>
  <si>
    <t>Грив Катрин</t>
  </si>
  <si>
    <t>Как же теперь сказать правду?</t>
  </si>
  <si>
    <t>ADH1911185-P</t>
  </si>
  <si>
    <t>978-5-9614-3200-8</t>
  </si>
  <si>
    <t>Принц Филипп и весёлая ярмарка: Как не бояться общественных туалетов</t>
  </si>
  <si>
    <t>AAK2503142-P</t>
  </si>
  <si>
    <t>978-5-0063-1047-6</t>
  </si>
  <si>
    <t>Маленький герой</t>
  </si>
  <si>
    <t xml:space="preserve">[
"https://api-enni.alpina.ru/FileCertificateProject/79"
]</t>
  </si>
  <si>
    <t>Принц Филипп и добрый друг-шарик: Что делать, если потерял друга</t>
  </si>
  <si>
    <t>AAK2504137-P</t>
  </si>
  <si>
    <t>978-5-0063-1048-3</t>
  </si>
  <si>
    <t>Принц Филипп и самая высокая ракета: Побеждаем страх неудачи</t>
  </si>
  <si>
    <t>AAK2504149-P</t>
  </si>
  <si>
    <t>978-5-0063-1049-0</t>
  </si>
  <si>
    <t>Цирк теней</t>
  </si>
  <si>
    <t>ADK2411220-P</t>
  </si>
  <si>
    <t>978-5-0063-0347-8</t>
  </si>
  <si>
    <t>Зокка Бруно</t>
  </si>
  <si>
    <t>Я разучилась спать</t>
  </si>
  <si>
    <t>ADK2503146-P</t>
  </si>
  <si>
    <t>978-5-0063-0632-5</t>
  </si>
  <si>
    <t>9.11. Детские комиксы</t>
  </si>
  <si>
    <t>Мацусита Саэко</t>
  </si>
  <si>
    <t>Ами. О жизни, связанной крючком</t>
  </si>
  <si>
    <t>ADK2506175-P</t>
  </si>
  <si>
    <t>978-5-0063-0922-7</t>
  </si>
  <si>
    <t xml:space="preserve">[
"https://api-enni.alpina.ru/FileCertificateProject/150"
]</t>
  </si>
  <si>
    <t>Франкфор Джереми, - Эрджи</t>
  </si>
  <si>
    <t>Вселенная. Комикс-путешествие в астрофизику</t>
  </si>
  <si>
    <t>ADK2501089-P</t>
  </si>
  <si>
    <t>978-5-0063-0436-9</t>
  </si>
  <si>
    <t xml:space="preserve">[
"https://api-enni.alpina.ru/FileCertificateProject/159"
]</t>
  </si>
  <si>
    <t>Брилль Олаф, Фогт Михаэль</t>
  </si>
  <si>
    <t>Приключения Перри Родана. В империи 42 миров</t>
  </si>
  <si>
    <t>ADK2402191-P</t>
  </si>
  <si>
    <t>978-5-9614-9655-0</t>
  </si>
  <si>
    <t>Приключения Перри Родана</t>
  </si>
  <si>
    <t xml:space="preserve">[
"https://api-enni.alpina.ru/FileCertificateProject/70"
]</t>
  </si>
  <si>
    <t>Приключения Перри Родана. Тайна блуждающей планеты</t>
  </si>
  <si>
    <t>ADK2402190-P</t>
  </si>
  <si>
    <t>978-5-9614-9654-3</t>
  </si>
  <si>
    <t xml:space="preserve">[
"https://api-enni.alpina.ru/FileCertificateProject/51"
]</t>
  </si>
  <si>
    <t>Дэвис Беа, Шедлих Сюзан, Штанг Михаэль</t>
  </si>
  <si>
    <t>Путешествие во времени. Эволюция человека</t>
  </si>
  <si>
    <t>ADK2402081-P</t>
  </si>
  <si>
    <t>978-5-9614-9617-8</t>
  </si>
  <si>
    <t>Кеннеке Оле , Хайдельбах Николас</t>
  </si>
  <si>
    <t>Сказки на ночь для Селесты. Книжка с очень загадочными картинками</t>
  </si>
  <si>
    <t>ADK2503003-P</t>
  </si>
  <si>
    <t>978-5-0063-0604-2</t>
  </si>
  <si>
    <t xml:space="preserve">[
"https://api-enni.alpina.ru/FileCertificateProject/64"
]</t>
  </si>
  <si>
    <t>Биккари Сесиль, Лаколомб Наяда</t>
  </si>
  <si>
    <t>Твои деньги. Как их тратить, копить и инвестировать</t>
  </si>
  <si>
    <t>ADK2605011-P</t>
  </si>
  <si>
    <t>978-5-0063-0056-9</t>
  </si>
  <si>
    <t xml:space="preserve">[
"https://api-enni.alpina.ru/FileCertificateProject/89"
]</t>
  </si>
  <si>
    <t>Гёлих Сюзанна</t>
  </si>
  <si>
    <t>Что такое человек? Записки любознательного хомяка</t>
  </si>
  <si>
    <t>ADK2411234-P</t>
  </si>
  <si>
    <t>978-5-0063-0355-3</t>
  </si>
  <si>
    <t>9.12. Детская художественная литература</t>
  </si>
  <si>
    <t xml:space="preserve"> Тариф "Сны и сказки": Четыре путешествия Даши Кузнецовой</t>
  </si>
  <si>
    <t>ADK2404158-P</t>
  </si>
  <si>
    <t>978-5-9614-9790-8</t>
  </si>
  <si>
    <t xml:space="preserve">Марси Кристина , Карабелли  Франческа</t>
  </si>
  <si>
    <t>Аделина Тестафина и тайна пропавшей вице-бабушки</t>
  </si>
  <si>
    <t>ADK2507233-P</t>
  </si>
  <si>
    <t>978-5-0063-1044-5</t>
  </si>
  <si>
    <t xml:space="preserve">[
"https://api-enni.alpina.ru/FileCertificateProject/158"
]</t>
  </si>
  <si>
    <t>23.03.2026</t>
  </si>
  <si>
    <t>Ципфель Дита, Дэвис Беа</t>
  </si>
  <si>
    <t>Бз-з-з-з-з-з! Джонни, самый странный муравей</t>
  </si>
  <si>
    <t>ADK2307065-P</t>
  </si>
  <si>
    <t>978-5-9614-8169-3</t>
  </si>
  <si>
    <t xml:space="preserve">[
"https://api-enni.alpina.ru/FileCertificateProject/32"
]</t>
  </si>
  <si>
    <t>Русинова Евгения</t>
  </si>
  <si>
    <t>Волшебные коньки</t>
  </si>
  <si>
    <t>ADK2402114-P</t>
  </si>
  <si>
    <t>978-5-9614-9621-5</t>
  </si>
  <si>
    <t xml:space="preserve">[
"https://api-enni.alpina.ru/FileCertificateProject/76"
]</t>
  </si>
  <si>
    <t>Весова Юлия</t>
  </si>
  <si>
    <t>Гусь Гоша. Урок для зазнайки</t>
  </si>
  <si>
    <t>ADK2504178-P</t>
  </si>
  <si>
    <t>978-5-0063-0728-5</t>
  </si>
  <si>
    <t>Однажды в деревне</t>
  </si>
  <si>
    <t xml:space="preserve">[
"https://api-enni.alpina.ru/FileCertificateProject/173"
]</t>
  </si>
  <si>
    <t>Огризек Маша</t>
  </si>
  <si>
    <t>Дама в шляпе</t>
  </si>
  <si>
    <t>Пер. с слов.</t>
  </si>
  <si>
    <t>ADK2303202-P</t>
  </si>
  <si>
    <t>978-5-9614-8776-3</t>
  </si>
  <si>
    <t xml:space="preserve">[
"https://api-enni.alpina.ru/FileCertificateProject/31"
]</t>
  </si>
  <si>
    <t>День крика. Когда всё идёт не по плану</t>
  </si>
  <si>
    <t>ADK2512125-P</t>
  </si>
  <si>
    <t>978-5-0063-0246-4</t>
  </si>
  <si>
    <t xml:space="preserve">[
"https://api-enni.alpina.ru/FileCertificateProject/93"
]</t>
  </si>
  <si>
    <t xml:space="preserve">Келлер  Аличе</t>
  </si>
  <si>
    <t>Дорогой синьор П.</t>
  </si>
  <si>
    <t>ADK2506080-P</t>
  </si>
  <si>
    <t>978-5-0063-0881-7</t>
  </si>
  <si>
    <t xml:space="preserve">Кёлер  Карен</t>
  </si>
  <si>
    <t>К небесам</t>
  </si>
  <si>
    <t>ADK2411180-P</t>
  </si>
  <si>
    <t>978-5-0063-0337-9</t>
  </si>
  <si>
    <t xml:space="preserve">[
"https://api-enni.alpina.ru/FileCertificateProject/91"
]</t>
  </si>
  <si>
    <t>Как Тима укусила лошадь</t>
  </si>
  <si>
    <t>ADH2111299-P</t>
  </si>
  <si>
    <t>978-5-9614-7396-4</t>
  </si>
  <si>
    <t>Однажды в Симплвельде</t>
  </si>
  <si>
    <t>Филиппенко Валя, До Евдокия</t>
  </si>
  <si>
    <t>Коля ничего не боится</t>
  </si>
  <si>
    <t>ADK2406007-P</t>
  </si>
  <si>
    <t>978-5-9614-9897-4</t>
  </si>
  <si>
    <t>Шпагин Алексей</t>
  </si>
  <si>
    <t>Лазурная фея Волшебной страны</t>
  </si>
  <si>
    <t>ADH2506016-P</t>
  </si>
  <si>
    <t>978-5-9614-8066-5</t>
  </si>
  <si>
    <t>Хаус Лера</t>
  </si>
  <si>
    <t>Лидочка. Перрон встреч и прощаний</t>
  </si>
  <si>
    <t>ADK2502082-P</t>
  </si>
  <si>
    <t>978-5-0063-0527-4</t>
  </si>
  <si>
    <t xml:space="preserve">[
"https://api-enni.alpina.ru/FileCertificateProject/69"
]</t>
  </si>
  <si>
    <t>Максандер и другая девочка</t>
  </si>
  <si>
    <t>ADH2206048-P</t>
  </si>
  <si>
    <t>978-5-9614-7398-8</t>
  </si>
  <si>
    <t>Маленький экскаватор ищет друзей</t>
  </si>
  <si>
    <t>ADK2504062-P</t>
  </si>
  <si>
    <t>978-5-0063-0684-4</t>
  </si>
  <si>
    <t>Большие приключения маленького экскаватора</t>
  </si>
  <si>
    <t>Маленький экскаватор, спокойной ночи!</t>
  </si>
  <si>
    <t>ADK2504063-P</t>
  </si>
  <si>
    <t>978-5-0063-0685-1</t>
  </si>
  <si>
    <t>Лейк Ирина, Сурина Ольга</t>
  </si>
  <si>
    <t>Мафия с подоконника 2. Зелёные против "зелёных"</t>
  </si>
  <si>
    <t>ADK2501312-P</t>
  </si>
  <si>
    <t>978-5-0063-0516-8</t>
  </si>
  <si>
    <t xml:space="preserve">[
"https://api-enni.alpina.ru/FileCertificateProject/99"
]</t>
  </si>
  <si>
    <t>Баранова Ольга</t>
  </si>
  <si>
    <t>Овечка Эмма и её друзья</t>
  </si>
  <si>
    <t>ADK2506160-P</t>
  </si>
  <si>
    <t>978-5-0063-1830-4</t>
  </si>
  <si>
    <t>ADH2502003-P</t>
  </si>
  <si>
    <t>978-5-9614-7864-8</t>
  </si>
  <si>
    <t xml:space="preserve">Ширнек  Хуберт</t>
  </si>
  <si>
    <t>Приключения Конрада Фрюлинга</t>
  </si>
  <si>
    <t>ADK2512303-P</t>
  </si>
  <si>
    <t>978-5-9614-9835-6</t>
  </si>
  <si>
    <t xml:space="preserve">[
"https://api-enni.alpina.ru/FileCertificateProject/44"
]</t>
  </si>
  <si>
    <t>Киселёв Александр</t>
  </si>
  <si>
    <t>Принцесса Дуня и...</t>
  </si>
  <si>
    <t>ADK2506222-P</t>
  </si>
  <si>
    <t>978-5-0063-0936-4</t>
  </si>
  <si>
    <t>Варга Жасмин</t>
  </si>
  <si>
    <t>Резилиенс. Марсоход с большим сердцем</t>
  </si>
  <si>
    <t>ADK2412038-P</t>
  </si>
  <si>
    <t>978-5-9614-8880-7</t>
  </si>
  <si>
    <t>Миллер Дарси</t>
  </si>
  <si>
    <t>Сальто назад</t>
  </si>
  <si>
    <t>ADK2501225-P</t>
  </si>
  <si>
    <t>978-5-0063-0503-8</t>
  </si>
  <si>
    <t xml:space="preserve">Ньютон Фаско  Кимберли</t>
  </si>
  <si>
    <t>Секрет медового пирога</t>
  </si>
  <si>
    <t>ADK2412197-P</t>
  </si>
  <si>
    <t>978-5-0063-0390-4</t>
  </si>
  <si>
    <t xml:space="preserve">[
"https://api-enni.alpina.ru/FileCertificateProject/101"
]</t>
  </si>
  <si>
    <t>Сорига Флавио</t>
  </si>
  <si>
    <t>Синьор Колбаска : История о ёжиках, дедушках и бабушках и об изменении климата</t>
  </si>
  <si>
    <t>ADK2406165-P</t>
  </si>
  <si>
    <t>978-5-9614-9972-8</t>
  </si>
  <si>
    <t>Макниколл Элль</t>
  </si>
  <si>
    <t>Словно искра</t>
  </si>
  <si>
    <t>ADK2407074-P</t>
  </si>
  <si>
    <t>978-5-0063-0004-0</t>
  </si>
  <si>
    <t xml:space="preserve">[
"https://api-enni.alpina.ru/FileCertificateProject/74"
]</t>
  </si>
  <si>
    <t>Ты – мой талисман!</t>
  </si>
  <si>
    <t>ADK2403217-P</t>
  </si>
  <si>
    <t>978-5-9614-9725-0</t>
  </si>
  <si>
    <t xml:space="preserve">[
"https://api-enni.alpina.ru/FileCertificateProject/28",
"https://api-enni.alpina.ru/FileCertificateProject/164"
]</t>
  </si>
  <si>
    <t>Цыплёнок Желток. Арбузная катастрофа</t>
  </si>
  <si>
    <t>ADK2504179-P</t>
  </si>
  <si>
    <t>978-5-0063-0729-2</t>
  </si>
  <si>
    <t>9.13. Стихи</t>
  </si>
  <si>
    <t>Кисельные берега</t>
  </si>
  <si>
    <t>ADK2310121-P</t>
  </si>
  <si>
    <t>978-5-9614-9351-1</t>
  </si>
  <si>
    <t>Стихи для детей</t>
  </si>
  <si>
    <t>Даниленко Александра</t>
  </si>
  <si>
    <t>Космические друзья. Настоящие истории звёздных первооткрывателей</t>
  </si>
  <si>
    <t>ADK2508046-P</t>
  </si>
  <si>
    <t>978-5-0063-1185-5</t>
  </si>
  <si>
    <t>Четверкина Анастасия</t>
  </si>
  <si>
    <t>Кремниевая малина. Истории из Кремниевой долины</t>
  </si>
  <si>
    <t>PGR2210212-P</t>
  </si>
  <si>
    <t>978-5-206-00131-0</t>
  </si>
  <si>
    <t>Варичева Татьяна</t>
  </si>
  <si>
    <t>Лучший зверь во всей вселенной! Таткаест обыкновенный</t>
  </si>
  <si>
    <t>ADH2206044-P Варичева</t>
  </si>
  <si>
    <t>978-5-9614-8266-9</t>
  </si>
  <si>
    <t>Мартын и Барсик. Два кота - красота!</t>
  </si>
  <si>
    <t>ADH2305064-P</t>
  </si>
  <si>
    <t>978-5-9614-8968-2</t>
  </si>
  <si>
    <t>ADK2412149-P</t>
  </si>
  <si>
    <t>978-5-9614-8765-7</t>
  </si>
  <si>
    <t>Коскина Ксения</t>
  </si>
  <si>
    <t>Насекомыши. Стихи про насекомых и мышей</t>
  </si>
  <si>
    <t>ADK2507035-P</t>
  </si>
  <si>
    <t>978-5-0063-0956-2</t>
  </si>
  <si>
    <t>Левалль Капусин, Легран Мод</t>
  </si>
  <si>
    <t>Самая любимая игрушка. Стихи для детей</t>
  </si>
  <si>
    <t>ADK2406096-P</t>
  </si>
  <si>
    <t>978-5-9614-9930-8</t>
  </si>
  <si>
    <t>Самая любимая мама. Стихи для детей</t>
  </si>
  <si>
    <t>ADK2406099-P</t>
  </si>
  <si>
    <t>978-5-9614-9933-9</t>
  </si>
  <si>
    <t>Самый любимый малыш. Стихи для детей</t>
  </si>
  <si>
    <t>ADK2406097-P</t>
  </si>
  <si>
    <t>978-5-9614-9931-5</t>
  </si>
  <si>
    <t>Самый любимый папа. Стихи для детей</t>
  </si>
  <si>
    <t>ADK2512176-P</t>
  </si>
  <si>
    <t>978-5-9614-9932-2</t>
  </si>
  <si>
    <t>Сказки о царе Колбаске</t>
  </si>
  <si>
    <t>ADK2512280-P</t>
  </si>
  <si>
    <t>978-5-9614-8345-1</t>
  </si>
  <si>
    <t>9.14. Наука для детей</t>
  </si>
  <si>
    <t>DP11204</t>
  </si>
  <si>
    <t>Сандрин Дюма-Руа</t>
  </si>
  <si>
    <t>Зеленая планета. Возобновляемые источники энергии</t>
  </si>
  <si>
    <t>Пешком в историю</t>
  </si>
  <si>
    <t>DP1120-4</t>
  </si>
  <si>
    <t>978-5-907471-11-5</t>
  </si>
  <si>
    <t>285х215</t>
  </si>
  <si>
    <t>DP11203</t>
  </si>
  <si>
    <t>Мишель Франческони</t>
  </si>
  <si>
    <t>Электрический ток</t>
  </si>
  <si>
    <t>DP1120-3</t>
  </si>
  <si>
    <t>978-5-907471-12-2</t>
  </si>
  <si>
    <t>9.14. Сказки</t>
  </si>
  <si>
    <t>Релье Грегг, Вайсс Джошуа</t>
  </si>
  <si>
    <t>Больше не дразнись! Продолжение приключений Эмо и Чики</t>
  </si>
  <si>
    <t>ADH2106149-P</t>
  </si>
  <si>
    <t>978-5-9614-7578-4</t>
  </si>
  <si>
    <t>Азбука общения</t>
  </si>
  <si>
    <t>Козикоглу Тюлин</t>
  </si>
  <si>
    <t>Капризная кошка Мина и другие истории. Сборник: Басни для развития эмоционального интеллекта</t>
  </si>
  <si>
    <t>ADH2509281-P</t>
  </si>
  <si>
    <t>978-5-9614-7806-8</t>
  </si>
  <si>
    <t>Басни бабушки Лейлы</t>
  </si>
  <si>
    <t>Несхёфер Нанна</t>
  </si>
  <si>
    <t>Когда мне грустно</t>
  </si>
  <si>
    <t>ADK2307046-P</t>
  </si>
  <si>
    <t>978-5-9614-9093-0</t>
  </si>
  <si>
    <t>Терапевтические сказки</t>
  </si>
  <si>
    <t>Когда я боюсь</t>
  </si>
  <si>
    <t>ADK2307045-P</t>
  </si>
  <si>
    <t>978-5-9614-9092-3</t>
  </si>
  <si>
    <t>Когда я злюсь</t>
  </si>
  <si>
    <t>ADK2307044-P</t>
  </si>
  <si>
    <t>978-5-9614-9091-6</t>
  </si>
  <si>
    <t>Колкер Мария</t>
  </si>
  <si>
    <t>Леди Орангутан</t>
  </si>
  <si>
    <t>ADH2207105-P</t>
  </si>
  <si>
    <t>978-5-9614-8228-7</t>
  </si>
  <si>
    <t>Заботливые истории</t>
  </si>
  <si>
    <t>Маленький Мы в школе: История о том, как плохо, когда все против одного</t>
  </si>
  <si>
    <t>ADH2002013-P</t>
  </si>
  <si>
    <t>978-5-9614-3603-7</t>
  </si>
  <si>
    <t>Обними меня! Сказка о том, как Обнимашка хотел спасти мир</t>
  </si>
  <si>
    <t>ADH2209090-P</t>
  </si>
  <si>
    <t>978-5-9614-8320-8</t>
  </si>
  <si>
    <t>Проблема на водопое. Приключения Эмо и Чики</t>
  </si>
  <si>
    <t>ADH2210186-P</t>
  </si>
  <si>
    <t>978-5-9614-7429-9</t>
  </si>
  <si>
    <t>Сказки. 10 классических историй для самых маленьких</t>
  </si>
  <si>
    <t>ADK2406120-P</t>
  </si>
  <si>
    <t>978-5-9614-9949-0</t>
  </si>
  <si>
    <t>Сказки. 10 классических историй для семейного чтения</t>
  </si>
  <si>
    <t>ADK2406121-P</t>
  </si>
  <si>
    <t>978-5-9614-9950-6</t>
  </si>
  <si>
    <t xml:space="preserve">[
"https://api-enni.alpina.ru/FileCertificateProject/62"
]</t>
  </si>
  <si>
    <t>Стеснительный пёс Роб и другие истории: Сборник</t>
  </si>
  <si>
    <t>ADH2509280-P</t>
  </si>
  <si>
    <t>978-5-9614-8124-2</t>
  </si>
  <si>
    <t>Андерсен Ханс Кристиан</t>
  </si>
  <si>
    <t>Стойкий оловянный солдатик</t>
  </si>
  <si>
    <t>ADH2208097-P</t>
  </si>
  <si>
    <t>978-5-9614-8273-7</t>
  </si>
  <si>
    <t>Упрямый ёжик Колючка и другие истории: Басни для развития эмоционального интеллекта</t>
  </si>
  <si>
    <t>ADH2509279-P</t>
  </si>
  <si>
    <t>978-5-9614-7752-8</t>
  </si>
  <si>
    <t>9.15. Детский детектив</t>
  </si>
  <si>
    <t>Шмидт Хайке Ева</t>
  </si>
  <si>
    <t>Банда лам. На седьмом небе</t>
  </si>
  <si>
    <t>ADK2310063-P</t>
  </si>
  <si>
    <t>978-5-9614-9328-3</t>
  </si>
  <si>
    <t>Банда лам</t>
  </si>
  <si>
    <t>Банда лам. Раскрыть дело? Раз плюнуть!</t>
  </si>
  <si>
    <t>ADK2310062-P</t>
  </si>
  <si>
    <t>978-5-9614-9327-6</t>
  </si>
  <si>
    <t>Шмидт Хайке Ева, Ренгер Николай</t>
  </si>
  <si>
    <t>Банда лам. Секреты Тёмного леса</t>
  </si>
  <si>
    <t>ADK2310064-P</t>
  </si>
  <si>
    <t>978-5-9614-9329-0</t>
  </si>
  <si>
    <t>Миллер Шанель</t>
  </si>
  <si>
    <t>Магнолия У раскрывает тайны потерянных носков</t>
  </si>
  <si>
    <t>ADK2405025-P</t>
  </si>
  <si>
    <t>978-5-9614-9825-7</t>
  </si>
  <si>
    <t>Обрист Юрг</t>
  </si>
  <si>
    <t>Огурчик и Фасоль идут по следу: Фальшивый отпуск</t>
  </si>
  <si>
    <t>ADH2106116-P</t>
  </si>
  <si>
    <t>978-5-9614-7449-7</t>
  </si>
  <si>
    <t>9.16. Детская приключенческая литература</t>
  </si>
  <si>
    <t xml:space="preserve">Инден  Шарлотта</t>
  </si>
  <si>
    <t>Леденцовая банда ищет приключений</t>
  </si>
  <si>
    <t>ADK2402082-P</t>
  </si>
  <si>
    <t>978-5-9614-9682-6</t>
  </si>
  <si>
    <t>Леденцовая банда</t>
  </si>
  <si>
    <t>Леденцовая банда ловит вора</t>
  </si>
  <si>
    <t>ADK2411221-P</t>
  </si>
  <si>
    <t>978-5-0063-0348-5</t>
  </si>
  <si>
    <t xml:space="preserve">[
"https://api-enni.alpina.ru/FileCertificateProject/63"
]</t>
  </si>
  <si>
    <t>Леденцовая банда укрощает дракона</t>
  </si>
  <si>
    <t>ADK2402144-P</t>
  </si>
  <si>
    <t>978-5-9614-9683-3</t>
  </si>
  <si>
    <t>Пиротта Савиор</t>
  </si>
  <si>
    <t>[СТРОКИ] Проклятие крокодила</t>
  </si>
  <si>
    <t>ADC2502278-P</t>
  </si>
  <si>
    <t>978-5-0063-0589-2</t>
  </si>
  <si>
    <t>Приключения на берегах Нила</t>
  </si>
  <si>
    <t>[СТРОКИ] Скарабей сердца</t>
  </si>
  <si>
    <t>ADC2502277-P</t>
  </si>
  <si>
    <t>978-5-0063-0588-5</t>
  </si>
  <si>
    <t>9.18. Детская мистика и фэнтези</t>
  </si>
  <si>
    <t>Харрисон Мишель</t>
  </si>
  <si>
    <t>13 проклятий</t>
  </si>
  <si>
    <t>ADK2303324-P</t>
  </si>
  <si>
    <t>978-5-9614-8883-8</t>
  </si>
  <si>
    <t xml:space="preserve">[
"https://api-enni.alpina.ru/FileCertificateProject/43"
]</t>
  </si>
  <si>
    <t>13 секретов</t>
  </si>
  <si>
    <t>ADK2303325-P</t>
  </si>
  <si>
    <t>978-5-9614-8884-5</t>
  </si>
  <si>
    <t>13 сокровищ</t>
  </si>
  <si>
    <t>ADK2303323-P</t>
  </si>
  <si>
    <t>978-5-9614-8882-1</t>
  </si>
  <si>
    <t>Романовская Лариса</t>
  </si>
  <si>
    <t>Брат дракона</t>
  </si>
  <si>
    <t>ADH2210066-P</t>
  </si>
  <si>
    <t>978-5-9614-8377-2</t>
  </si>
  <si>
    <t>ADH2209132-P</t>
  </si>
  <si>
    <t>978-5-9614-7361-2</t>
  </si>
  <si>
    <t>Вихрь колдовства</t>
  </si>
  <si>
    <t>ADH2306037-P</t>
  </si>
  <si>
    <t>978-5-9614-8378-9</t>
  </si>
  <si>
    <t>[обложка] Горстка волшебства</t>
  </si>
  <si>
    <t>ADH2212202-P</t>
  </si>
  <si>
    <t>978-5-9614-8596-7</t>
  </si>
  <si>
    <t xml:space="preserve">[
"https://api-enni.alpina.ru/FileCertificateProject/49"
]</t>
  </si>
  <si>
    <t>Горстка волшебства</t>
  </si>
  <si>
    <t>ADH2403032-P</t>
  </si>
  <si>
    <t>978-5-9614-9676-5</t>
  </si>
  <si>
    <t>Мейсон Конрад</t>
  </si>
  <si>
    <t>Девочка в деревянных доспехах</t>
  </si>
  <si>
    <t>ADH2203166-P</t>
  </si>
  <si>
    <t>978-5-9614-7878-5</t>
  </si>
  <si>
    <t>Другая Элис</t>
  </si>
  <si>
    <t>ADH2212016-P</t>
  </si>
  <si>
    <t>978-5-9614-7677-4</t>
  </si>
  <si>
    <t>ADH2205161-P</t>
  </si>
  <si>
    <t>978-5-9614-8107-5</t>
  </si>
  <si>
    <t>Коссантели Вероника</t>
  </si>
  <si>
    <t>Изумительная Страна Снергов</t>
  </si>
  <si>
    <t>ADH2501123-P</t>
  </si>
  <si>
    <t>978-5-9614-4095-9</t>
  </si>
  <si>
    <t xml:space="preserve">[
"https://api-enni.alpina.ru/FileCertificateProject/52"
]</t>
  </si>
  <si>
    <t>Клубок заклинаний</t>
  </si>
  <si>
    <t>ADH2205078-P</t>
  </si>
  <si>
    <t>978-5-9614-7419-0</t>
  </si>
  <si>
    <t>[обложка] Клубок заклинаний</t>
  </si>
  <si>
    <t>ADH2212203-P</t>
  </si>
  <si>
    <t>978-5-9614-8597-4</t>
  </si>
  <si>
    <t>ADH2403033-P</t>
  </si>
  <si>
    <t>978-5-9614-9677-2</t>
  </si>
  <si>
    <t>Панов Вадим</t>
  </si>
  <si>
    <t>Непревзойденные. Демоны Второго Города</t>
  </si>
  <si>
    <t>ADK2211062-P</t>
  </si>
  <si>
    <t>978-5-9614-8428-1</t>
  </si>
  <si>
    <t>Непревзойденные. Звезда забвения</t>
  </si>
  <si>
    <t>ADH2209169-P</t>
  </si>
  <si>
    <t>978-5-9614-8344-4</t>
  </si>
  <si>
    <t>Непревзойденные. Спящая Каракатица</t>
  </si>
  <si>
    <t>ADK2211061-P</t>
  </si>
  <si>
    <t>978-5-9614-8427-4</t>
  </si>
  <si>
    <t>Одно желание</t>
  </si>
  <si>
    <t>ADK2412230-P</t>
  </si>
  <si>
    <t>978-5-0063-0388-1</t>
  </si>
  <si>
    <t xml:space="preserve">[
"https://api-enni.alpina.ru/FileCertificateProject/153"
]</t>
  </si>
  <si>
    <t>ADH2209125-P</t>
  </si>
  <si>
    <t>978-5-9614-8326-0</t>
  </si>
  <si>
    <t xml:space="preserve">[
"https://api-enni.alpina.ru/FileCertificateProject/33"
]</t>
  </si>
  <si>
    <t>[обложка] Щепотка магии</t>
  </si>
  <si>
    <t>ADH2212198-P</t>
  </si>
  <si>
    <t>978-5-9614-8595-0</t>
  </si>
  <si>
    <t>Щепотка магии</t>
  </si>
  <si>
    <t>ADH2403031-P</t>
  </si>
  <si>
    <t>978-5-9614-9675-8</t>
  </si>
  <si>
    <t>9.19. Детские новогодние книги</t>
  </si>
  <si>
    <t>Филиппенко Валя, Терешин Никита</t>
  </si>
  <si>
    <t>20 подарков на Новый год</t>
  </si>
  <si>
    <t>ADK2408126-P</t>
  </si>
  <si>
    <t>978-5-0063-0094-1</t>
  </si>
  <si>
    <t xml:space="preserve">[
"https://api-enni.alpina.ru/FileCertificateProject/16",
"https://api-enni.alpina.ru/FileCertificateProject/164"
]</t>
  </si>
  <si>
    <t xml:space="preserve"> Карлен Ноэ, Бадель Ронан</t>
  </si>
  <si>
    <t>Волшебные ошибки Деда Мороза</t>
  </si>
  <si>
    <t>ADK2506177-P</t>
  </si>
  <si>
    <t>978-5-0063-0924-1</t>
  </si>
  <si>
    <t>Волшебный лес. Раскраска-плакат</t>
  </si>
  <si>
    <t>ADK2504084-P</t>
  </si>
  <si>
    <t>978-5-0063-0702-5</t>
  </si>
  <si>
    <t xml:space="preserve">[
"https://api-enni.alpina.ru/FileCertificateProject/78"
]</t>
  </si>
  <si>
    <t>Вальверде Микель</t>
  </si>
  <si>
    <t>Два подарка. Удивительное новогоднее приключение</t>
  </si>
  <si>
    <t>ADK2507201-P</t>
  </si>
  <si>
    <t>978-5-0063-1030-8</t>
  </si>
  <si>
    <t>Дед Кошмар и сбежавшие желания</t>
  </si>
  <si>
    <t>ADK2506022-P</t>
  </si>
  <si>
    <t>978-5-0063-0014-9</t>
  </si>
  <si>
    <t xml:space="preserve">[
"https://api-enni.alpina.ru/FileCertificateProject/55"
]</t>
  </si>
  <si>
    <t>Дорогой Санта! История волшебной переписки</t>
  </si>
  <si>
    <t>ADK2506026-P</t>
  </si>
  <si>
    <t>978-5-9614-9764-9</t>
  </si>
  <si>
    <t>Зима в городе. Раскраска-плакат</t>
  </si>
  <si>
    <t>ADK2506238-P</t>
  </si>
  <si>
    <t>978-5-0063-0009-5</t>
  </si>
  <si>
    <t>Зима в лесу. Раскраска-плакат</t>
  </si>
  <si>
    <t>ADK2506239-P</t>
  </si>
  <si>
    <t>978-5-9614-9896-7</t>
  </si>
  <si>
    <t>Метцмейер Катрин, Ле Гофф Эрве</t>
  </si>
  <si>
    <t>Настоящий Новый год</t>
  </si>
  <si>
    <t>ADK2506190-P</t>
  </si>
  <si>
    <t>978-5-0063-0930-2</t>
  </si>
  <si>
    <t>Байкова Марина</t>
  </si>
  <si>
    <t>Рецепт единорога : История (не)идеального новогоднего подарка</t>
  </si>
  <si>
    <t>ADK2506223-P</t>
  </si>
  <si>
    <t>978-5-0063-0937-1</t>
  </si>
  <si>
    <t>Прокофьева Анна</t>
  </si>
  <si>
    <t>Сказки. Раскраска-плакат</t>
  </si>
  <si>
    <t>ADK2503184-P</t>
  </si>
  <si>
    <t>978-5-0063-0639-4</t>
  </si>
  <si>
    <t>Ванякина Ася</t>
  </si>
  <si>
    <t>Чудеса в кармашке, или Поиски Деда Мороза</t>
  </si>
  <si>
    <t>ADH2405143-P</t>
  </si>
  <si>
    <t>978-5-9614-8311-6</t>
  </si>
  <si>
    <t>9.20. Детское творчество и досуг</t>
  </si>
  <si>
    <t>[бирюзовый] 6 минут для детей: Первый мотивационный ежедневник ребенка</t>
  </si>
  <si>
    <t>ADH2412287-P</t>
  </si>
  <si>
    <t>978-5-9614-7371-1</t>
  </si>
  <si>
    <t>[зеленый] 6 минут для детей: Первый мотивационный ежедневник ребенка</t>
  </si>
  <si>
    <t>ADK2506235-P</t>
  </si>
  <si>
    <t>978-5-9614-8769-5</t>
  </si>
  <si>
    <t>[розовый леопард] 6 минут для детей: Первый мотивационный ежедневник ребенка</t>
  </si>
  <si>
    <t>ADH2602135-P</t>
  </si>
  <si>
    <t>978-5-9614-9585-0</t>
  </si>
  <si>
    <t>[специальное издание 24/25, с наклейками в комплекте, белый медведь] 6 минут для детей: Первый мотивационный ежедневник ребенка</t>
  </si>
  <si>
    <t>ADH2403148-P</t>
  </si>
  <si>
    <t>978-5-9614-9704-5</t>
  </si>
  <si>
    <t>[Издание для девочек] 6 минут для детей: Первый мотивационный ежедневник ребенка</t>
  </si>
  <si>
    <t>ADH2411185-P</t>
  </si>
  <si>
    <t>978-5-0063-0339-3</t>
  </si>
  <si>
    <t>[с наклейками в комплекте, специальное издание 25/26, огненная лошадь] 6 минут для детей: Первый мотивационный ежедневник ребенка</t>
  </si>
  <si>
    <t>ADH2501133-P</t>
  </si>
  <si>
    <t>978-5-0063-0466-6</t>
  </si>
  <si>
    <t>[изумрудный] 6 минут для детей: Первый мотивационный ежедневник ребенка</t>
  </si>
  <si>
    <t>ADH2502236-P</t>
  </si>
  <si>
    <t>978-5-0063-0564-9</t>
  </si>
  <si>
    <t>Деньгина Анна</t>
  </si>
  <si>
    <t>[синий] 6 минут для детей: финансовая грамотность. Первый финансовый блокнот ребёнка</t>
  </si>
  <si>
    <t>ADK2506254-P</t>
  </si>
  <si>
    <t>978-5-9614-9384-9</t>
  </si>
  <si>
    <t>Воронцова Юлия, Пархитько Лидия</t>
  </si>
  <si>
    <t>[желтый] 6 минут для детей: эмоциональный интеллект. Первый дневник настроения ребёнка</t>
  </si>
  <si>
    <t>ADK2402012-P</t>
  </si>
  <si>
    <t>978-5-9614-9601-7</t>
  </si>
  <si>
    <t xml:space="preserve">[
"https://api-enni.alpina.ru/FileCertificateProject/65"
]</t>
  </si>
  <si>
    <t>Жовнирович Юлия</t>
  </si>
  <si>
    <t>Где живёт храбрость?</t>
  </si>
  <si>
    <t>ADK2412097-P</t>
  </si>
  <si>
    <t>978-5-0063-0374-4</t>
  </si>
  <si>
    <t xml:space="preserve">[
"https://api-enni.alpina.ru/FileCertificateProject/81"
]</t>
  </si>
  <si>
    <t>Дедушкина история: Дневник воспоминаний и размышлений для моей семьи</t>
  </si>
  <si>
    <t>ADK2512152-P</t>
  </si>
  <si>
    <t>978-5-0063-1757-4</t>
  </si>
  <si>
    <t>Мартен Поль</t>
  </si>
  <si>
    <t>Детектив Таша Тунцова: В мире сказок</t>
  </si>
  <si>
    <t>ADH2507119-P</t>
  </si>
  <si>
    <t>978-5-0063-1274-6</t>
  </si>
  <si>
    <t>Детектив Таша Тунцова</t>
  </si>
  <si>
    <t>Детектив Таша Тунцова: Вокруг света</t>
  </si>
  <si>
    <t>ADH2410139-P</t>
  </si>
  <si>
    <t>978-5-0063-0329-4</t>
  </si>
  <si>
    <t>Детектив Таша Тунцова: Добро пожаловать в Котовиль</t>
  </si>
  <si>
    <t>ADH2507102-P</t>
  </si>
  <si>
    <t>978-5-0063-1273-9</t>
  </si>
  <si>
    <t>Майборода Марина</t>
  </si>
  <si>
    <t>[Развивающие тетради] Зимний лес Веселые кроссворды, лабиринты и загадки о природе</t>
  </si>
  <si>
    <t>ADK2307073-P</t>
  </si>
  <si>
    <t>978-5-9614-9100-5</t>
  </si>
  <si>
    <t>Снежные головоломки</t>
  </si>
  <si>
    <t>Коноплястая Мария</t>
  </si>
  <si>
    <t>Зимняя сказка. Подарочный развивающий набор</t>
  </si>
  <si>
    <t>ADH2109164-P</t>
  </si>
  <si>
    <t>978-5-9614-7509-8</t>
  </si>
  <si>
    <t>Русята: приключения в сказочном лесу</t>
  </si>
  <si>
    <t>Зоопарк. Раскраска-плакат</t>
  </si>
  <si>
    <t>ADK2405120-P</t>
  </si>
  <si>
    <t>978-5-9614-9866-0</t>
  </si>
  <si>
    <t xml:space="preserve">[
"https://api-enni.alpina.ru/FileCertificateProject/140",
"https://api-enni.alpina.ru/FileCertificateProject/165"
]</t>
  </si>
  <si>
    <t>Мамина история. Дневник воспоминаний и размышлений для моей семьи</t>
  </si>
  <si>
    <t>ADK2603038-P</t>
  </si>
  <si>
    <t>978-5-0063-1219-7</t>
  </si>
  <si>
    <t>Папина история: Дневник воспоминаний и размышлений для моей семьи</t>
  </si>
  <si>
    <t>ADK2512147-P</t>
  </si>
  <si>
    <t>978-5-0063-1756-7</t>
  </si>
  <si>
    <t>Твой Гранд-отель чувств : Книга с заданиями</t>
  </si>
  <si>
    <t>ADK2505194-P</t>
  </si>
  <si>
    <t>978-5-0063-0832-9</t>
  </si>
  <si>
    <t>Авторов (Graou) Коллектив</t>
  </si>
  <si>
    <t>Тибо. Журнал, в который можно играть. В городе</t>
  </si>
  <si>
    <t>ADK2406047-P</t>
  </si>
  <si>
    <t>978-5-9614-9910-0</t>
  </si>
  <si>
    <t>Развивающие журналы Тибо</t>
  </si>
  <si>
    <t xml:space="preserve">[
"https://api-enni.alpina.ru/FileCertificateProject/72"
]</t>
  </si>
  <si>
    <t>Тибо. Журнал, с которым можно играть. Друзья</t>
  </si>
  <si>
    <t>ADK2301066-P</t>
  </si>
  <si>
    <t>978-5-9614-8619-3</t>
  </si>
  <si>
    <t>Тибо. Журнал, с которым можно играть. Космос</t>
  </si>
  <si>
    <t>ADK2406054-P</t>
  </si>
  <si>
    <t>978-5-9614-9916-2</t>
  </si>
  <si>
    <t>Тибо. Журнал, с которым можно играть. На ферме</t>
  </si>
  <si>
    <t>ADK2301065-P</t>
  </si>
  <si>
    <t>978-5-9614-8618-6</t>
  </si>
  <si>
    <t>Тибо. Журнал, с которым можно играть. Противоположности</t>
  </si>
  <si>
    <t>ADK2301063-P</t>
  </si>
  <si>
    <t>978-5-9614-8616-2</t>
  </si>
  <si>
    <t>Тибо. Журнал, с которым можно играть. Пять чувств</t>
  </si>
  <si>
    <t>ADK2301062-P</t>
  </si>
  <si>
    <t>978-5-9614-8614-8</t>
  </si>
  <si>
    <t>Тибо. Журнал, с которым можно играть. Страх</t>
  </si>
  <si>
    <t>ADK2406049-P</t>
  </si>
  <si>
    <t>978-5-9614-9912-4</t>
  </si>
  <si>
    <t>Тибо. Журнал, с которым можно играть. Цифры</t>
  </si>
  <si>
    <t>ADK2301064-P</t>
  </si>
  <si>
    <t>978-5-9614-8617-9</t>
  </si>
  <si>
    <t>Читательский дневник</t>
  </si>
  <si>
    <t>ADK2306032-P</t>
  </si>
  <si>
    <t>978-5-9614-9013-8</t>
  </si>
  <si>
    <t>10. Книги для родителей и педагогов</t>
  </si>
  <si>
    <t>10.01. Воспитание и обучение детей</t>
  </si>
  <si>
    <t>Быкова Анна, Гант Елена</t>
  </si>
  <si>
    <t>[комплект карточек] А-а-а-а! Мой ребенок : 50 карточек с решениями сложных ситуаций</t>
  </si>
  <si>
    <t>ADP2110142-P</t>
  </si>
  <si>
    <t>978-5-9614-7561-6</t>
  </si>
  <si>
    <t>84x90/32</t>
  </si>
  <si>
    <t xml:space="preserve">[
"https://api-enni.alpina.ru/FileCertificateProject/181"
]</t>
  </si>
  <si>
    <t>Ла Бэн Элизабет</t>
  </si>
  <si>
    <t>[покет] Ваши внуки: Как любить и не навредить</t>
  </si>
  <si>
    <t>ADP2104149-P</t>
  </si>
  <si>
    <t>978-5-9614-7252-3</t>
  </si>
  <si>
    <t>Голдберг Салли</t>
  </si>
  <si>
    <t>Веселые развивающие игры: С рождения до трех лет</t>
  </si>
  <si>
    <t>NNN1808048-P</t>
  </si>
  <si>
    <t>978-5-00139-146-3</t>
  </si>
  <si>
    <t>Пигарева Надя</t>
  </si>
  <si>
    <t>ВОТ СОБАКА! секреты четвероногой Зинаиды</t>
  </si>
  <si>
    <t>ADH2109002-P</t>
  </si>
  <si>
    <t>978-5-9614-7302-5</t>
  </si>
  <si>
    <t xml:space="preserve">[
"https://api-enni.alpina.ru/FileCertificateProject/146"
]</t>
  </si>
  <si>
    <t>Генен Бике</t>
  </si>
  <si>
    <t>[покет] Высокочувствительные. Как позаботиться о себе, пока ты заботишься о ребенке</t>
  </si>
  <si>
    <t>ADP2112130-P</t>
  </si>
  <si>
    <t>978-5-9614-8989-7</t>
  </si>
  <si>
    <t>Путеводители для родителей</t>
  </si>
  <si>
    <t xml:space="preserve">[
"https://api-enni.alpina.ru/FileCertificateProject/186"
]</t>
  </si>
  <si>
    <t>Казарина Марина</t>
  </si>
  <si>
    <t>Дорога под звездами: О чем мне поведал Маленький принц</t>
  </si>
  <si>
    <t>PGR2212207-P</t>
  </si>
  <si>
    <t>978-5-206-00166-2</t>
  </si>
  <si>
    <t>Сарибекян Виктория</t>
  </si>
  <si>
    <t>Другая мама, или Почему мой ребенок не плачет</t>
  </si>
  <si>
    <t>ADK2502179-P</t>
  </si>
  <si>
    <t>978-5-0063-0551-9</t>
  </si>
  <si>
    <t xml:space="preserve">Иванова  Мария</t>
  </si>
  <si>
    <t>Как я устала. Путь к себе из родительского выгорания</t>
  </si>
  <si>
    <t>ADK2402076-P</t>
  </si>
  <si>
    <t>978-5-9614-9614-7</t>
  </si>
  <si>
    <t xml:space="preserve">[
"https://api-enni.alpina.ru/FileCertificateProject/192"
]</t>
  </si>
  <si>
    <t>Гербутова Мария</t>
  </si>
  <si>
    <t>Мама, я пошел! Энциклопедия двигательного развития детей с 0 до 18 месяцев</t>
  </si>
  <si>
    <t>ADK2305051-P</t>
  </si>
  <si>
    <t>978-5-9614-8964-4</t>
  </si>
  <si>
    <t xml:space="preserve">[
"https://api-enni.alpina.ru/FileCertificateProject/189"
]</t>
  </si>
  <si>
    <t>Нейросети для родителей и детей. 204 промта для учебы, здоровья, воспитания и безопасности вашего ребенка</t>
  </si>
  <si>
    <t>ADK2509264-P</t>
  </si>
  <si>
    <t>978-5-0063-1266-1</t>
  </si>
  <si>
    <t>Он первый начал! Что делать, если дети ссорятся</t>
  </si>
  <si>
    <t>ADP2110102-P</t>
  </si>
  <si>
    <t>978-5-9614-7539-5</t>
  </si>
  <si>
    <t>[покет] Особенные дети: Как подарить счастливую жизнь ребенку с особенностями развития</t>
  </si>
  <si>
    <t>ADP2304068-P</t>
  </si>
  <si>
    <t>978-5-9614-8911-8</t>
  </si>
  <si>
    <t>[покет] Осторожно, пубертат! Как понять, что происходит в голове у подростка и что с этим делать</t>
  </si>
  <si>
    <t>ADP2212127-P</t>
  </si>
  <si>
    <t>978-5-9614-8575-2</t>
  </si>
  <si>
    <t>Компернолле Тео</t>
  </si>
  <si>
    <t>[покет] Подросток и гаджеты</t>
  </si>
  <si>
    <t>ADK2301051-P</t>
  </si>
  <si>
    <t>978-5-9614-8611-7</t>
  </si>
  <si>
    <t>После трех уже поздно для пап</t>
  </si>
  <si>
    <t>NNN2501033-P</t>
  </si>
  <si>
    <t>978-5-91671-579-8</t>
  </si>
  <si>
    <t>Динаев Алихан</t>
  </si>
  <si>
    <t>Почему он не читает? 100 советов, как увлечь ребенка чтением</t>
  </si>
  <si>
    <t>ADK2412177-P</t>
  </si>
  <si>
    <t>978-5-9614-9965-0</t>
  </si>
  <si>
    <t xml:space="preserve">[
"https://api-enni.alpina.ru/FileCertificateProject/190"
]</t>
  </si>
  <si>
    <t>Паршихина Юлия</t>
  </si>
  <si>
    <t>Проект “Детская”: Дизайн-подсказки для создания современной детской комнаты</t>
  </si>
  <si>
    <t>ADP2006140-P</t>
  </si>
  <si>
    <t>978-5-9614-3818-5</t>
  </si>
  <si>
    <t xml:space="preserve">[
"https://api-enni.alpina.ru/FileCertificateProject/178"
]</t>
  </si>
  <si>
    <t>Барнет Мак</t>
  </si>
  <si>
    <t>Секретная дверь : Почему детские книги — это очень серьезно</t>
  </si>
  <si>
    <t>ADK2410047-P</t>
  </si>
  <si>
    <t>978-5-0063-0215-0</t>
  </si>
  <si>
    <t xml:space="preserve">[
"https://api-enni.alpina.ru/FileCertificateProject/191"
]</t>
  </si>
  <si>
    <t>Фейлер Брюс</t>
  </si>
  <si>
    <t>[покет] Секреты счастливых семей: как уменьшить хаос в семье</t>
  </si>
  <si>
    <t>ADP2204118-P</t>
  </si>
  <si>
    <t>978-5-9614-8009-2</t>
  </si>
  <si>
    <t>Антипова Ксения, Бородина Юлия</t>
  </si>
  <si>
    <t>Спи, малыш: Что делать, если малыш плохо спит?</t>
  </si>
  <si>
    <t>ADP2405128-P</t>
  </si>
  <si>
    <t>978-5-9614-8336-9</t>
  </si>
  <si>
    <t xml:space="preserve">[
"https://api-enni.alpina.ru/FileCertificateProject/187"
]</t>
  </si>
  <si>
    <t>ADP2407055-P</t>
  </si>
  <si>
    <t>978-5-0063-0060-6</t>
  </si>
  <si>
    <t xml:space="preserve">Брайсон  Тина</t>
  </si>
  <si>
    <t>Тревожные родители : ответы на вопросы о жизни с ребенком от А до Я</t>
  </si>
  <si>
    <t>ADP2101052-P</t>
  </si>
  <si>
    <t>978-5-9614-6113-8</t>
  </si>
  <si>
    <t>Канг Шими</t>
  </si>
  <si>
    <t>[покет] Цифровая дисциплина: Воспитание здоровых привычек в мире гаджетов и соцсетей</t>
  </si>
  <si>
    <t>ADP2103050-P</t>
  </si>
  <si>
    <t>978-5-9614-7305-6</t>
  </si>
  <si>
    <t xml:space="preserve">[
"https://api-enni.alpina.ru/FileCertificateProject/180"
]</t>
  </si>
  <si>
    <t>[покет] Чуткие родители: Как вырастить ребенка, способного на здоровые отношения с собой и миром</t>
  </si>
  <si>
    <t>ADK2309214-P</t>
  </si>
  <si>
    <t>978-5-9614-9342-9</t>
  </si>
  <si>
    <t>10.02. Книги для родителей. Серия "Академия Альпина. Дети"</t>
  </si>
  <si>
    <t>Баниэль Анат</t>
  </si>
  <si>
    <t>[покет] Дети с неограниченными возможностями. Метод пробуждения мозга для улучшения жизни особых детей</t>
  </si>
  <si>
    <t>ADP2512175-P</t>
  </si>
  <si>
    <t>978-5-9614-2654-0</t>
  </si>
  <si>
    <t>Академия Альпина.Дети</t>
  </si>
  <si>
    <t>Сазонтова Лейла</t>
  </si>
  <si>
    <t>[покет] Жизнь без школы: Как организовать семейное обучение для вашего ребенка</t>
  </si>
  <si>
    <t>ADP1907138-P</t>
  </si>
  <si>
    <t>978-5-9614-2822-3</t>
  </si>
  <si>
    <t>Свитленд Дарлин, Столберг Рон</t>
  </si>
  <si>
    <t>[покет] Научите ребенка думать: Как вырастить умного, уверенного и самостоятельного человека</t>
  </si>
  <si>
    <t>ADP2511260-P</t>
  </si>
  <si>
    <t>978-5-0063-1675-1</t>
  </si>
  <si>
    <t>Берджес Дэйв</t>
  </si>
  <si>
    <t>[покет] Обучение как приключение: Как сделать уроки интересными и увлекательными</t>
  </si>
  <si>
    <t>ADP2509116-P</t>
  </si>
  <si>
    <t>978-5-9614-8522-6</t>
  </si>
  <si>
    <t>Хогг Трейси</t>
  </si>
  <si>
    <t>[покет] Чего хочет ваш малыш? Учимся понимать новорожденного, когда он плачет</t>
  </si>
  <si>
    <t>ADP2508148-P</t>
  </si>
  <si>
    <t>978-5-9614-2744-8</t>
  </si>
  <si>
    <t>10.03. Детская психология и педагогика</t>
  </si>
  <si>
    <t>Весь мир - школа. Преобразованное образование</t>
  </si>
  <si>
    <t>PGR2507015-P</t>
  </si>
  <si>
    <t>978-5-206-00526-4</t>
  </si>
  <si>
    <t>[покет] ЕГЭ без истерик: Как спокойно подготовиться к любому экзамену</t>
  </si>
  <si>
    <t>ADP2106145-P</t>
  </si>
  <si>
    <t>978-5-9614-7910-2</t>
  </si>
  <si>
    <t xml:space="preserve">[
"https://api-enni.alpina.ru/FileCertificateProject/182"
]</t>
  </si>
  <si>
    <t>Долгополова Мария</t>
  </si>
  <si>
    <t>Как учиться за рубежом бесплатно: Личный опыт студентов иностранных университетов</t>
  </si>
  <si>
    <t>a180410</t>
  </si>
  <si>
    <t>978-5-9614-7017-8</t>
  </si>
  <si>
    <t xml:space="preserve">[
"https://api-enni.alpina.ru/FileCertificateProject/179"
]</t>
  </si>
  <si>
    <t>Джексон Нина</t>
  </si>
  <si>
    <t>Классный учитель: Как работать с трудными учениками, сложными родителями и получать удовольствие от профессии</t>
  </si>
  <si>
    <t>ADP2409271-P</t>
  </si>
  <si>
    <t>978-5-9614-6517-4</t>
  </si>
  <si>
    <t>Будникова Ирина</t>
  </si>
  <si>
    <t>Непридуманные истории о детстве</t>
  </si>
  <si>
    <t>PGR2304195-P</t>
  </si>
  <si>
    <t>978-5-206-00219-5</t>
  </si>
  <si>
    <t>Обучение через развлечение: Edutainment лагерь как технология современного образования</t>
  </si>
  <si>
    <t>ADP2009160-P</t>
  </si>
  <si>
    <t>978-5-9614-4074-4</t>
  </si>
  <si>
    <t>Отстань от меня! От контроля к доверию: как пережить подростковый возраст вместе</t>
  </si>
  <si>
    <t>ADK2501314-P</t>
  </si>
  <si>
    <t>978-5-0063-0518-2</t>
  </si>
  <si>
    <t>[покет-серия] Правила родителей</t>
  </si>
  <si>
    <t>NNN2212079-P</t>
  </si>
  <si>
    <t>978-5-00139-896-7</t>
  </si>
  <si>
    <t>Соколова Яна</t>
  </si>
  <si>
    <t>Приемная мама: Как я себе это представляла и как все оказалось на самом деле</t>
  </si>
  <si>
    <t>NNN2010170-P</t>
  </si>
  <si>
    <t>978-5-91671-956-7</t>
  </si>
  <si>
    <t>Фрост Джо</t>
  </si>
  <si>
    <t>Пять элементов гармоничного воспитания малыша</t>
  </si>
  <si>
    <t>N50705</t>
  </si>
  <si>
    <t>978-5-91671-558-3</t>
  </si>
  <si>
    <t>Белонощенко Евгения</t>
  </si>
  <si>
    <t>Рожденные с характером</t>
  </si>
  <si>
    <t>NNN2603127-P</t>
  </si>
  <si>
    <t>978-5-00223-633-6</t>
  </si>
  <si>
    <t>Семёнова Алёна</t>
  </si>
  <si>
    <t>Ручка: Как принять особенность своего ребенка и сделать его жизнь счастливее</t>
  </si>
  <si>
    <t>NNN2109141-P</t>
  </si>
  <si>
    <t>978-5-00139-745-8</t>
  </si>
  <si>
    <t>Уокер Тимоти</t>
  </si>
  <si>
    <t>Финская система обучения: Как устроены лучшие школы в мире</t>
  </si>
  <si>
    <t>AAA2601024-P</t>
  </si>
  <si>
    <t>978-5-9614-6767-3</t>
  </si>
  <si>
    <t>Медведева Таня</t>
  </si>
  <si>
    <t>[покет] Хочу учиться! Вызываем интерес к учебе по методу STEAM</t>
  </si>
  <si>
    <t>ADP2201078-P</t>
  </si>
  <si>
    <t>978-5-9614-7750-4</t>
  </si>
  <si>
    <t>Что такое интеллект и как его развивать. Роль образования и традиций</t>
  </si>
  <si>
    <t>NNN2405154-P</t>
  </si>
  <si>
    <t>978-5-91671-823-2</t>
  </si>
  <si>
    <t>Я не волшебник, я только учу. Педагогам о мотивации, дисциплине и любви к профессии</t>
  </si>
  <si>
    <t>ADK2511124-P</t>
  </si>
  <si>
    <t>978-5-0063-0167-2</t>
  </si>
  <si>
    <t>11. Библиотека Сбербанка</t>
  </si>
  <si>
    <t>00-00018694</t>
  </si>
  <si>
    <t>Барлоу Джанелл, Мёллер Клаус</t>
  </si>
  <si>
    <t>03_т_Джанелл Барлоу, Клаус Мёллер "Жалоба как подарок. Обратная связь с клиентом - инструмент маркетинговой стратегии", квинель</t>
  </si>
  <si>
    <t>_00-00018694</t>
  </si>
  <si>
    <t>978-5-9614-5321-8</t>
  </si>
  <si>
    <t>00-К0002244</t>
  </si>
  <si>
    <t>07_т_"Управление стрессом" Д.Льюис, квинель</t>
  </si>
  <si>
    <t>_00-К0002244</t>
  </si>
  <si>
    <t>978-5-9614-1325-0</t>
  </si>
  <si>
    <t>00-К0002245</t>
  </si>
  <si>
    <t>Ловенстайн Роджер</t>
  </si>
  <si>
    <t>08_т_"Когда гений терпит поражение" Р.Ловенстайн, квинель</t>
  </si>
  <si>
    <t>Олимп-Бизнес</t>
  </si>
  <si>
    <t>_00-К0002245</t>
  </si>
  <si>
    <t>978-5-9693-0475-8</t>
  </si>
  <si>
    <t>00-К0002247</t>
  </si>
  <si>
    <t>Тэппинг Дон, Фабрицио Томас</t>
  </si>
  <si>
    <t>10_т_"5S для офиса" С.Кови, квинель</t>
  </si>
  <si>
    <t>_00-К0002247</t>
  </si>
  <si>
    <t>978-5-9614-1390-8</t>
  </si>
  <si>
    <t>00-К0002248</t>
  </si>
  <si>
    <t>Гилмор Джеймс, Пайн Джозеф</t>
  </si>
  <si>
    <t>12_т_"Экономика впечатлений" Д.Пайн,Д.Гилмор, квинель</t>
  </si>
  <si>
    <t>_00-К0002248</t>
  </si>
  <si>
    <t>978-5-9614-1616-9</t>
  </si>
  <si>
    <t>00-00010095</t>
  </si>
  <si>
    <t>Брэнсон Ричард</t>
  </si>
  <si>
    <t>13_т_Книга "Эмоциональный интеллект. Почему он может значить больше, чем IQ" для Сбербанка</t>
  </si>
  <si>
    <t>Манн, Иванов и Фербер</t>
  </si>
  <si>
    <t>_00-00010095</t>
  </si>
  <si>
    <t>978-5-00057-088-3</t>
  </si>
  <si>
    <t>00-К0002699</t>
  </si>
  <si>
    <t>Бурбо Лиз</t>
  </si>
  <si>
    <t>16_т_Книга "Любовь, любовь, любовь"</t>
  </si>
  <si>
    <t>Издательство "София"</t>
  </si>
  <si>
    <t>Пер. с франц.</t>
  </si>
  <si>
    <t>_00-К0002699</t>
  </si>
  <si>
    <t>978-5-399-00269-9</t>
  </si>
  <si>
    <t>Переплёт</t>
  </si>
  <si>
    <t>00-К0002700</t>
  </si>
  <si>
    <t>17_т_"Не стать заложником: Сохранить самообладание и убедить оппонента"</t>
  </si>
  <si>
    <t>_00-К0002700</t>
  </si>
  <si>
    <t>978-5-9614-7312-4</t>
  </si>
  <si>
    <t>00-К0002701</t>
  </si>
  <si>
    <t>Тапскотт Дон, Энтони Уильямс</t>
  </si>
  <si>
    <t>18_т_Книга "Викиномика.Как массовое сотрудничество изменяет все"</t>
  </si>
  <si>
    <t>_00-К0002701</t>
  </si>
  <si>
    <t>978-5-9614-1889-7</t>
  </si>
  <si>
    <t>00-К0002702</t>
  </si>
  <si>
    <t>Онгор Акин</t>
  </si>
  <si>
    <t>19_т_Книга "После меня - продолжение..."</t>
  </si>
  <si>
    <t>_00-К0002702</t>
  </si>
  <si>
    <t>978-5-9614-1783-8</t>
  </si>
  <si>
    <t>00-К0002703</t>
  </si>
  <si>
    <t>20_т_Книга "Рефрейминг организаций"</t>
  </si>
  <si>
    <t>_00-К0002703</t>
  </si>
  <si>
    <t>978-5-9614-2059-3</t>
  </si>
  <si>
    <t>00-К0001432</t>
  </si>
  <si>
    <t>Майкл Армстронг, Бэрон Анжела</t>
  </si>
  <si>
    <t>21_т_"Управление результативностью: Система оценки результатов в действии" авторы Бэрон Анжела, Армстронг Майкл (квинель)</t>
  </si>
  <si>
    <t>_00-К0001432</t>
  </si>
  <si>
    <t>978-5-9614-4584-8</t>
  </si>
  <si>
    <t>00-К0002707</t>
  </si>
  <si>
    <t>Хау Джефф</t>
  </si>
  <si>
    <t>23_т_Книга "Краудсорсинг.Коллективный разум как инструмент развития бизнеса"</t>
  </si>
  <si>
    <t>_00-К0002707</t>
  </si>
  <si>
    <t>978-5-9614-1872-9</t>
  </si>
  <si>
    <t>00-К0032411</t>
  </si>
  <si>
    <t>24_т_Книга "WIKI - правительство. Как технологии могут сделать власть лучше, демократию - сильнее, а граждан - влиятельнее"</t>
  </si>
  <si>
    <t>_00-К0032411</t>
  </si>
  <si>
    <t>978-5-9614-1908-5</t>
  </si>
  <si>
    <t>00-К0002708</t>
  </si>
  <si>
    <t>26_т_Книга "Результативность: секреты эффективного поведения"</t>
  </si>
  <si>
    <t>_00-К0002708</t>
  </si>
  <si>
    <t>978-5-9614-1886-6</t>
  </si>
  <si>
    <t>00-К0002249</t>
  </si>
  <si>
    <t>Сенге Питер</t>
  </si>
  <si>
    <t>27_т_"Танец перемен" П. Сенге, квинель</t>
  </si>
  <si>
    <t>_00-К0002249</t>
  </si>
  <si>
    <t>978-5-9693-0476-5</t>
  </si>
  <si>
    <t>00-К0002250</t>
  </si>
  <si>
    <t>Сигов Юрий</t>
  </si>
  <si>
    <t>28_т_ "Сингапур" Ю.Сигов, квинель</t>
  </si>
  <si>
    <t>_00-К0002250</t>
  </si>
  <si>
    <t>978-5-9614-2216-0</t>
  </si>
  <si>
    <t>00-К0002710</t>
  </si>
  <si>
    <t>30_т_Книга "Критическая цепь"</t>
  </si>
  <si>
    <t>_00-К0002710</t>
  </si>
  <si>
    <t>978-5-9614-7311-7</t>
  </si>
  <si>
    <t>00-К0002274</t>
  </si>
  <si>
    <t>33_т_ Книга "Гении и аутсайдеры" для Сбербанка</t>
  </si>
  <si>
    <t>_00-К0002274</t>
  </si>
  <si>
    <t>978-5-00146-111-1</t>
  </si>
  <si>
    <t>00-К0002711</t>
  </si>
  <si>
    <t>Катценбах Ждон</t>
  </si>
  <si>
    <t>36_т_ Книга "Командный подход: Создание высокоэффективной организации" квинель</t>
  </si>
  <si>
    <t>_00-К0002711</t>
  </si>
  <si>
    <t>978-5-9614-4390-5</t>
  </si>
  <si>
    <t>00-00018700</t>
  </si>
  <si>
    <t>37_т_Михай Чиксентмихайи "Поток: Психология оптимального переживания", квинель</t>
  </si>
  <si>
    <t>_00-00018700</t>
  </si>
  <si>
    <t>978-5-9614-7295-0</t>
  </si>
  <si>
    <t>00-00018696</t>
  </si>
  <si>
    <t>Фливбьорг Бент, Брузелиус Нильс, Ротенгаттер Вернер</t>
  </si>
  <si>
    <t>41_т_Бент Фливбьорг, Нильс Брузелиус, Вернер Ротенгаттер "Мегапроекты: История недостроев, перерасходов и прочих рисков строительства", квинель</t>
  </si>
  <si>
    <t>_00-00018696</t>
  </si>
  <si>
    <t>978-5-9614-4626-5</t>
  </si>
  <si>
    <t>00-00006446</t>
  </si>
  <si>
    <t>Келлер Скотт, Прайс Колин</t>
  </si>
  <si>
    <t>42_т_Брошюра квинель: Больше, чем эффективность: Как самые успешные компании сохраняют лидерство на рынке</t>
  </si>
  <si>
    <t>_00-00006446</t>
  </si>
  <si>
    <t>978-5-9614-7310-0</t>
  </si>
  <si>
    <t>00-00018625</t>
  </si>
  <si>
    <t>Бернард Феррари</t>
  </si>
  <si>
    <t>43_т_Книга "Умение слушать. Ключевой навык менеджера". Автор: Феррари Б. (квинель)</t>
  </si>
  <si>
    <t>_00-00018625</t>
  </si>
  <si>
    <t>978-5-00117-876-7</t>
  </si>
  <si>
    <t>К13096</t>
  </si>
  <si>
    <t>Макгонигал Келли</t>
  </si>
  <si>
    <t>45_т_Сила воли. Как развить и укрепить (квинель)</t>
  </si>
  <si>
    <t>_00000013096</t>
  </si>
  <si>
    <t>978-5-00146-332-0</t>
  </si>
  <si>
    <t>00-00009962</t>
  </si>
  <si>
    <t>Рейнхарт Кармен, Рогофф Кеннет</t>
  </si>
  <si>
    <t>47_т_Брошюра, квинель "На этот раз все будет иначе: Восемь столетий финансового безрассудства"</t>
  </si>
  <si>
    <t>_00-00009962</t>
  </si>
  <si>
    <t>978-5-9614-4990-7</t>
  </si>
  <si>
    <t>00-00009937</t>
  </si>
  <si>
    <t>49_т_БАНК 3.0 (квинель)</t>
  </si>
  <si>
    <t>_00-00009937</t>
  </si>
  <si>
    <t>978-5-9693-0294-5</t>
  </si>
  <si>
    <t>00-00009957</t>
  </si>
  <si>
    <t>Коттер Джон П.</t>
  </si>
  <si>
    <t>50_т_УСКОРЕНИЕ ПЕРЕМЕН (квинель)</t>
  </si>
  <si>
    <t>_00-00009957</t>
  </si>
  <si>
    <t>978-5-9693-0295-2</t>
  </si>
  <si>
    <t>00-00018550</t>
  </si>
  <si>
    <t>Дарон Аджемоглу, Джеймс Робинсон</t>
  </si>
  <si>
    <t>51_т_Книга "Почему одни страны богатые, а другие бедные" в квинели</t>
  </si>
  <si>
    <t>Издательство "АСТ"</t>
  </si>
  <si>
    <t>_00-00018550</t>
  </si>
  <si>
    <t>978-5-17-093195-8</t>
  </si>
  <si>
    <t>00-00012157</t>
  </si>
  <si>
    <t>52_т_Брошюра, твердый переплет "Будущее разума"</t>
  </si>
  <si>
    <t>Альпина-нон-фикшн</t>
  </si>
  <si>
    <t>_00-00012157</t>
  </si>
  <si>
    <t>978-5-00139-481-5</t>
  </si>
  <si>
    <t>00-00015924</t>
  </si>
  <si>
    <t>Эрик Шмидт, Джонатан Розенберг</t>
  </si>
  <si>
    <t>53_т_Книга Э.Шмидта и Д. Розенберга "Как работает Google", квинель</t>
  </si>
  <si>
    <t>Издательство "Эксмо"</t>
  </si>
  <si>
    <t>_00-00015924</t>
  </si>
  <si>
    <t>978-5-699-81036-9</t>
  </si>
  <si>
    <t>00-00004162</t>
  </si>
  <si>
    <t>Барбара Минто</t>
  </si>
  <si>
    <t>54_т_Книга "Принцип пирамиды Минто. Золотые правила мышления, делового письма и устных выступлений ". Автор: Минто Б.(квинель)</t>
  </si>
  <si>
    <t>_00-00004162</t>
  </si>
  <si>
    <t>978-5-00146-337-5</t>
  </si>
  <si>
    <t>00-00019572</t>
  </si>
  <si>
    <t>Шварц Барри, Шарп Кеннет</t>
  </si>
  <si>
    <t>55_т_Практическая мудрость: Правильный способ делать правильные вещи (квинель)</t>
  </si>
  <si>
    <t>_00-00019572</t>
  </si>
  <si>
    <t>978-5-9693-0333-1</t>
  </si>
  <si>
    <t>00-00020227</t>
  </si>
  <si>
    <t>Кэтмелл Эд</t>
  </si>
  <si>
    <t>56_т_Эд Кэтмелл при участии Эми Уоллес "Креативная компания" (квинель)</t>
  </si>
  <si>
    <t>_00-00020227</t>
  </si>
  <si>
    <t>978-5-9614-5364-5</t>
  </si>
  <si>
    <t>00-00021091</t>
  </si>
  <si>
    <t>Голдсмит Маршалл, Райтер Марк</t>
  </si>
  <si>
    <t>57_т_Маршалл Голдсмит (при участии Марка Райтера) "Что привело тебя сюда, не приведёт тебя туда", 288 с., квинель</t>
  </si>
  <si>
    <t>_00-К0001686</t>
  </si>
  <si>
    <t>978-5-9693-0339-1</t>
  </si>
  <si>
    <t>00-00021080</t>
  </si>
  <si>
    <t>Джудит Гурвиц</t>
  </si>
  <si>
    <t>58_т_Книга "Просто о больших данных", 400 с., квинель Гурвиц Д., Ньюджент А., Халпер Ф., Кауфман М.</t>
  </si>
  <si>
    <t>_00-00021080</t>
  </si>
  <si>
    <t>978-5-699-85807-1</t>
  </si>
  <si>
    <t>00-00020058</t>
  </si>
  <si>
    <t>Алан Сигел</t>
  </si>
  <si>
    <t>59_т_Книга "Кратко. Ясно. Просто", авторы Алан Сигел, Айрин Эцкорн (квинель)</t>
  </si>
  <si>
    <t>_00-00020058</t>
  </si>
  <si>
    <t>978-5-9693-0336-2</t>
  </si>
  <si>
    <t>00-00022209</t>
  </si>
  <si>
    <t>Джефф Сазерленд</t>
  </si>
  <si>
    <t xml:space="preserve">60_т_Книга "Scrum. Революционный метод управления проектами"  Квинель</t>
  </si>
  <si>
    <t>_00-00022209</t>
  </si>
  <si>
    <t>978-5-00146-335-1</t>
  </si>
  <si>
    <t>00-К0000341</t>
  </si>
  <si>
    <t>Мишель Хури, Раби Абучакра</t>
  </si>
  <si>
    <t>62_т_"Эффективное правительство для нового века: Реформирование государственного управления в современном мире" Раби Абучакра, Мишель Хури. Квинель</t>
  </si>
  <si>
    <t>_00-К0000341</t>
  </si>
  <si>
    <t>978-5-9693-0349-2</t>
  </si>
  <si>
    <t>00-К0001191</t>
  </si>
  <si>
    <t>Клаус Шваб</t>
  </si>
  <si>
    <t>63_т_Шваб. К. Четвертая промышленная революция (квинель)</t>
  </si>
  <si>
    <t>_00-К0001191</t>
  </si>
  <si>
    <t>978-5-699-89393-5</t>
  </si>
  <si>
    <t>00-К0001139</t>
  </si>
  <si>
    <t>64_т_Книга Бет Новек "Умные граждане -умное государство" квинель</t>
  </si>
  <si>
    <t>_00-К0001139</t>
  </si>
  <si>
    <t>978-5-9693-0356-0</t>
  </si>
  <si>
    <t>00-К0001684</t>
  </si>
  <si>
    <t>Куинн Роберт</t>
  </si>
  <si>
    <t>66_т_Книга "Позитивная организация" Роберт Е. Куинн,208 с., квинель</t>
  </si>
  <si>
    <t>_00-К0001684</t>
  </si>
  <si>
    <t>978-5-9693-0350-8</t>
  </si>
  <si>
    <t>00-К0001889</t>
  </si>
  <si>
    <t>Клаудио Фернандс-Араос</t>
  </si>
  <si>
    <t>67_т_Книга "Выбирать сильнейших" для Сбербанка</t>
  </si>
  <si>
    <t>_00-К0001889</t>
  </si>
  <si>
    <t>978-5-00146-114-2</t>
  </si>
  <si>
    <t>00-К0001874</t>
  </si>
  <si>
    <t>Виссема Йохан Г</t>
  </si>
  <si>
    <t>70_т_"Университет третьего поколения" Й.Г.Виссема, квинель</t>
  </si>
  <si>
    <t>_00-К0001874</t>
  </si>
  <si>
    <t>978-5-9693-0296-9</t>
  </si>
  <si>
    <t>00-К0003025</t>
  </si>
  <si>
    <t>Тао Тянь, Давид да Кремер, Чуньбо У</t>
  </si>
  <si>
    <t>71_т_ "Huawei. Лидерство, корпоративная культура, открытость", авторы Тянь Тао, Давид де Кремер, У Чуньбо</t>
  </si>
  <si>
    <t>_00-К0003025</t>
  </si>
  <si>
    <t>978-5-9909052-0-7</t>
  </si>
  <si>
    <t>00-К0003934</t>
  </si>
  <si>
    <t>Чад-Мень Тан</t>
  </si>
  <si>
    <t>72_т_"Ищи в себе" Чад-Мэнь Тань, квинель</t>
  </si>
  <si>
    <t>_00-К0003934</t>
  </si>
  <si>
    <t>978-5-17-982584-5</t>
  </si>
  <si>
    <t>00-К0003963</t>
  </si>
  <si>
    <t>Дов Сайдман</t>
  </si>
  <si>
    <t>73_т_ Книга "Отношение определяет результат" квинель</t>
  </si>
  <si>
    <t>_00-К0003963</t>
  </si>
  <si>
    <t>978-5-00146-340-5</t>
  </si>
  <si>
    <t>00-К0004101</t>
  </si>
  <si>
    <t>Тетт Джиллиан</t>
  </si>
  <si>
    <t>74_т_ Gillian Tett "The Silo Effect: The Peril of Expertise and the Promise of Breaking Down Barriers" квинель</t>
  </si>
  <si>
    <t>_00-К0004101</t>
  </si>
  <si>
    <t>978-5-9693-0380-5</t>
  </si>
  <si>
    <t>00-К0004496</t>
  </si>
  <si>
    <t>Джайдип Прабху, Нави Раджу</t>
  </si>
  <si>
    <t>75_т_ "Бережливые инновации" авторы Нави Раджу, Джайдип Прабху, квинель</t>
  </si>
  <si>
    <t>_00-К0004496</t>
  </si>
  <si>
    <t>978-5-9909052-7-6</t>
  </si>
  <si>
    <t>00-К0005450</t>
  </si>
  <si>
    <t>Марк Лейтон</t>
  </si>
  <si>
    <t>76_т_"Просто об Agile" Лейтон М., квинель</t>
  </si>
  <si>
    <t>_00-К0005450</t>
  </si>
  <si>
    <t>978-5-699-92081-5</t>
  </si>
  <si>
    <t>00-К0007902</t>
  </si>
  <si>
    <t>Клаус Шваб, Николас Дэвис</t>
  </si>
  <si>
    <t>80_т_ "Технологии Четвертой промышленной революции" Шваб К., Дэвис Н. (квинель)</t>
  </si>
  <si>
    <t>_00-К0007902</t>
  </si>
  <si>
    <t>978-5-04-095566-4</t>
  </si>
  <si>
    <t>00-К0013913</t>
  </si>
  <si>
    <t>Мойзес Наим</t>
  </si>
  <si>
    <t>82_т_"Конец традиционной власти", квинель</t>
  </si>
  <si>
    <t>_00-К0013913</t>
  </si>
  <si>
    <t>978-5-17-094212-1</t>
  </si>
  <si>
    <t>00-К0012364</t>
  </si>
  <si>
    <t>Ширенбек Хеннер, Листер Михаэль, Кирмсе Штефан</t>
  </si>
  <si>
    <t>87_т_ "Банковский менеджмент, ориентированный на доход. Измерение доходности и риска в банковском бизнесе" Х.Ширенбен, М.Листер, квинель</t>
  </si>
  <si>
    <t>_00-К0012364</t>
  </si>
  <si>
    <t>978-5-9693-0407-9</t>
  </si>
  <si>
    <t>00-К0013109</t>
  </si>
  <si>
    <t>Чаран Рэм, Доминик Бартон, Деннис Кэри</t>
  </si>
  <si>
    <t>88_т_ "Талант побеждает. О новом подходе в реализации HR " Р.Чаран, Д.Бартон квинель</t>
  </si>
  <si>
    <t>_00-К0013109</t>
  </si>
  <si>
    <t>978-5-6040010-5-9</t>
  </si>
  <si>
    <t>00-К0015556</t>
  </si>
  <si>
    <t>Юваль Ной Харари</t>
  </si>
  <si>
    <t>89_т_ "21 урок для XXI века " Харари Ю.Н., квинель</t>
  </si>
  <si>
    <t>Издательство "Синбад"</t>
  </si>
  <si>
    <t>_00-К0015556</t>
  </si>
  <si>
    <t>978-5-00131-103-4</t>
  </si>
  <si>
    <t>00-К0014585</t>
  </si>
  <si>
    <t>Филиппа Перри</t>
  </si>
  <si>
    <t>90_т_"Как сохранить здравый ум", квинель</t>
  </si>
  <si>
    <t>_00-К0014585</t>
  </si>
  <si>
    <t>978-5-04-099122-8</t>
  </si>
  <si>
    <t>00-К0020710</t>
  </si>
  <si>
    <t>92_т_"Платформа", квинель</t>
  </si>
  <si>
    <t>_00-К0020710</t>
  </si>
  <si>
    <t>978-5-9614-3057-8</t>
  </si>
  <si>
    <t>00-К0020851</t>
  </si>
  <si>
    <t>Хуатен Ма</t>
  </si>
  <si>
    <t>93_т_"Цифровая трансформация Китая ", квинель</t>
  </si>
  <si>
    <t>Интеллектуальная Литература</t>
  </si>
  <si>
    <t>Пер. с китайского</t>
  </si>
  <si>
    <t>_00-К0020851</t>
  </si>
  <si>
    <t>978-5-6042882-8-3</t>
  </si>
  <si>
    <t>00-К0019962</t>
  </si>
  <si>
    <t>Питер Вайл, Стефани Ворнер</t>
  </si>
  <si>
    <t>94_т_"Цифровая трансформация бизнеса", квинель</t>
  </si>
  <si>
    <t>_00-К0019962</t>
  </si>
  <si>
    <t>978-5-9614-3053-0</t>
  </si>
  <si>
    <t>00-К0024911</t>
  </si>
  <si>
    <t>95_т_"Как жаль, что мои родители об этом не знали", квинель</t>
  </si>
  <si>
    <t>_00-К0024911</t>
  </si>
  <si>
    <t>978-5-04-111212-7</t>
  </si>
  <si>
    <t>00-К0024737</t>
  </si>
  <si>
    <t>Джо Боулер</t>
  </si>
  <si>
    <t>96_т_"Безграничный разум", квинель</t>
  </si>
  <si>
    <t>_00-К0024737</t>
  </si>
  <si>
    <t>978-5-00169-178-5</t>
  </si>
  <si>
    <t>00-К0026533</t>
  </si>
  <si>
    <t>Боб Рот</t>
  </si>
  <si>
    <t>97_т_"Сила в спокойствии", квинель</t>
  </si>
  <si>
    <t>_00-К0026533</t>
  </si>
  <si>
    <t>978-5-907274-88-4</t>
  </si>
  <si>
    <t>00-К0033096</t>
  </si>
  <si>
    <t>98_т_"Кибербезопасность: правила игры. Как руководители и сотрудники влияют на культуру безопасности в компании" квинель</t>
  </si>
  <si>
    <t>Альпина ПРО</t>
  </si>
  <si>
    <t>_00-К0033096</t>
  </si>
  <si>
    <t>978-5-907394-67-4</t>
  </si>
  <si>
    <t>00-К0035383</t>
  </si>
  <si>
    <t>Орловский В., Коровкин В.</t>
  </si>
  <si>
    <t>99_т_"От носорога к единорогу. Как управлять корпорациями в эпоху цифровой трансформаци" квинель</t>
  </si>
  <si>
    <t>Эксмо</t>
  </si>
  <si>
    <t>_00-К0035383</t>
  </si>
  <si>
    <t>978-5-04-159109-0</t>
  </si>
  <si>
    <t>00-К0031004</t>
  </si>
  <si>
    <t>Тополь Эрик</t>
  </si>
  <si>
    <t>ИИ "Искусственный интеллект в медицине: Как умные технологии меняют подход к лечению"</t>
  </si>
  <si>
    <t>_00-К0031004</t>
  </si>
  <si>
    <t>978-5-907470-08-8</t>
  </si>
  <si>
    <t>Искусственный интеллект (Библиотека Сбера)</t>
  </si>
  <si>
    <t>00-К0026566</t>
  </si>
  <si>
    <t>Гэри Маркус, Дэвис Эрнест</t>
  </si>
  <si>
    <t>ИИ "Искусственный интеллект: Перезагрузка : Как создать машинный разум, которому действительно можно доверять"</t>
  </si>
  <si>
    <t>_00-К0026566</t>
  </si>
  <si>
    <t>978-5-907394-23-0</t>
  </si>
  <si>
    <t>00-К0026538</t>
  </si>
  <si>
    <t>Ян Лекун</t>
  </si>
  <si>
    <t>ИИ "Как учится машина: Революция в области нейронных сетей и глубокого обучения"</t>
  </si>
  <si>
    <t>_00-К0026538</t>
  </si>
  <si>
    <t>978-5-907394-29-2</t>
  </si>
  <si>
    <t>00-К0020939</t>
  </si>
  <si>
    <t>Эндрю Макафи</t>
  </si>
  <si>
    <t>ИИ "Машина, платформа, толпа"</t>
  </si>
  <si>
    <t>_00-К0020939</t>
  </si>
  <si>
    <t>978-5-00146-560-7</t>
  </si>
  <si>
    <t>12. Книги на иностранных языках</t>
  </si>
  <si>
    <t>12.01. Книги на английском языке</t>
  </si>
  <si>
    <t>Shchepin Evgeny</t>
  </si>
  <si>
    <t>Diving Into the Red Ocean: How to Break the Rules of Retail and Come Out on Top</t>
  </si>
  <si>
    <t>Alpina Publisher</t>
  </si>
  <si>
    <t>Пер. с рус.</t>
  </si>
  <si>
    <t>AMM2102169-P</t>
  </si>
  <si>
    <t>978-5-9614-7188-5</t>
  </si>
  <si>
    <t>Reshetun Alexey</t>
  </si>
  <si>
    <t>If These Bodies Could Talk: True Tales of a Medical Examiner</t>
  </si>
  <si>
    <t>AMM2012124-P</t>
  </si>
  <si>
    <t>978-5-9614-7201-1</t>
  </si>
  <si>
    <t>12.02. Книги на казахском языке</t>
  </si>
  <si>
    <t>Құрманбайұлы Шерубай</t>
  </si>
  <si>
    <t>[Казахстан] Cөзтүзер. Қате қолданыстар сөздігі</t>
  </si>
  <si>
    <t>ZGZ2502045-P</t>
  </si>
  <si>
    <t>978-601-80110-9-2</t>
  </si>
  <si>
    <t>Спирс Бритни</t>
  </si>
  <si>
    <t>Жан сырым</t>
  </si>
  <si>
    <t>ZGZ2509204-P</t>
  </si>
  <si>
    <t>978-601-82102-9-7</t>
  </si>
  <si>
    <t>[Казахстан] Жасанды сана және адамзаттың жаңа дәуірі</t>
  </si>
  <si>
    <t>ZGZ2201002-P</t>
  </si>
  <si>
    <t>978-601-80110-7-8</t>
  </si>
  <si>
    <t>Кинг Ларри, Гилберт Билл</t>
  </si>
  <si>
    <t>[Казахстан] Кез Келген Адаммен, Кез Келген Уақытта және Кез Келген Жерде Сөйлесу Өнері. Тиімді тілдесу құпиялары</t>
  </si>
  <si>
    <t>ZGZ2605269-P</t>
  </si>
  <si>
    <t>978-9965-472-86-2</t>
  </si>
  <si>
    <t>[Казахстан] Конни анасына көмектеседі</t>
  </si>
  <si>
    <t>ZGZ2312126-P</t>
  </si>
  <si>
    <t>978-601-7147-94-5</t>
  </si>
  <si>
    <t>[Казахстан] Конни балабақшаға барады</t>
  </si>
  <si>
    <t>ZGZ2312124-P</t>
  </si>
  <si>
    <t>9789965472893</t>
  </si>
  <si>
    <t>[Казахстан] Конни інілі болады</t>
  </si>
  <si>
    <t>ZGZ2312127-P</t>
  </si>
  <si>
    <t>978-9965-472-90-9</t>
  </si>
  <si>
    <t>[Казахстан] Конни мен қалта ақшасы</t>
  </si>
  <si>
    <t>ZGZ2312128-P</t>
  </si>
  <si>
    <t>978-601-7147-95-2</t>
  </si>
  <si>
    <t>Конни мен марғау</t>
  </si>
  <si>
    <t>ZGZ2509205-P</t>
  </si>
  <si>
    <t>978-9965-472-88-6</t>
  </si>
  <si>
    <t>Принц Гарри Герцог Сассекский</t>
  </si>
  <si>
    <t>[Казахстан] Қосалқы</t>
  </si>
  <si>
    <t>ZGZ2401029-P</t>
  </si>
  <si>
    <t>978-601-7147-87-7</t>
  </si>
  <si>
    <t>Кошкарбаев Ануар</t>
  </si>
  <si>
    <t>[Казахстан] Қызыл көктем зауалы</t>
  </si>
  <si>
    <t>Пер. с казх.</t>
  </si>
  <si>
    <t>ZGR2403145-P</t>
  </si>
  <si>
    <t>978-601-09-6692-5</t>
  </si>
  <si>
    <t>Браун Милли Бобби</t>
  </si>
  <si>
    <t>Он тоғыз қадам</t>
  </si>
  <si>
    <t>ZGZ2404096-P</t>
  </si>
  <si>
    <t>978-601-82155-1-3</t>
  </si>
  <si>
    <t>Примаченко Ольга</t>
  </si>
  <si>
    <t>[Казахстан] Өзіңе нәзік түрде. Өзіңді қалай бағалау және күтіп сақтау керектігі туралы кітап</t>
  </si>
  <si>
    <t>ZGZ2404117-P</t>
  </si>
  <si>
    <t>978-601-7147-83-9</t>
  </si>
  <si>
    <t>Пайдалы бола бiл: Өмiрдiң жетi қағидасы</t>
  </si>
  <si>
    <t>ZGZ2403098-P</t>
  </si>
  <si>
    <t>978-601-82155-3-7</t>
  </si>
  <si>
    <t>Сунь -цзы</t>
  </si>
  <si>
    <t>[Казахстан] Соғыс өнері</t>
  </si>
  <si>
    <t>ZGZ2311002-P</t>
  </si>
  <si>
    <t>978-601-7147-90-7</t>
  </si>
  <si>
    <t>60x90/32</t>
  </si>
  <si>
    <t>Ленсиони Патрик</t>
  </si>
  <si>
    <t>[Казахстан] Топтың бес ақаулығы. Басшылық туралы мысал</t>
  </si>
  <si>
    <t>ZGZ2310002-P</t>
  </si>
  <si>
    <t>978-601-7147-88-4</t>
  </si>
  <si>
    <t>Арукенова Орал</t>
  </si>
  <si>
    <t>[Казахстан] Февраль/Ақпан</t>
  </si>
  <si>
    <t>ZGZ2403100-P</t>
  </si>
  <si>
    <t>978-601-81159-2-9</t>
  </si>
  <si>
    <t>14. Комплекты</t>
  </si>
  <si>
    <t>14.01. Комплекты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</si>
</sst>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&quot;"/>
  </numFmts>
  <fonts count="9">
    <font>
      <sz val="8"/>
      <name val="Arial"/>
    </font>
    <font>
      <sz val="9"/>
      <color rgb="FF808080"/>
      <name val="Arial"/>
      <family val="2"/>
    </font>
    <font>
      <u/>
      <sz val="8"/>
      <color rgb="FF0000FF"/>
      <name val="Arial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</font>
    <font>
      <b/>
      <sz val="11"/>
      <name val="Arial"/>
      <family val="2"/>
    </font>
    <font>
      <b/>
      <sz val="8"/>
      <name val="Arial"/>
    </font>
    <font>
      <u/>
      <sz val="8"/>
      <color theme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A500"/>
        <bgColor auto="1"/>
      </patternFill>
    </fill>
    <fill>
      <patternFill patternType="solid">
        <fgColor rgb="FF3AAF75"/>
        <bgColor auto="1"/>
      </patternFill>
    </fill>
    <fill>
      <patternFill patternType="solid">
        <fgColor rgb="FF33CCCC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00BFFF"/>
        <bgColor auto="1"/>
      </patternFill>
    </fill>
    <fill>
      <patternFill patternType="solid">
        <fgColor rgb="FFEBF1DE"/>
        <bgColor auto="1"/>
      </patternFill>
    </fill>
  </fills>
  <borders count="11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5E5E5E"/>
      </left>
      <right/>
      <top style="thin">
        <color rgb="FF5E5E5E"/>
      </top>
      <bottom style="thin">
        <color rgb="FF5E5E5E"/>
      </bottom>
      <diagonal/>
    </border>
    <border>
      <left/>
      <right/>
      <top style="thin">
        <color rgb="FF5E5E5E"/>
      </top>
      <bottom style="thin">
        <color rgb="FF5E5E5E"/>
      </bottom>
      <diagonal/>
    </border>
    <border>
      <left/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0" applyNumberFormat="0" fontId="8" applyFont="1" fillId="0" applyFill="0" borderId="0" applyBorder="0" applyProtection="0" applyAlignment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2" applyFill="1" borderId="2" applyBorder="1" xfId="0" applyAlignment="1">
      <alignment horizontal="left"/>
    </xf>
    <xf numFmtId="0" fontId="0" fillId="2" applyFill="1" borderId="3" applyBorder="1" xfId="0" applyAlignment="1">
      <alignment horizontal="left"/>
    </xf>
    <xf numFmtId="0" fontId="0" fillId="2" applyFill="1" borderId="4" applyBorder="1" xfId="0" applyAlignment="1">
      <alignment horizontal="left"/>
    </xf>
    <xf numFmtId="0" fontId="1" applyFont="1" fillId="2" applyFill="1" borderId="4" applyBorder="1" xfId="0" applyAlignment="1">
      <alignment horizontal="center"/>
    </xf>
    <xf numFmtId="0" fontId="2" applyFont="1" fillId="2" applyFill="1" borderId="0" xfId="0" applyAlignment="1">
      <alignment horizontal="left"/>
    </xf>
    <xf numFmtId="0" fontId="3" applyFont="1" fillId="2" applyFill="1" borderId="2" applyBorder="1" xfId="0" applyAlignment="1">
      <alignment horizontal="left"/>
    </xf>
    <xf numFmtId="0" fontId="3" applyFont="1" fillId="2" applyFill="1" borderId="3" applyBorder="1" xfId="0" applyAlignment="1">
      <alignment horizontal="left"/>
    </xf>
    <xf numFmtId="0" fontId="3" applyFont="1" fillId="2" applyFill="1" borderId="6" applyBorder="1" xfId="0" applyAlignment="1">
      <alignment horizontal="left"/>
    </xf>
    <xf numFmtId="0" fontId="3" applyFont="1" fillId="2" applyFill="1" borderId="7" applyBorder="1" xfId="0" applyAlignment="1">
      <alignment horizontal="left"/>
    </xf>
    <xf numFmtId="0" fontId="3" applyFont="1" fillId="2" applyFill="1" borderId="8" applyBorder="1" xfId="0" applyAlignment="1">
      <alignment horizontal="left"/>
    </xf>
    <xf numFmtId="0" fontId="5" applyFont="1" fillId="3" applyFill="1" borderId="9" applyBorder="1" xfId="0" applyAlignment="1">
      <alignment horizontal="center" vertical="center"/>
    </xf>
    <xf numFmtId="0" fontId="5" applyFont="1" fillId="3" applyFill="1" borderId="9" applyBorder="1" xfId="0" applyAlignment="1">
      <alignment horizontal="center" vertical="center" wrapText="1"/>
    </xf>
    <xf numFmtId="0" fontId="6" applyFont="1" fillId="4" applyFill="1" borderId="10" applyBorder="1" xfId="0" applyAlignment="1">
      <alignment horizontal="left" vertical="top"/>
    </xf>
    <xf numFmtId="0" fontId="0" fillId="0" borderId="10" applyBorder="1" xfId="0" applyAlignment="1">
      <alignment horizontal="right" vertical="top" wrapText="1"/>
    </xf>
    <xf numFmtId="1" applyNumberFormat="1" fontId="0" fillId="0" borderId="10" applyBorder="1" xfId="0" applyAlignment="1">
      <alignment horizontal="right" vertical="top" wrapText="1"/>
    </xf>
    <xf numFmtId="3" applyNumberFormat="1" fontId="0" fillId="0" borderId="10" applyBorder="1" xfId="0" applyAlignment="1">
      <alignment horizontal="right" vertical="top" wrapText="1"/>
    </xf>
    <xf numFmtId="0" fontId="0" fillId="0" borderId="10" applyBorder="1" xfId="0" applyAlignment="1">
      <alignment horizontal="left" vertical="top" wrapText="1"/>
    </xf>
    <xf numFmtId="2" applyNumberFormat="1" fontId="0" fillId="0" borderId="10" applyBorder="1" xfId="0" applyAlignment="1">
      <alignment horizontal="right" vertical="top" wrapText="1"/>
    </xf>
    <xf numFmtId="0" fontId="6" applyFont="1" fillId="5" applyFill="1" borderId="10" applyBorder="1" xfId="0" applyAlignment="1">
      <alignment horizontal="left" vertical="top"/>
    </xf>
    <xf numFmtId="0" fontId="6" applyFont="1" fillId="6" applyFill="1" borderId="10" applyBorder="1" xfId="0" applyAlignment="1">
      <alignment horizontal="left" vertical="top"/>
    </xf>
    <xf numFmtId="0" fontId="6" applyFont="1" fillId="7" applyFill="1" borderId="10" applyBorder="1" xfId="0" applyAlignment="1">
      <alignment horizontal="left" vertical="top"/>
    </xf>
    <xf numFmtId="0" fontId="6" applyFont="1" fillId="0" borderId="10" applyBorder="1" xfId="0" applyAlignment="1">
      <alignment horizontal="left" vertical="top"/>
    </xf>
    <xf numFmtId="0" fontId="7" applyFont="1" fillId="8" applyFill="1" borderId="10" applyBorder="1" xfId="0" applyAlignment="1">
      <alignment horizontal="left" vertical="top"/>
    </xf>
    <xf numFmtId="0" fontId="0" fillId="9" applyFill="1" borderId="10" applyBorder="1" xfId="0" applyAlignment="1">
      <alignment horizontal="right" vertical="top" wrapText="1"/>
    </xf>
    <xf numFmtId="1" applyNumberFormat="1" fontId="0" fillId="9" applyFill="1" borderId="10" applyBorder="1" xfId="0" applyAlignment="1">
      <alignment horizontal="right" vertical="top" wrapText="1"/>
    </xf>
    <xf numFmtId="0" fontId="0" fillId="9" applyFill="1" borderId="10" applyBorder="1" xfId="0" applyAlignment="1">
      <alignment horizontal="left" vertical="top" wrapText="1"/>
    </xf>
    <xf numFmtId="2" applyNumberFormat="1" fontId="0" fillId="9" applyFill="1" borderId="10" applyBorder="1" xfId="0" applyAlignment="1">
      <alignment horizontal="right" vertical="top" wrapText="1"/>
    </xf>
    <xf numFmtId="3" applyNumberFormat="1" fontId="0" fillId="9" applyFill="1" borderId="10" applyBorder="1" xfId="0" applyAlignment="1">
      <alignment horizontal="right" vertical="top" wrapText="1"/>
    </xf>
    <xf numFmtId="164" applyNumberFormat="1" fontId="0" fillId="9" applyFill="1" borderId="10" applyBorder="1" xfId="0" applyAlignment="1">
      <alignment horizontal="right" vertical="top" wrapText="1"/>
    </xf>
    <xf numFmtId="0" fontId="1" applyFont="1" fillId="2" applyFill="1" borderId="5" applyBorder="1" xfId="0" applyAlignment="1">
      <alignment horizontal="center"/>
    </xf>
    <xf numFmtId="0" fontId="3" applyFont="1" fillId="2" applyFill="1" borderId="9" applyBorder="1" xfId="0" applyAlignment="1">
      <alignment horizontal="center"/>
    </xf>
    <xf numFmtId="0" fontId="3" applyFont="1" fillId="2" applyFill="1" borderId="9" applyBorder="1" xfId="0" applyAlignment="1">
      <alignment horizontal="left"/>
    </xf>
    <xf numFmtId="0" fontId="4" applyFont="1" fillId="2" applyFill="1" borderId="0" xfId="0" applyAlignment="1">
      <alignment horizontal="center" vertical="center" wrapText="1"/>
    </xf>
    <xf numFmtId="0" fontId="4" applyFont="1" fillId="2" applyFill="1" borderId="0" xfId="0" applyAlignment="1">
      <alignment horizontal="center" vertical="center"/>
    </xf>
    <xf numFmtId="0" fontId="6" applyFont="1" fillId="4" applyFill="1" borderId="10" applyBorder="1" xfId="0" applyAlignment="1">
      <alignment horizontal="left" vertical="top" wrapText="1"/>
    </xf>
    <xf numFmtId="0" fontId="6" applyFont="1" fillId="5" applyFill="1" borderId="10" applyBorder="1" xfId="0" applyAlignment="1">
      <alignment horizontal="left" vertical="top" wrapText="1"/>
    </xf>
    <xf numFmtId="0" fontId="6" applyFont="1" fillId="6" applyFill="1" borderId="10" applyBorder="1" xfId="0" applyAlignment="1">
      <alignment horizontal="left" vertical="top" wrapText="1"/>
    </xf>
    <xf numFmtId="0" fontId="6" applyFont="1" fillId="7" applyFill="1" borderId="10" applyBorder="1" xfId="0" applyAlignment="1">
      <alignment horizontal="left" vertical="top" wrapText="1"/>
    </xf>
    <xf numFmtId="0" fontId="6" applyFont="1" fillId="0" borderId="10" applyBorder="1" xfId="0" applyAlignment="1">
      <alignment horizontal="left" vertical="top" wrapText="1" indent="2"/>
    </xf>
    <xf numFmtId="0" fontId="7" applyFont="1" fillId="8" applyFill="1" borderId="10" applyBorder="1" xfId="0" applyAlignment="1">
      <alignment horizontal="left" vertical="top" wrapText="1" indent="4"/>
    </xf>
    <xf numFmtId="0" fontId="8" applyFont="1" fillId="0" borderId="0" xfId="1" applyAlignment="1">
      <alignment horizontal="left"/>
    </xf>
    <xf numFmtId="0" fontId="8" applyFont="1" fillId="0" borderId="10" applyBorder="1" xfId="1" applyAlignment="1">
      <alignment horizontal="left" vertical="top" wrapText="1"/>
    </xf>
    <xf numFmtId="0" fontId="8" applyFont="1" fillId="2" applyFill="1" borderId="1" applyBorder="1" xfId="1" applyAlignment="1">
      <alignment horizontal="left"/>
    </xf>
    <xf numFmtId="0" fontId="8" applyFont="1" fillId="9" applyFill="1" borderId="10" applyBorder="1" xfId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9525</xdr:rowOff>
    </xdr:from>
    <xdr:to>
      <xdr:col>14</xdr:col>
      <xdr:colOff>142875</xdr:colOff>
      <xdr:row>10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W3114"/>
  <sheetViews>
    <sheetView tabSelected="1" zoomScale="80" zoomScaleNormal="80" workbookViewId="0"/>
  </sheetViews>
  <sheetFormatPr defaultColWidth="10.5" defaultRowHeight="11.45" customHeight="1" outlineLevelRow="3" x14ac:dyDescent="0.2"/>
  <cols>
    <col min="1" max="1" width="5.6640625" customWidth="1" style="1"/>
    <col min="2" max="3" width="10.5" customWidth="1" style="1"/>
    <col min="4" max="5" width="7.83203125" customWidth="1" style="1"/>
    <col min="6" max="6" width="12.6640625" customWidth="1" style="1"/>
    <col min="7" max="7" width="52.83203125" customWidth="1" style="1"/>
    <col min="8" max="8" width="13.5" customWidth="1" style="1"/>
    <col min="9" max="10" width="10.5" customWidth="1" style="1"/>
    <col min="11" max="11" hidden="1" width="14.6640625" customWidth="1" style="1"/>
    <col min="12" max="12" width="14.5" customWidth="1" style="1"/>
    <col min="13" max="13" width="17.1640625" customWidth="1" style="1"/>
    <col min="14" max="14" width="5.5" customWidth="1" style="1"/>
    <col min="15" max="15" width="5" customWidth="1" style="1"/>
    <col min="16" max="16" width="8.1640625" customWidth="1" style="1"/>
    <col min="17" max="17" width="8" customWidth="1" style="1"/>
    <col min="18" max="18" width="4.1640625" customWidth="1" style="1"/>
    <col min="19" max="19" width="10.5" customWidth="1" style="1"/>
    <col min="20" max="20" width="19" customWidth="1" style="1"/>
    <col min="21" max="21" width="6.83203125" customWidth="1" style="1"/>
    <col min="22" max="22" width="13.1640625" customWidth="1" style="1"/>
    <col min="23" max="24" width="5.6640625" customWidth="1" style="1"/>
    <col min="25" max="25" width="12" customWidth="1" style="1"/>
    <col min="26" max="26" width="12.6640625" customWidth="1" style="1"/>
    <col min="27" max="30" hidden="1" width="10.5" customWidth="1" style="1"/>
    <col min="31" max="31" hidden="1" width="10.1640625" customWidth="1" style="1"/>
    <col min="32" max="49" hidden="1" width="0" customWidth="1"/>
  </cols>
  <sheetData>
    <row r="1" ht="12" customHeight="1" s="1" customFormat="1">
      <c r="A1" s="42" t="str">
        <f>HYPERLINK("#R19C1","НОВИНКИ Июнь 2026")</f>
        <v>НОВИНКИ Июнь 2026</v>
      </c>
    </row>
    <row r="2" ht="12" customHeight="1" s="1" customFormat="1">
      <c r="A2" s="44" t="str">
        <f>HYPERLINK("#R100C1","СНОВА В ПРОДАЖЕ Июнь 2026")</f>
        <v>СНОВА В ПРОДАЖЕ Июнь 2026</v>
      </c>
      <c r="B2" s="2"/>
      <c r="C2" s="2"/>
      <c r="E2" s="2"/>
      <c r="F2" s="3"/>
      <c r="P2" s="4"/>
      <c r="Q2" s="4"/>
      <c r="R2" s="4"/>
      <c r="S2" s="4"/>
      <c r="T2" s="5"/>
      <c r="U2" s="31" t="s">
        <v>0</v>
      </c>
      <c r="V2" s="31"/>
      <c r="W2" s="6"/>
      <c r="X2" s="6"/>
      <c r="Y2" s="6"/>
      <c r="Z2" s="6"/>
      <c r="AE2" s="6"/>
    </row>
    <row r="3" ht="12" customHeight="1" s="1" customFormat="1">
      <c r="A3" s="44" t="str">
        <f>HYPERLINK("#R253C1","БЕСТСЕЛЛЕРЫ")</f>
        <v>БЕСТСЕЛЛЕРЫ</v>
      </c>
      <c r="B3" s="7"/>
      <c r="C3" s="7"/>
      <c r="E3" s="7"/>
      <c r="F3" s="8"/>
      <c r="Q3" s="9" t="s">
        <v>1</v>
      </c>
      <c r="R3" s="10"/>
      <c r="S3" s="10"/>
      <c r="T3" s="11"/>
      <c r="U3" s="32" t="s">
        <v>2</v>
      </c>
      <c r="V3" s="32"/>
    </row>
    <row r="4" ht="12" customHeight="1" s="1" customFormat="1">
      <c r="A4" s="44" t="str">
        <f>HYPERLINK("#R311C1","КАТАЛОГ")</f>
        <v>КАТАЛОГ</v>
      </c>
      <c r="B4" s="7"/>
      <c r="C4" s="7"/>
      <c r="E4" s="7"/>
      <c r="F4" s="8"/>
      <c r="Q4" s="33" t="s">
        <v>3</v>
      </c>
      <c r="R4" s="33"/>
      <c r="S4" s="33"/>
      <c r="T4" s="33"/>
      <c r="U4" s="32">
        <f>SUM($AT$18:$AT$3114)</f>
        <v>0</v>
      </c>
      <c r="V4" s="32"/>
    </row>
    <row r="5" ht="12" customHeight="1" s="1" customFormat="1">
      <c r="A5" s="44" t="str">
        <f>HYPERLINK("#R314C1","01. Психология и ментальное здоровье")</f>
        <v>01. Психология и ментальное здоровье</v>
      </c>
      <c r="B5" s="7"/>
      <c r="C5" s="7"/>
      <c r="E5" s="7"/>
      <c r="F5" s="8"/>
      <c r="Q5" s="33" t="s">
        <v>4</v>
      </c>
      <c r="R5" s="33"/>
      <c r="S5" s="33"/>
      <c r="T5" s="33"/>
      <c r="U5" s="32">
        <f>SUM($AS$18:$AS$3114)</f>
        <v>0</v>
      </c>
      <c r="V5" s="32"/>
    </row>
    <row r="6" ht="12" customHeight="1" s="1" customFormat="1">
      <c r="A6" s="44" t="str">
        <f>HYPERLINK("#R715C1","02. Саморазвитие и личная эффективность")</f>
        <v>02. Саморазвитие и личная эффективность</v>
      </c>
      <c r="B6" s="7"/>
      <c r="C6" s="7"/>
      <c r="E6" s="7"/>
      <c r="F6" s="8"/>
      <c r="Q6" s="33" t="s">
        <v>5</v>
      </c>
      <c r="R6" s="33"/>
      <c r="S6" s="33"/>
      <c r="T6" s="33"/>
      <c r="U6" s="32">
        <f>SUM($A$18:$A$3114)</f>
        <v>0</v>
      </c>
      <c r="V6" s="32"/>
    </row>
    <row r="7" ht="12" customHeight="1" s="1" customFormat="1">
      <c r="A7" s="44" t="str">
        <f>HYPERLINK("#R856C1","03. Научно-популярные книги")</f>
        <v>03. Научно-популярные книги</v>
      </c>
      <c r="B7" s="7"/>
      <c r="C7" s="7"/>
      <c r="E7" s="7"/>
      <c r="F7" s="8"/>
      <c r="Q7" s="33" t="s">
        <v>6</v>
      </c>
      <c r="R7" s="33"/>
      <c r="S7" s="33"/>
      <c r="T7" s="33"/>
      <c r="U7" s="32">
        <f>SUM($AV$18:$AV$3114)</f>
        <v>0</v>
      </c>
      <c r="V7" s="32"/>
    </row>
    <row r="8" ht="12" customHeight="1" s="1" customFormat="1">
      <c r="A8" s="44" t="str">
        <f>HYPERLINK("#R1389C1","04. Бизнес")</f>
        <v>04. Бизнес</v>
      </c>
      <c r="B8" s="7"/>
      <c r="C8" s="7"/>
      <c r="E8" s="7"/>
      <c r="F8" s="8"/>
      <c r="Q8" s="33" t="s">
        <v>7</v>
      </c>
      <c r="R8" s="33"/>
      <c r="S8" s="33"/>
      <c r="T8" s="33"/>
      <c r="U8" s="32">
        <f>SUM($AW$18:$AW$3114)</f>
        <v>0</v>
      </c>
      <c r="V8" s="32"/>
    </row>
    <row r="9" ht="12" customHeight="1" s="1" customFormat="1">
      <c r="A9" s="44" t="str">
        <f>HYPERLINK("#R1753C1","05. Инвестиции, финансы, право")</f>
        <v>05. Инвестиции, финансы, право</v>
      </c>
      <c r="B9" s="7"/>
      <c r="C9" s="7"/>
      <c r="E9" s="7"/>
      <c r="F9" s="8"/>
      <c r="Q9" s="33" t="s">
        <v>8</v>
      </c>
      <c r="R9" s="33"/>
      <c r="S9" s="33"/>
      <c r="T9" s="33"/>
      <c r="U9" s="32">
        <f>SUM($AU$18:$AU$3114)</f>
        <v>0</v>
      </c>
      <c r="V9" s="32"/>
    </row>
    <row r="10" ht="12" customHeight="1" s="1" customFormat="1">
      <c r="A10" s="42" t="str">
        <f>HYPERLINK("#R1859C1","06. Писательское мастерство, креативность и творчество")</f>
        <v>06. Писательское мастерство, креативность и творчество</v>
      </c>
      <c r="P10" s="6"/>
      <c r="Q10" s="6"/>
      <c r="R10" s="6"/>
      <c r="S10" s="6"/>
      <c r="T10" s="6"/>
    </row>
    <row r="11" ht="12" customHeight="1" s="1" customFormat="1">
      <c r="A11" s="42" t="str">
        <f>HYPERLINK("#R1941C1","07. Стиль жизни")</f>
        <v>07. Стиль жизни</v>
      </c>
      <c r="P11" s="6"/>
      <c r="Q11" s="6"/>
      <c r="R11" s="6"/>
      <c r="S11" s="6"/>
      <c r="T11" s="6"/>
    </row>
    <row r="12" ht="12" customHeight="1" s="1" customFormat="1">
      <c r="A12" s="42" t="str">
        <f>HYPERLINK("#R1972C1","08. Художественная литература")</f>
        <v>08. Художественная литература</v>
      </c>
      <c r="P12" s="6"/>
      <c r="Q12" s="6"/>
      <c r="R12" s="6"/>
      <c r="S12" s="6"/>
      <c r="T12" s="6"/>
    </row>
    <row r="13" ht="12" customHeight="1" s="1" customFormat="1">
      <c r="A13" s="42" t="str">
        <f>HYPERLINK("#R2407C1","09. Книги для детей")</f>
        <v>09. Книги для детей</v>
      </c>
      <c r="G13" s="34" t="s">
        <v>9</v>
      </c>
      <c r="H13" s="34"/>
      <c r="I13" s="34"/>
      <c r="J13" s="34"/>
      <c r="K13" s="34"/>
      <c r="L13" s="34"/>
      <c r="M13" s="34"/>
      <c r="N13" s="34"/>
      <c r="P13" s="6"/>
      <c r="Q13" s="6"/>
      <c r="R13" s="6"/>
      <c r="S13" s="6"/>
      <c r="T13" s="6"/>
    </row>
    <row r="14" ht="12" customHeight="1" s="1" customFormat="1">
      <c r="A14" s="42" t="str">
        <f>HYPERLINK("#R2959C1","10. Книги для родителей и педагогов")</f>
        <v>10. Книги для родителей и педагогов</v>
      </c>
      <c r="G14" s="35"/>
      <c r="H14" s="35"/>
      <c r="I14" s="35"/>
      <c r="J14" s="35"/>
      <c r="K14" s="35"/>
      <c r="L14" s="35"/>
      <c r="M14" s="35"/>
      <c r="N14" s="35"/>
      <c r="P14" s="6"/>
      <c r="Q14" s="6"/>
      <c r="R14" s="6"/>
      <c r="S14" s="6"/>
      <c r="T14" s="6"/>
    </row>
    <row r="15" ht="12" customHeight="1" s="1" customFormat="1">
      <c r="A15" s="42" t="str">
        <f>HYPERLINK("#R3012C1","11. Библиотека Сбербанка")</f>
        <v>11. Библиотека Сбербанка</v>
      </c>
      <c r="G15" s="35"/>
      <c r="H15" s="35"/>
      <c r="I15" s="35"/>
      <c r="J15" s="35"/>
      <c r="K15" s="35"/>
      <c r="L15" s="35"/>
      <c r="M15" s="35"/>
      <c r="N15" s="35"/>
    </row>
    <row r="16" ht="12" customHeight="1" s="1" customFormat="1">
      <c r="A16" s="42" t="str">
        <f>HYPERLINK("#R3088C1","12. Книги на иностранных языках")</f>
        <v>12. Книги на иностранных языках</v>
      </c>
      <c r="G16" s="4"/>
    </row>
    <row r="17" ht="12" customHeight="1" s="1" customFormat="1">
      <c r="A17" s="42" t="str">
        <f>HYPERLINK("#R3110C1","14. Комплекты")</f>
        <v>14. Комплекты</v>
      </c>
      <c r="G17" s="4"/>
    </row>
    <row r="18" ht="66.95" customHeight="1">
      <c r="A18" s="12" t="s">
        <v>10</v>
      </c>
      <c r="B18" s="13" t="s">
        <v>11</v>
      </c>
      <c r="C18" s="13" t="s">
        <v>12</v>
      </c>
      <c r="D18" s="13" t="s">
        <v>13</v>
      </c>
      <c r="E18" s="13" t="s">
        <v>14</v>
      </c>
      <c r="F18" s="12" t="s">
        <v>15</v>
      </c>
      <c r="G18" s="12" t="s">
        <v>16</v>
      </c>
      <c r="H18" s="12" t="s">
        <v>17</v>
      </c>
      <c r="I18" s="12" t="s">
        <v>18</v>
      </c>
      <c r="J18" s="13" t="s">
        <v>19</v>
      </c>
      <c r="K18" s="12" t="s">
        <v>20</v>
      </c>
      <c r="L18" s="12" t="s">
        <v>21</v>
      </c>
      <c r="M18" s="12" t="s">
        <v>22</v>
      </c>
      <c r="N18" s="12" t="s">
        <v>23</v>
      </c>
      <c r="O18" s="13" t="s">
        <v>24</v>
      </c>
      <c r="P18" s="13" t="s">
        <v>25</v>
      </c>
      <c r="Q18" s="13" t="s">
        <v>26</v>
      </c>
      <c r="R18" s="12" t="s">
        <v>27</v>
      </c>
      <c r="S18" s="12" t="s">
        <v>28</v>
      </c>
      <c r="T18" s="12" t="s">
        <v>29</v>
      </c>
      <c r="U18" s="12" t="s">
        <v>30</v>
      </c>
      <c r="V18" s="13" t="s">
        <v>31</v>
      </c>
      <c r="W18" s="13" t="s">
        <v>32</v>
      </c>
      <c r="X18" s="13" t="s">
        <v>33</v>
      </c>
      <c r="Y18" s="13" t="s">
        <v>34</v>
      </c>
      <c r="Z18" s="13" t="s">
        <v>35</v>
      </c>
      <c r="AE18" s="13"/>
    </row>
    <row r="19" ht="15" customHeight="1">
      <c r="A19" s="36" t="s">
        <v>36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14"/>
    </row>
    <row r="20" ht="24.95" customHeight="1" outlineLevel="1" s="1" customFormat="1">
      <c r="A20" s="15"/>
      <c r="B20" s="16">
        <v>800</v>
      </c>
      <c r="C20" s="17">
        <v>1160</v>
      </c>
      <c r="D20" s="16">
        <v>36238</v>
      </c>
      <c r="E20" s="18"/>
      <c r="F20" s="18" t="s">
        <v>37</v>
      </c>
      <c r="G20" s="18" t="s">
        <v>38</v>
      </c>
      <c r="H20" s="18" t="s">
        <v>39</v>
      </c>
      <c r="I20" s="18" t="s">
        <v>40</v>
      </c>
      <c r="J20" s="16">
        <v>2026</v>
      </c>
      <c r="K20" s="18" t="s">
        <v>41</v>
      </c>
      <c r="L20" s="16">
        <v>9785006316607</v>
      </c>
      <c r="M20" s="18" t="s">
        <v>42</v>
      </c>
      <c r="N20" s="16">
        <v>560</v>
      </c>
      <c r="O20" s="19">
        <v>0.53</v>
      </c>
      <c r="P20" s="16">
        <v>140</v>
      </c>
      <c r="Q20" s="16">
        <v>210</v>
      </c>
      <c r="R20" s="16">
        <v>4</v>
      </c>
      <c r="S20" s="18" t="s">
        <v>43</v>
      </c>
      <c r="T20" s="18"/>
      <c r="U20" s="17">
        <v>4000</v>
      </c>
      <c r="V20" s="18" t="s">
        <v>44</v>
      </c>
      <c r="W20" s="18" t="s">
        <v>45</v>
      </c>
      <c r="X20" s="16">
        <v>10</v>
      </c>
      <c r="Y20" s="43" t="str">
        <f>HYPERLINK("https://api-enni.alpina.ru/FilePrivilegesApproval/1230","https://api-enni.alpina.ru/FilePrivilegesApproval/1230")</f>
        <v>https://api-enni.alpina.ru/FilePrivilegesApproval/1230</v>
      </c>
      <c r="Z20" s="18" t="s">
        <v>46</v>
      </c>
      <c r="AS20" s="1">
        <f>IF($A20&lt;&gt;0,1,0)</f>
        <v>0</v>
      </c>
      <c r="AT20" s="1">
        <f>$A20*$B20</f>
        <v>0</v>
      </c>
      <c r="AU20" s="1">
        <f>$A20*$O20</f>
        <v>0</v>
      </c>
      <c r="AV20" s="1">
        <f>IF($R20=0,0,INT($A20/$R20))</f>
        <v>0</v>
      </c>
      <c r="AW20" s="1">
        <f>$A20-$AV20*$R20</f>
        <v>0</v>
      </c>
    </row>
    <row r="21" ht="24.95" customHeight="1" outlineLevel="1" s="1" customFormat="1">
      <c r="A21" s="15"/>
      <c r="B21" s="17">
        <v>1100</v>
      </c>
      <c r="C21" s="17">
        <v>1485</v>
      </c>
      <c r="D21" s="16">
        <v>34579</v>
      </c>
      <c r="E21" s="18"/>
      <c r="F21" s="18" t="s">
        <v>47</v>
      </c>
      <c r="G21" s="18" t="s">
        <v>48</v>
      </c>
      <c r="H21" s="18" t="s">
        <v>49</v>
      </c>
      <c r="I21" s="18"/>
      <c r="J21" s="16">
        <v>2026</v>
      </c>
      <c r="K21" s="18" t="s">
        <v>50</v>
      </c>
      <c r="L21" s="16">
        <v>9785006308053</v>
      </c>
      <c r="M21" s="18" t="s">
        <v>51</v>
      </c>
      <c r="N21" s="16">
        <v>288</v>
      </c>
      <c r="O21" s="19">
        <v>0.53</v>
      </c>
      <c r="P21" s="16">
        <v>160</v>
      </c>
      <c r="Q21" s="16">
        <v>200</v>
      </c>
      <c r="R21" s="16">
        <v>20</v>
      </c>
      <c r="S21" s="18" t="s">
        <v>52</v>
      </c>
      <c r="T21" s="18" t="s">
        <v>53</v>
      </c>
      <c r="U21" s="17">
        <v>5000</v>
      </c>
      <c r="V21" s="18" t="s">
        <v>54</v>
      </c>
      <c r="W21" s="18" t="s">
        <v>55</v>
      </c>
      <c r="X21" s="16">
        <v>10</v>
      </c>
      <c r="Y21" s="43" t="str">
        <f>HYPERLINK("","")</f>
      </c>
      <c r="Z21" s="18" t="s">
        <v>56</v>
      </c>
      <c r="AS21" s="1">
        <f>IF($A21&lt;&gt;0,1,0)</f>
        <v>0</v>
      </c>
      <c r="AT21" s="1">
        <f>$A21*$B21</f>
        <v>0</v>
      </c>
      <c r="AU21" s="1">
        <f>$A21*$O21</f>
        <v>0</v>
      </c>
      <c r="AV21" s="1">
        <f>IF($R21=0,0,INT($A21/$R21))</f>
        <v>0</v>
      </c>
      <c r="AW21" s="1">
        <f>$A21-$AV21*$R21</f>
        <v>0</v>
      </c>
    </row>
    <row r="22" ht="24.95" customHeight="1" outlineLevel="1" s="1" customFormat="1">
      <c r="A22" s="15"/>
      <c r="B22" s="16">
        <v>120</v>
      </c>
      <c r="C22" s="16">
        <v>192</v>
      </c>
      <c r="D22" s="16">
        <v>28807</v>
      </c>
      <c r="E22" s="18"/>
      <c r="F22" s="18" t="s">
        <v>57</v>
      </c>
      <c r="G22" s="18" t="s">
        <v>58</v>
      </c>
      <c r="H22" s="18" t="s">
        <v>49</v>
      </c>
      <c r="I22" s="18"/>
      <c r="J22" s="16">
        <v>2023</v>
      </c>
      <c r="K22" s="18" t="s">
        <v>59</v>
      </c>
      <c r="L22" s="16">
        <v>9785961490114</v>
      </c>
      <c r="M22" s="18" t="s">
        <v>60</v>
      </c>
      <c r="N22" s="16">
        <v>24</v>
      </c>
      <c r="O22" s="19">
        <v>0.06</v>
      </c>
      <c r="P22" s="16">
        <v>170</v>
      </c>
      <c r="Q22" s="16">
        <v>210</v>
      </c>
      <c r="R22" s="16">
        <v>70</v>
      </c>
      <c r="S22" s="18" t="s">
        <v>52</v>
      </c>
      <c r="T22" s="18"/>
      <c r="U22" s="17">
        <v>3000</v>
      </c>
      <c r="V22" s="18" t="s">
        <v>44</v>
      </c>
      <c r="W22" s="18" t="s">
        <v>55</v>
      </c>
      <c r="X22" s="16">
        <v>10</v>
      </c>
      <c r="Y22" s="18" t="s">
        <v>61</v>
      </c>
      <c r="Z22" s="18"/>
      <c r="AS22" s="1">
        <f>IF($A22&lt;&gt;0,1,0)</f>
        <v>0</v>
      </c>
      <c r="AT22" s="1">
        <f>$A22*$B22</f>
        <v>0</v>
      </c>
      <c r="AU22" s="1">
        <f>$A22*$O22</f>
        <v>0</v>
      </c>
      <c r="AV22" s="1">
        <f>IF($R22=0,0,INT($A22/$R22))</f>
        <v>0</v>
      </c>
      <c r="AW22" s="1">
        <f>$A22-$AV22*$R22</f>
        <v>0</v>
      </c>
    </row>
    <row r="23" ht="24.95" customHeight="1" outlineLevel="1" s="1" customFormat="1">
      <c r="A23" s="15"/>
      <c r="B23" s="16">
        <v>620</v>
      </c>
      <c r="C23" s="16">
        <v>930</v>
      </c>
      <c r="D23" s="16">
        <v>32716</v>
      </c>
      <c r="E23" s="18"/>
      <c r="F23" s="18" t="s">
        <v>62</v>
      </c>
      <c r="G23" s="18" t="s">
        <v>63</v>
      </c>
      <c r="H23" s="18" t="s">
        <v>64</v>
      </c>
      <c r="I23" s="18" t="s">
        <v>65</v>
      </c>
      <c r="J23" s="16">
        <v>2026</v>
      </c>
      <c r="K23" s="18" t="s">
        <v>66</v>
      </c>
      <c r="L23" s="16">
        <v>9785006302853</v>
      </c>
      <c r="M23" s="18" t="s">
        <v>67</v>
      </c>
      <c r="N23" s="16">
        <v>540</v>
      </c>
      <c r="O23" s="19">
        <v>0.47</v>
      </c>
      <c r="P23" s="16">
        <v>140</v>
      </c>
      <c r="Q23" s="16">
        <v>200</v>
      </c>
      <c r="R23" s="16">
        <v>6</v>
      </c>
      <c r="S23" s="18" t="s">
        <v>43</v>
      </c>
      <c r="T23" s="18" t="s">
        <v>68</v>
      </c>
      <c r="U23" s="17">
        <v>3000</v>
      </c>
      <c r="V23" s="18" t="s">
        <v>44</v>
      </c>
      <c r="W23" s="18" t="s">
        <v>69</v>
      </c>
      <c r="X23" s="16">
        <v>10</v>
      </c>
      <c r="Y23" s="43" t="str">
        <f>HYPERLINK("https://api-enni.alpina.ru/FilePrivilegesApproval/1205","https://api-enni.alpina.ru/FilePrivilegesApproval/1205")</f>
        <v>https://api-enni.alpina.ru/FilePrivilegesApproval/1205</v>
      </c>
      <c r="Z23" s="18" t="s">
        <v>70</v>
      </c>
      <c r="AS23" s="1">
        <f>IF($A23&lt;&gt;0,1,0)</f>
        <v>0</v>
      </c>
      <c r="AT23" s="1">
        <f>$A23*$B23</f>
        <v>0</v>
      </c>
      <c r="AU23" s="1">
        <f>$A23*$O23</f>
        <v>0</v>
      </c>
      <c r="AV23" s="1">
        <f>IF($R23=0,0,INT($A23/$R23))</f>
        <v>0</v>
      </c>
      <c r="AW23" s="1">
        <f>$A23-$AV23*$R23</f>
        <v>0</v>
      </c>
    </row>
    <row r="24" ht="24.95" customHeight="1" outlineLevel="1" s="1" customFormat="1">
      <c r="A24" s="15"/>
      <c r="B24" s="17">
        <v>1190</v>
      </c>
      <c r="C24" s="17">
        <v>1606</v>
      </c>
      <c r="D24" s="16">
        <v>31165</v>
      </c>
      <c r="E24" s="18"/>
      <c r="F24" s="18" t="s">
        <v>71</v>
      </c>
      <c r="G24" s="18" t="s">
        <v>72</v>
      </c>
      <c r="H24" s="18" t="s">
        <v>73</v>
      </c>
      <c r="I24" s="18" t="s">
        <v>74</v>
      </c>
      <c r="J24" s="16">
        <v>2026</v>
      </c>
      <c r="K24" s="18" t="s">
        <v>75</v>
      </c>
      <c r="L24" s="16">
        <v>9785002233458</v>
      </c>
      <c r="M24" s="18" t="s">
        <v>76</v>
      </c>
      <c r="N24" s="16">
        <v>576</v>
      </c>
      <c r="O24" s="19">
        <v>0.8</v>
      </c>
      <c r="P24" s="16">
        <v>150</v>
      </c>
      <c r="Q24" s="16">
        <v>220</v>
      </c>
      <c r="R24" s="16">
        <v>8</v>
      </c>
      <c r="S24" s="18" t="s">
        <v>43</v>
      </c>
      <c r="T24" s="18"/>
      <c r="U24" s="17">
        <v>2000</v>
      </c>
      <c r="V24" s="18" t="s">
        <v>77</v>
      </c>
      <c r="W24" s="18" t="s">
        <v>45</v>
      </c>
      <c r="X24" s="16">
        <v>10</v>
      </c>
      <c r="Y24" s="43" t="str">
        <f>HYPERLINK("https://api-enni.alpina.ru/FilePrivilegesApproval/1236","https://api-enni.alpina.ru/FilePrivilegesApproval/1236")</f>
        <v>https://api-enni.alpina.ru/FilePrivilegesApproval/1236</v>
      </c>
      <c r="Z24" s="18" t="s">
        <v>78</v>
      </c>
      <c r="AS24" s="1">
        <f>IF($A24&lt;&gt;0,1,0)</f>
        <v>0</v>
      </c>
      <c r="AT24" s="1">
        <f>$A24*$B24</f>
        <v>0</v>
      </c>
      <c r="AU24" s="1">
        <f>$A24*$O24</f>
        <v>0</v>
      </c>
      <c r="AV24" s="1">
        <f>IF($R24=0,0,INT($A24/$R24))</f>
        <v>0</v>
      </c>
      <c r="AW24" s="1">
        <f>$A24-$AV24*$R24</f>
        <v>0</v>
      </c>
    </row>
    <row r="25" ht="24.95" customHeight="1" outlineLevel="1" s="1" customFormat="1">
      <c r="A25" s="15"/>
      <c r="B25" s="16">
        <v>890</v>
      </c>
      <c r="C25" s="17">
        <v>1246</v>
      </c>
      <c r="D25" s="16">
        <v>34835</v>
      </c>
      <c r="E25" s="18"/>
      <c r="F25" s="18" t="s">
        <v>79</v>
      </c>
      <c r="G25" s="18" t="s">
        <v>80</v>
      </c>
      <c r="H25" s="18" t="s">
        <v>49</v>
      </c>
      <c r="I25" s="18" t="s">
        <v>74</v>
      </c>
      <c r="J25" s="16">
        <v>2026</v>
      </c>
      <c r="K25" s="18" t="s">
        <v>81</v>
      </c>
      <c r="L25" s="16">
        <v>9785002830008</v>
      </c>
      <c r="M25" s="18" t="s">
        <v>82</v>
      </c>
      <c r="N25" s="16">
        <v>88</v>
      </c>
      <c r="O25" s="19">
        <v>0.52</v>
      </c>
      <c r="P25" s="16">
        <v>220</v>
      </c>
      <c r="Q25" s="16">
        <v>280</v>
      </c>
      <c r="R25" s="16">
        <v>10</v>
      </c>
      <c r="S25" s="18" t="s">
        <v>83</v>
      </c>
      <c r="T25" s="18"/>
      <c r="U25" s="17">
        <v>3000</v>
      </c>
      <c r="V25" s="18" t="s">
        <v>77</v>
      </c>
      <c r="W25" s="18" t="s">
        <v>55</v>
      </c>
      <c r="X25" s="16">
        <v>10</v>
      </c>
      <c r="Y25" s="43" t="str">
        <f>HYPERLINK("","")</f>
      </c>
      <c r="Z25" s="18" t="s">
        <v>46</v>
      </c>
      <c r="AS25" s="1">
        <f>IF($A25&lt;&gt;0,1,0)</f>
        <v>0</v>
      </c>
      <c r="AT25" s="1">
        <f>$A25*$B25</f>
        <v>0</v>
      </c>
      <c r="AU25" s="1">
        <f>$A25*$O25</f>
        <v>0</v>
      </c>
      <c r="AV25" s="1">
        <f>IF($R25=0,0,INT($A25/$R25))</f>
        <v>0</v>
      </c>
      <c r="AW25" s="1">
        <f>$A25-$AV25*$R25</f>
        <v>0</v>
      </c>
    </row>
    <row r="26" ht="24.95" customHeight="1" outlineLevel="1" s="1" customFormat="1">
      <c r="A26" s="15"/>
      <c r="B26" s="16">
        <v>690</v>
      </c>
      <c r="C26" s="17">
        <v>1035</v>
      </c>
      <c r="D26" s="16">
        <v>37689</v>
      </c>
      <c r="E26" s="18"/>
      <c r="F26" s="18" t="s">
        <v>84</v>
      </c>
      <c r="G26" s="18" t="s">
        <v>85</v>
      </c>
      <c r="H26" s="18" t="s">
        <v>86</v>
      </c>
      <c r="I26" s="18" t="s">
        <v>87</v>
      </c>
      <c r="J26" s="16">
        <v>2026</v>
      </c>
      <c r="K26" s="18" t="s">
        <v>88</v>
      </c>
      <c r="L26" s="16">
        <v>9785006306585</v>
      </c>
      <c r="M26" s="18" t="s">
        <v>89</v>
      </c>
      <c r="N26" s="16">
        <v>208</v>
      </c>
      <c r="O26" s="19">
        <v>0.31</v>
      </c>
      <c r="P26" s="16">
        <v>140</v>
      </c>
      <c r="Q26" s="16">
        <v>210</v>
      </c>
      <c r="R26" s="16">
        <v>10</v>
      </c>
      <c r="S26" s="18" t="s">
        <v>90</v>
      </c>
      <c r="T26" s="18"/>
      <c r="U26" s="17">
        <v>1000</v>
      </c>
      <c r="V26" s="18" t="s">
        <v>77</v>
      </c>
      <c r="W26" s="18" t="s">
        <v>91</v>
      </c>
      <c r="X26" s="16">
        <v>10</v>
      </c>
      <c r="Y26" s="43" t="str">
        <f>HYPERLINK("https://api-enni.alpina.ru/FilePrivilegesApproval/1204","https://api-enni.alpina.ru/FilePrivilegesApproval/1204")</f>
        <v>https://api-enni.alpina.ru/FilePrivilegesApproval/1204</v>
      </c>
      <c r="Z26" s="18" t="s">
        <v>92</v>
      </c>
      <c r="AS26" s="1">
        <f>IF($A26&lt;&gt;0,1,0)</f>
        <v>0</v>
      </c>
      <c r="AT26" s="1">
        <f>$A26*$B26</f>
        <v>0</v>
      </c>
      <c r="AU26" s="1">
        <f>$A26*$O26</f>
        <v>0</v>
      </c>
      <c r="AV26" s="1">
        <f>IF($R26=0,0,INT($A26/$R26))</f>
        <v>0</v>
      </c>
      <c r="AW26" s="1">
        <f>$A26-$AV26*$R26</f>
        <v>0</v>
      </c>
    </row>
    <row r="27" ht="21.95" customHeight="1" outlineLevel="1" s="1" customFormat="1">
      <c r="A27" s="15"/>
      <c r="B27" s="16">
        <v>840</v>
      </c>
      <c r="C27" s="17">
        <v>1218</v>
      </c>
      <c r="D27" s="16">
        <v>36379</v>
      </c>
      <c r="E27" s="18"/>
      <c r="F27" s="18" t="s">
        <v>93</v>
      </c>
      <c r="G27" s="18" t="s">
        <v>94</v>
      </c>
      <c r="H27" s="18" t="s">
        <v>95</v>
      </c>
      <c r="I27" s="18"/>
      <c r="J27" s="16">
        <v>2026</v>
      </c>
      <c r="K27" s="18" t="s">
        <v>96</v>
      </c>
      <c r="L27" s="16">
        <v>9785206006483</v>
      </c>
      <c r="M27" s="18" t="s">
        <v>97</v>
      </c>
      <c r="N27" s="16">
        <v>240</v>
      </c>
      <c r="O27" s="19">
        <v>0.4</v>
      </c>
      <c r="P27" s="16">
        <v>150</v>
      </c>
      <c r="Q27" s="16">
        <v>220</v>
      </c>
      <c r="R27" s="16">
        <v>10</v>
      </c>
      <c r="S27" s="18" t="s">
        <v>43</v>
      </c>
      <c r="T27" s="18"/>
      <c r="U27" s="17">
        <v>1000</v>
      </c>
      <c r="V27" s="18" t="s">
        <v>77</v>
      </c>
      <c r="W27" s="18" t="s">
        <v>69</v>
      </c>
      <c r="X27" s="16">
        <v>10</v>
      </c>
      <c r="Y27" s="43" t="str">
        <f>HYPERLINK("","")</f>
      </c>
      <c r="Z27" s="18" t="s">
        <v>98</v>
      </c>
      <c r="AS27" s="1">
        <f>IF($A27&lt;&gt;0,1,0)</f>
        <v>0</v>
      </c>
      <c r="AT27" s="1">
        <f>$A27*$B27</f>
        <v>0</v>
      </c>
      <c r="AU27" s="1">
        <f>$A27*$O27</f>
        <v>0</v>
      </c>
      <c r="AV27" s="1">
        <f>IF($R27=0,0,INT($A27/$R27))</f>
        <v>0</v>
      </c>
      <c r="AW27" s="1">
        <f>$A27-$AV27*$R27</f>
        <v>0</v>
      </c>
    </row>
    <row r="28" ht="24.95" customHeight="1" outlineLevel="1" s="1" customFormat="1">
      <c r="A28" s="15"/>
      <c r="B28" s="16">
        <v>890</v>
      </c>
      <c r="C28" s="17">
        <v>1246</v>
      </c>
      <c r="D28" s="16">
        <v>32486</v>
      </c>
      <c r="E28" s="18"/>
      <c r="F28" s="18" t="s">
        <v>99</v>
      </c>
      <c r="G28" s="18" t="s">
        <v>100</v>
      </c>
      <c r="H28" s="18" t="s">
        <v>73</v>
      </c>
      <c r="I28" s="18" t="s">
        <v>74</v>
      </c>
      <c r="J28" s="16">
        <v>2026</v>
      </c>
      <c r="K28" s="18" t="s">
        <v>101</v>
      </c>
      <c r="L28" s="16">
        <v>9785916716818</v>
      </c>
      <c r="M28" s="18" t="s">
        <v>102</v>
      </c>
      <c r="N28" s="16">
        <v>220</v>
      </c>
      <c r="O28" s="19">
        <v>0.28</v>
      </c>
      <c r="P28" s="16">
        <v>140</v>
      </c>
      <c r="Q28" s="16">
        <v>210</v>
      </c>
      <c r="R28" s="16">
        <v>18</v>
      </c>
      <c r="S28" s="18" t="s">
        <v>43</v>
      </c>
      <c r="T28" s="18"/>
      <c r="U28" s="17">
        <v>2000</v>
      </c>
      <c r="V28" s="18" t="s">
        <v>44</v>
      </c>
      <c r="W28" s="18" t="s">
        <v>69</v>
      </c>
      <c r="X28" s="16">
        <v>10</v>
      </c>
      <c r="Y28" s="43" t="str">
        <f>HYPERLINK("https://api-enni.alpina.ru/FilePrivilegesApproval/1145","https://api-enni.alpina.ru/FilePrivilegesApproval/1145")</f>
        <v>https://api-enni.alpina.ru/FilePrivilegesApproval/1145</v>
      </c>
      <c r="Z28" s="18" t="s">
        <v>103</v>
      </c>
      <c r="AS28" s="1">
        <f>IF($A28&lt;&gt;0,1,0)</f>
        <v>0</v>
      </c>
      <c r="AT28" s="1">
        <f>$A28*$B28</f>
        <v>0</v>
      </c>
      <c r="AU28" s="1">
        <f>$A28*$O28</f>
        <v>0</v>
      </c>
      <c r="AV28" s="1">
        <f>IF($R28=0,0,INT($A28/$R28))</f>
        <v>0</v>
      </c>
      <c r="AW28" s="1">
        <f>$A28-$AV28*$R28</f>
        <v>0</v>
      </c>
    </row>
    <row r="29" ht="24.95" customHeight="1" outlineLevel="1" s="1" customFormat="1">
      <c r="A29" s="15"/>
      <c r="B29" s="16">
        <v>590</v>
      </c>
      <c r="C29" s="16">
        <v>885</v>
      </c>
      <c r="D29" s="16">
        <v>37415</v>
      </c>
      <c r="E29" s="18"/>
      <c r="F29" s="18" t="s">
        <v>104</v>
      </c>
      <c r="G29" s="18" t="s">
        <v>105</v>
      </c>
      <c r="H29" s="18" t="s">
        <v>86</v>
      </c>
      <c r="I29" s="18"/>
      <c r="J29" s="16">
        <v>2026</v>
      </c>
      <c r="K29" s="18" t="s">
        <v>106</v>
      </c>
      <c r="L29" s="16">
        <v>9785006320116</v>
      </c>
      <c r="M29" s="18" t="s">
        <v>107</v>
      </c>
      <c r="N29" s="16">
        <v>240</v>
      </c>
      <c r="O29" s="19">
        <v>0.3</v>
      </c>
      <c r="P29" s="16">
        <v>140</v>
      </c>
      <c r="Q29" s="16">
        <v>210</v>
      </c>
      <c r="R29" s="16">
        <v>18</v>
      </c>
      <c r="S29" s="18" t="s">
        <v>43</v>
      </c>
      <c r="T29" s="18"/>
      <c r="U29" s="17">
        <v>3000</v>
      </c>
      <c r="V29" s="18" t="s">
        <v>44</v>
      </c>
      <c r="W29" s="18" t="s">
        <v>55</v>
      </c>
      <c r="X29" s="16">
        <v>10</v>
      </c>
      <c r="Y29" s="43" t="str">
        <f>HYPERLINK("https://api-enni.alpina.ru/FilePrivilegesApproval/1195","https://api-enni.alpina.ru/FilePrivilegesApproval/1195")</f>
        <v>https://api-enni.alpina.ru/FilePrivilegesApproval/1195</v>
      </c>
      <c r="Z29" s="18" t="s">
        <v>108</v>
      </c>
      <c r="AS29" s="1">
        <f>IF($A29&lt;&gt;0,1,0)</f>
        <v>0</v>
      </c>
      <c r="AT29" s="1">
        <f>$A29*$B29</f>
        <v>0</v>
      </c>
      <c r="AU29" s="1">
        <f>$A29*$O29</f>
        <v>0</v>
      </c>
      <c r="AV29" s="1">
        <f>IF($R29=0,0,INT($A29/$R29))</f>
        <v>0</v>
      </c>
      <c r="AW29" s="1">
        <f>$A29-$AV29*$R29</f>
        <v>0</v>
      </c>
    </row>
    <row r="30" ht="24.95" customHeight="1" outlineLevel="1" s="1" customFormat="1">
      <c r="A30" s="15"/>
      <c r="B30" s="16">
        <v>890</v>
      </c>
      <c r="C30" s="17">
        <v>1246</v>
      </c>
      <c r="D30" s="16">
        <v>22811</v>
      </c>
      <c r="E30" s="18"/>
      <c r="F30" s="18" t="s">
        <v>109</v>
      </c>
      <c r="G30" s="18" t="s">
        <v>110</v>
      </c>
      <c r="H30" s="18" t="s">
        <v>73</v>
      </c>
      <c r="I30" s="18" t="s">
        <v>74</v>
      </c>
      <c r="J30" s="16">
        <v>2026</v>
      </c>
      <c r="K30" s="18" t="s">
        <v>111</v>
      </c>
      <c r="L30" s="16">
        <v>9785002237487</v>
      </c>
      <c r="M30" s="18" t="s">
        <v>112</v>
      </c>
      <c r="N30" s="16">
        <v>288</v>
      </c>
      <c r="O30" s="19">
        <v>0.45</v>
      </c>
      <c r="P30" s="16">
        <v>150</v>
      </c>
      <c r="Q30" s="16">
        <v>220</v>
      </c>
      <c r="R30" s="16">
        <v>14</v>
      </c>
      <c r="S30" s="18" t="s">
        <v>43</v>
      </c>
      <c r="T30" s="18"/>
      <c r="U30" s="17">
        <v>4000</v>
      </c>
      <c r="V30" s="18" t="s">
        <v>77</v>
      </c>
      <c r="W30" s="18" t="s">
        <v>69</v>
      </c>
      <c r="X30" s="16">
        <v>10</v>
      </c>
      <c r="Y30" s="43" t="str">
        <f>HYPERLINK("https://api-enni.alpina.ru/FilePrivilegesApproval/1191","https://api-enni.alpina.ru/FilePrivilegesApproval/1191")</f>
        <v>https://api-enni.alpina.ru/FilePrivilegesApproval/1191</v>
      </c>
      <c r="Z30" s="18" t="s">
        <v>113</v>
      </c>
      <c r="AS30" s="1">
        <f>IF($A30&lt;&gt;0,1,0)</f>
        <v>0</v>
      </c>
      <c r="AT30" s="1">
        <f>$A30*$B30</f>
        <v>0</v>
      </c>
      <c r="AU30" s="1">
        <f>$A30*$O30</f>
        <v>0</v>
      </c>
      <c r="AV30" s="1">
        <f>IF($R30=0,0,INT($A30/$R30))</f>
        <v>0</v>
      </c>
      <c r="AW30" s="1">
        <f>$A30-$AV30*$R30</f>
        <v>0</v>
      </c>
    </row>
    <row r="31" ht="21.95" customHeight="1" outlineLevel="1" s="1" customFormat="1">
      <c r="A31" s="15"/>
      <c r="B31" s="16">
        <v>650</v>
      </c>
      <c r="C31" s="16">
        <v>975</v>
      </c>
      <c r="D31" s="16">
        <v>35174</v>
      </c>
      <c r="E31" s="18"/>
      <c r="F31" s="18" t="s">
        <v>114</v>
      </c>
      <c r="G31" s="18" t="s">
        <v>115</v>
      </c>
      <c r="H31" s="18" t="s">
        <v>49</v>
      </c>
      <c r="I31" s="18"/>
      <c r="J31" s="16">
        <v>2026</v>
      </c>
      <c r="K31" s="18" t="s">
        <v>116</v>
      </c>
      <c r="L31" s="16">
        <v>9785002830909</v>
      </c>
      <c r="M31" s="18" t="s">
        <v>117</v>
      </c>
      <c r="N31" s="16">
        <v>256</v>
      </c>
      <c r="O31" s="19">
        <v>0.34</v>
      </c>
      <c r="P31" s="16">
        <v>150</v>
      </c>
      <c r="Q31" s="16">
        <v>220</v>
      </c>
      <c r="R31" s="16">
        <v>8</v>
      </c>
      <c r="S31" s="18" t="s">
        <v>43</v>
      </c>
      <c r="T31" s="18" t="s">
        <v>118</v>
      </c>
      <c r="U31" s="17">
        <v>3500</v>
      </c>
      <c r="V31" s="18" t="s">
        <v>77</v>
      </c>
      <c r="W31" s="18" t="s">
        <v>91</v>
      </c>
      <c r="X31" s="16">
        <v>10</v>
      </c>
      <c r="Y31" s="43" t="str">
        <f>HYPERLINK("","")</f>
      </c>
      <c r="Z31" s="18" t="s">
        <v>119</v>
      </c>
      <c r="AS31" s="1">
        <f>IF($A31&lt;&gt;0,1,0)</f>
        <v>0</v>
      </c>
      <c r="AT31" s="1">
        <f>$A31*$B31</f>
        <v>0</v>
      </c>
      <c r="AU31" s="1">
        <f>$A31*$O31</f>
        <v>0</v>
      </c>
      <c r="AV31" s="1">
        <f>IF($R31=0,0,INT($A31/$R31))</f>
        <v>0</v>
      </c>
      <c r="AW31" s="1">
        <f>$A31-$AV31*$R31</f>
        <v>0</v>
      </c>
    </row>
    <row r="32" ht="21.95" customHeight="1" outlineLevel="1" s="1" customFormat="1">
      <c r="A32" s="15"/>
      <c r="B32" s="16">
        <v>550</v>
      </c>
      <c r="C32" s="16">
        <v>852</v>
      </c>
      <c r="D32" s="16">
        <v>37384</v>
      </c>
      <c r="E32" s="18"/>
      <c r="F32" s="18" t="s">
        <v>114</v>
      </c>
      <c r="G32" s="18" t="s">
        <v>120</v>
      </c>
      <c r="H32" s="18" t="s">
        <v>49</v>
      </c>
      <c r="I32" s="18"/>
      <c r="J32" s="16">
        <v>2026</v>
      </c>
      <c r="K32" s="18" t="s">
        <v>121</v>
      </c>
      <c r="L32" s="16">
        <v>9785002830947</v>
      </c>
      <c r="M32" s="18" t="s">
        <v>122</v>
      </c>
      <c r="N32" s="16">
        <v>256</v>
      </c>
      <c r="O32" s="19">
        <v>0.24</v>
      </c>
      <c r="P32" s="16">
        <v>140</v>
      </c>
      <c r="Q32" s="16">
        <v>210</v>
      </c>
      <c r="R32" s="16">
        <v>8</v>
      </c>
      <c r="S32" s="18" t="s">
        <v>123</v>
      </c>
      <c r="T32" s="18" t="s">
        <v>124</v>
      </c>
      <c r="U32" s="17">
        <v>1500</v>
      </c>
      <c r="V32" s="18" t="s">
        <v>44</v>
      </c>
      <c r="W32" s="18" t="s">
        <v>91</v>
      </c>
      <c r="X32" s="16">
        <v>10</v>
      </c>
      <c r="Y32" s="43" t="str">
        <f>HYPERLINK("","")</f>
      </c>
      <c r="Z32" s="18" t="s">
        <v>119</v>
      </c>
      <c r="AS32" s="1">
        <f>IF($A32&lt;&gt;0,1,0)</f>
        <v>0</v>
      </c>
      <c r="AT32" s="1">
        <f>$A32*$B32</f>
        <v>0</v>
      </c>
      <c r="AU32" s="1">
        <f>$A32*$O32</f>
        <v>0</v>
      </c>
      <c r="AV32" s="1">
        <f>IF($R32=0,0,INT($A32/$R32))</f>
        <v>0</v>
      </c>
      <c r="AW32" s="1">
        <f>$A32-$AV32*$R32</f>
        <v>0</v>
      </c>
    </row>
    <row r="33" ht="21.95" customHeight="1" outlineLevel="1" s="1" customFormat="1">
      <c r="A33" s="15"/>
      <c r="B33" s="16">
        <v>702</v>
      </c>
      <c r="C33" s="17">
        <v>1018</v>
      </c>
      <c r="D33" s="16">
        <v>35577</v>
      </c>
      <c r="E33" s="18"/>
      <c r="F33" s="18" t="s">
        <v>125</v>
      </c>
      <c r="G33" s="18" t="s">
        <v>126</v>
      </c>
      <c r="H33" s="18" t="s">
        <v>86</v>
      </c>
      <c r="I33" s="18"/>
      <c r="J33" s="16">
        <v>2026</v>
      </c>
      <c r="K33" s="18" t="s">
        <v>127</v>
      </c>
      <c r="L33" s="16">
        <v>9785006312524</v>
      </c>
      <c r="M33" s="18" t="s">
        <v>128</v>
      </c>
      <c r="N33" s="16">
        <v>160</v>
      </c>
      <c r="O33" s="19">
        <v>0.46</v>
      </c>
      <c r="P33" s="16">
        <v>170</v>
      </c>
      <c r="Q33" s="16">
        <v>240</v>
      </c>
      <c r="R33" s="16">
        <v>10</v>
      </c>
      <c r="S33" s="18" t="s">
        <v>123</v>
      </c>
      <c r="T33" s="18" t="s">
        <v>129</v>
      </c>
      <c r="U33" s="17">
        <v>3000</v>
      </c>
      <c r="V33" s="18" t="s">
        <v>54</v>
      </c>
      <c r="W33" s="18" t="s">
        <v>69</v>
      </c>
      <c r="X33" s="16">
        <v>22</v>
      </c>
      <c r="Y33" s="43" t="str">
        <f>HYPERLINK("","")</f>
      </c>
      <c r="Z33" s="18" t="s">
        <v>78</v>
      </c>
      <c r="AS33" s="1">
        <f>IF($A33&lt;&gt;0,1,0)</f>
        <v>0</v>
      </c>
      <c r="AT33" s="1">
        <f>$A33*$B33</f>
        <v>0</v>
      </c>
      <c r="AU33" s="1">
        <f>$A33*$O33</f>
        <v>0</v>
      </c>
      <c r="AV33" s="1">
        <f>IF($R33=0,0,INT($A33/$R33))</f>
        <v>0</v>
      </c>
      <c r="AW33" s="1">
        <f>$A33-$AV33*$R33</f>
        <v>0</v>
      </c>
    </row>
    <row r="34" ht="21.95" customHeight="1" outlineLevel="1" s="1" customFormat="1">
      <c r="A34" s="15"/>
      <c r="B34" s="16">
        <v>990</v>
      </c>
      <c r="C34" s="17">
        <v>1386</v>
      </c>
      <c r="D34" s="16">
        <v>34966</v>
      </c>
      <c r="E34" s="18"/>
      <c r="F34" s="18" t="s">
        <v>130</v>
      </c>
      <c r="G34" s="18" t="s">
        <v>131</v>
      </c>
      <c r="H34" s="18" t="s">
        <v>73</v>
      </c>
      <c r="I34" s="18"/>
      <c r="J34" s="16">
        <v>2026</v>
      </c>
      <c r="K34" s="18" t="s">
        <v>132</v>
      </c>
      <c r="L34" s="16">
        <v>9785002237210</v>
      </c>
      <c r="M34" s="18" t="s">
        <v>133</v>
      </c>
      <c r="N34" s="16">
        <v>632</v>
      </c>
      <c r="O34" s="19">
        <v>0.95</v>
      </c>
      <c r="P34" s="16">
        <v>170</v>
      </c>
      <c r="Q34" s="16">
        <v>240</v>
      </c>
      <c r="R34" s="16">
        <v>5</v>
      </c>
      <c r="S34" s="18" t="s">
        <v>123</v>
      </c>
      <c r="T34" s="18" t="s">
        <v>134</v>
      </c>
      <c r="U34" s="17">
        <v>2000</v>
      </c>
      <c r="V34" s="18" t="s">
        <v>77</v>
      </c>
      <c r="W34" s="18" t="s">
        <v>91</v>
      </c>
      <c r="X34" s="16">
        <v>10</v>
      </c>
      <c r="Y34" s="43" t="str">
        <f>HYPERLINK("","")</f>
      </c>
      <c r="Z34" s="18" t="s">
        <v>135</v>
      </c>
      <c r="AS34" s="1">
        <f>IF($A34&lt;&gt;0,1,0)</f>
        <v>0</v>
      </c>
      <c r="AT34" s="1">
        <f>$A34*$B34</f>
        <v>0</v>
      </c>
      <c r="AU34" s="1">
        <f>$A34*$O34</f>
        <v>0</v>
      </c>
      <c r="AV34" s="1">
        <f>IF($R34=0,0,INT($A34/$R34))</f>
        <v>0</v>
      </c>
      <c r="AW34" s="1">
        <f>$A34-$AV34*$R34</f>
        <v>0</v>
      </c>
    </row>
    <row r="35" ht="24.95" customHeight="1" outlineLevel="1" s="1" customFormat="1">
      <c r="A35" s="15"/>
      <c r="B35" s="16">
        <v>640</v>
      </c>
      <c r="C35" s="16">
        <v>960</v>
      </c>
      <c r="D35" s="16">
        <v>36119</v>
      </c>
      <c r="E35" s="18"/>
      <c r="F35" s="18" t="s">
        <v>136</v>
      </c>
      <c r="G35" s="18" t="s">
        <v>137</v>
      </c>
      <c r="H35" s="18" t="s">
        <v>86</v>
      </c>
      <c r="I35" s="18" t="s">
        <v>40</v>
      </c>
      <c r="J35" s="16">
        <v>2026</v>
      </c>
      <c r="K35" s="18" t="s">
        <v>138</v>
      </c>
      <c r="L35" s="16">
        <v>9785006310230</v>
      </c>
      <c r="M35" s="18" t="s">
        <v>139</v>
      </c>
      <c r="N35" s="16">
        <v>272</v>
      </c>
      <c r="O35" s="19">
        <v>0.34</v>
      </c>
      <c r="P35" s="16">
        <v>140</v>
      </c>
      <c r="Q35" s="16">
        <v>210</v>
      </c>
      <c r="R35" s="16">
        <v>16</v>
      </c>
      <c r="S35" s="18" t="s">
        <v>43</v>
      </c>
      <c r="T35" s="18"/>
      <c r="U35" s="17">
        <v>2000</v>
      </c>
      <c r="V35" s="18" t="s">
        <v>44</v>
      </c>
      <c r="W35" s="18" t="s">
        <v>69</v>
      </c>
      <c r="X35" s="16">
        <v>10</v>
      </c>
      <c r="Y35" s="43" t="str">
        <f>HYPERLINK("https://api-enni.alpina.ru/FilePrivilegesApproval/1163","https://api-enni.alpina.ru/FilePrivilegesApproval/1163")</f>
        <v>https://api-enni.alpina.ru/FilePrivilegesApproval/1163</v>
      </c>
      <c r="Z35" s="18" t="s">
        <v>108</v>
      </c>
      <c r="AS35" s="1">
        <f>IF($A35&lt;&gt;0,1,0)</f>
        <v>0</v>
      </c>
      <c r="AT35" s="1">
        <f>$A35*$B35</f>
        <v>0</v>
      </c>
      <c r="AU35" s="1">
        <f>$A35*$O35</f>
        <v>0</v>
      </c>
      <c r="AV35" s="1">
        <f>IF($R35=0,0,INT($A35/$R35))</f>
        <v>0</v>
      </c>
      <c r="AW35" s="1">
        <f>$A35-$AV35*$R35</f>
        <v>0</v>
      </c>
    </row>
    <row r="36" ht="24.95" customHeight="1" outlineLevel="1" s="1" customFormat="1">
      <c r="A36" s="15"/>
      <c r="B36" s="16">
        <v>790</v>
      </c>
      <c r="C36" s="17">
        <v>1146</v>
      </c>
      <c r="D36" s="16">
        <v>35289</v>
      </c>
      <c r="E36" s="18"/>
      <c r="F36" s="18" t="s">
        <v>140</v>
      </c>
      <c r="G36" s="18" t="s">
        <v>141</v>
      </c>
      <c r="H36" s="18" t="s">
        <v>86</v>
      </c>
      <c r="I36" s="18" t="s">
        <v>74</v>
      </c>
      <c r="J36" s="16">
        <v>2026</v>
      </c>
      <c r="K36" s="18" t="s">
        <v>142</v>
      </c>
      <c r="L36" s="16">
        <v>9785006310803</v>
      </c>
      <c r="M36" s="18" t="s">
        <v>143</v>
      </c>
      <c r="N36" s="16">
        <v>172</v>
      </c>
      <c r="O36" s="19">
        <v>0.29</v>
      </c>
      <c r="P36" s="16">
        <v>170</v>
      </c>
      <c r="Q36" s="16">
        <v>240</v>
      </c>
      <c r="R36" s="16">
        <v>12</v>
      </c>
      <c r="S36" s="18" t="s">
        <v>123</v>
      </c>
      <c r="T36" s="18"/>
      <c r="U36" s="17">
        <v>2000</v>
      </c>
      <c r="V36" s="18" t="s">
        <v>44</v>
      </c>
      <c r="W36" s="18" t="s">
        <v>91</v>
      </c>
      <c r="X36" s="16">
        <v>10</v>
      </c>
      <c r="Y36" s="43" t="str">
        <f>HYPERLINK("https://api-enni.alpina.ru/FilePrivilegesApproval/1163","https://api-enni.alpina.ru/FilePrivilegesApproval/1163")</f>
        <v>https://api-enni.alpina.ru/FilePrivilegesApproval/1163</v>
      </c>
      <c r="Z36" s="18" t="s">
        <v>144</v>
      </c>
      <c r="AS36" s="1">
        <f>IF($A36&lt;&gt;0,1,0)</f>
        <v>0</v>
      </c>
      <c r="AT36" s="1">
        <f>$A36*$B36</f>
        <v>0</v>
      </c>
      <c r="AU36" s="1">
        <f>$A36*$O36</f>
        <v>0</v>
      </c>
      <c r="AV36" s="1">
        <f>IF($R36=0,0,INT($A36/$R36))</f>
        <v>0</v>
      </c>
      <c r="AW36" s="1">
        <f>$A36-$AV36*$R36</f>
        <v>0</v>
      </c>
    </row>
    <row r="37" ht="21.95" customHeight="1" outlineLevel="1" s="1" customFormat="1">
      <c r="A37" s="15"/>
      <c r="B37" s="16">
        <v>990</v>
      </c>
      <c r="C37" s="17">
        <v>1386</v>
      </c>
      <c r="D37" s="16">
        <v>35250</v>
      </c>
      <c r="E37" s="18"/>
      <c r="F37" s="18" t="s">
        <v>145</v>
      </c>
      <c r="G37" s="18" t="s">
        <v>146</v>
      </c>
      <c r="H37" s="18" t="s">
        <v>49</v>
      </c>
      <c r="I37" s="18" t="s">
        <v>65</v>
      </c>
      <c r="J37" s="16">
        <v>2026</v>
      </c>
      <c r="K37" s="18" t="s">
        <v>147</v>
      </c>
      <c r="L37" s="16">
        <v>9785002830510</v>
      </c>
      <c r="M37" s="18" t="s">
        <v>148</v>
      </c>
      <c r="N37" s="16">
        <v>200</v>
      </c>
      <c r="O37" s="19">
        <v>0.7</v>
      </c>
      <c r="P37" s="16">
        <v>200</v>
      </c>
      <c r="Q37" s="16">
        <v>270</v>
      </c>
      <c r="R37" s="16">
        <v>8</v>
      </c>
      <c r="S37" s="18" t="s">
        <v>83</v>
      </c>
      <c r="T37" s="18"/>
      <c r="U37" s="17">
        <v>3000</v>
      </c>
      <c r="V37" s="18" t="s">
        <v>77</v>
      </c>
      <c r="W37" s="18" t="s">
        <v>91</v>
      </c>
      <c r="X37" s="16">
        <v>10</v>
      </c>
      <c r="Y37" s="43" t="str">
        <f>HYPERLINK("","")</f>
      </c>
      <c r="Z37" s="18" t="s">
        <v>149</v>
      </c>
      <c r="AS37" s="1">
        <f>IF($A37&lt;&gt;0,1,0)</f>
        <v>0</v>
      </c>
      <c r="AT37" s="1">
        <f>$A37*$B37</f>
        <v>0</v>
      </c>
      <c r="AU37" s="1">
        <f>$A37*$O37</f>
        <v>0</v>
      </c>
      <c r="AV37" s="1">
        <f>IF($R37=0,0,INT($A37/$R37))</f>
        <v>0</v>
      </c>
      <c r="AW37" s="1">
        <f>$A37-$AV37*$R37</f>
        <v>0</v>
      </c>
    </row>
    <row r="38" ht="21.95" customHeight="1" outlineLevel="1" s="1" customFormat="1">
      <c r="A38" s="15"/>
      <c r="B38" s="16">
        <v>850</v>
      </c>
      <c r="C38" s="17">
        <v>1232</v>
      </c>
      <c r="D38" s="16">
        <v>37705</v>
      </c>
      <c r="E38" s="18"/>
      <c r="F38" s="18" t="s">
        <v>150</v>
      </c>
      <c r="G38" s="18" t="s">
        <v>151</v>
      </c>
      <c r="H38" s="18" t="s">
        <v>64</v>
      </c>
      <c r="I38" s="18" t="s">
        <v>65</v>
      </c>
      <c r="J38" s="16">
        <v>2026</v>
      </c>
      <c r="K38" s="18" t="s">
        <v>152</v>
      </c>
      <c r="L38" s="16">
        <v>9785006306721</v>
      </c>
      <c r="M38" s="18" t="s">
        <v>153</v>
      </c>
      <c r="N38" s="16">
        <v>422</v>
      </c>
      <c r="O38" s="19">
        <v>0.46</v>
      </c>
      <c r="P38" s="16">
        <v>150</v>
      </c>
      <c r="Q38" s="16">
        <v>200</v>
      </c>
      <c r="R38" s="16">
        <v>10</v>
      </c>
      <c r="S38" s="18" t="s">
        <v>43</v>
      </c>
      <c r="T38" s="18"/>
      <c r="U38" s="17">
        <v>2000</v>
      </c>
      <c r="V38" s="18" t="s">
        <v>77</v>
      </c>
      <c r="W38" s="18" t="s">
        <v>69</v>
      </c>
      <c r="X38" s="16">
        <v>10</v>
      </c>
      <c r="Y38" s="43" t="str">
        <f>HYPERLINK("","")</f>
      </c>
      <c r="Z38" s="18" t="s">
        <v>135</v>
      </c>
      <c r="AS38" s="1">
        <f>IF($A38&lt;&gt;0,1,0)</f>
        <v>0</v>
      </c>
      <c r="AT38" s="1">
        <f>$A38*$B38</f>
        <v>0</v>
      </c>
      <c r="AU38" s="1">
        <f>$A38*$O38</f>
        <v>0</v>
      </c>
      <c r="AV38" s="1">
        <f>IF($R38=0,0,INT($A38/$R38))</f>
        <v>0</v>
      </c>
      <c r="AW38" s="1">
        <f>$A38-$AV38*$R38</f>
        <v>0</v>
      </c>
    </row>
    <row r="39" ht="24.95" customHeight="1" outlineLevel="1" s="1" customFormat="1">
      <c r="A39" s="15"/>
      <c r="B39" s="16">
        <v>650</v>
      </c>
      <c r="C39" s="16">
        <v>975</v>
      </c>
      <c r="D39" s="16">
        <v>36002</v>
      </c>
      <c r="E39" s="18"/>
      <c r="F39" s="18" t="s">
        <v>154</v>
      </c>
      <c r="G39" s="18" t="s">
        <v>155</v>
      </c>
      <c r="H39" s="18" t="s">
        <v>86</v>
      </c>
      <c r="I39" s="18" t="s">
        <v>74</v>
      </c>
      <c r="J39" s="16">
        <v>2026</v>
      </c>
      <c r="K39" s="18" t="s">
        <v>156</v>
      </c>
      <c r="L39" s="16">
        <v>9785006315815</v>
      </c>
      <c r="M39" s="18" t="s">
        <v>157</v>
      </c>
      <c r="N39" s="16">
        <v>288</v>
      </c>
      <c r="O39" s="19">
        <v>0.45</v>
      </c>
      <c r="P39" s="16">
        <v>150</v>
      </c>
      <c r="Q39" s="16">
        <v>220</v>
      </c>
      <c r="R39" s="16">
        <v>14</v>
      </c>
      <c r="S39" s="18" t="s">
        <v>43</v>
      </c>
      <c r="T39" s="18"/>
      <c r="U39" s="17">
        <v>2000</v>
      </c>
      <c r="V39" s="18" t="s">
        <v>77</v>
      </c>
      <c r="W39" s="18" t="s">
        <v>69</v>
      </c>
      <c r="X39" s="16">
        <v>10</v>
      </c>
      <c r="Y39" s="43" t="str">
        <f>HYPERLINK("https://api-enni.alpina.ru/FilePrivilegesApproval/1163","https://api-enni.alpina.ru/FilePrivilegesApproval/1163")</f>
        <v>https://api-enni.alpina.ru/FilePrivilegesApproval/1163</v>
      </c>
      <c r="Z39" s="18" t="s">
        <v>113</v>
      </c>
      <c r="AS39" s="1">
        <f>IF($A39&lt;&gt;0,1,0)</f>
        <v>0</v>
      </c>
      <c r="AT39" s="1">
        <f>$A39*$B39</f>
        <v>0</v>
      </c>
      <c r="AU39" s="1">
        <f>$A39*$O39</f>
        <v>0</v>
      </c>
      <c r="AV39" s="1">
        <f>IF($R39=0,0,INT($A39/$R39))</f>
        <v>0</v>
      </c>
      <c r="AW39" s="1">
        <f>$A39-$AV39*$R39</f>
        <v>0</v>
      </c>
    </row>
    <row r="40" ht="24.95" customHeight="1" outlineLevel="1" s="1" customFormat="1">
      <c r="A40" s="15"/>
      <c r="B40" s="16">
        <v>300</v>
      </c>
      <c r="C40" s="16">
        <v>480</v>
      </c>
      <c r="D40" s="16">
        <v>36359</v>
      </c>
      <c r="E40" s="18"/>
      <c r="F40" s="18" t="s">
        <v>158</v>
      </c>
      <c r="G40" s="18" t="s">
        <v>159</v>
      </c>
      <c r="H40" s="18" t="s">
        <v>49</v>
      </c>
      <c r="I40" s="18" t="s">
        <v>160</v>
      </c>
      <c r="J40" s="16">
        <v>2026</v>
      </c>
      <c r="K40" s="18" t="s">
        <v>161</v>
      </c>
      <c r="L40" s="16">
        <v>9785002830411</v>
      </c>
      <c r="M40" s="18" t="s">
        <v>162</v>
      </c>
      <c r="N40" s="16">
        <v>48</v>
      </c>
      <c r="O40" s="19">
        <v>0.2</v>
      </c>
      <c r="P40" s="16">
        <v>150</v>
      </c>
      <c r="Q40" s="16">
        <v>210</v>
      </c>
      <c r="R40" s="16">
        <v>16</v>
      </c>
      <c r="S40" s="18" t="s">
        <v>43</v>
      </c>
      <c r="T40" s="18" t="s">
        <v>163</v>
      </c>
      <c r="U40" s="17">
        <v>5000</v>
      </c>
      <c r="V40" s="18" t="s">
        <v>77</v>
      </c>
      <c r="W40" s="18" t="s">
        <v>55</v>
      </c>
      <c r="X40" s="16">
        <v>10</v>
      </c>
      <c r="Y40" s="43" t="str">
        <f>HYPERLINK("","")</f>
      </c>
      <c r="Z40" s="18" t="s">
        <v>70</v>
      </c>
      <c r="AS40" s="1">
        <f>IF($A40&lt;&gt;0,1,0)</f>
        <v>0</v>
      </c>
      <c r="AT40" s="1">
        <f>$A40*$B40</f>
        <v>0</v>
      </c>
      <c r="AU40" s="1">
        <f>$A40*$O40</f>
        <v>0</v>
      </c>
      <c r="AV40" s="1">
        <f>IF($R40=0,0,INT($A40/$R40))</f>
        <v>0</v>
      </c>
      <c r="AW40" s="1">
        <f>$A40-$AV40*$R40</f>
        <v>0</v>
      </c>
    </row>
    <row r="41" ht="24.95" customHeight="1" outlineLevel="1" s="1" customFormat="1">
      <c r="A41" s="15"/>
      <c r="B41" s="17">
        <v>1090</v>
      </c>
      <c r="C41" s="17">
        <v>1472</v>
      </c>
      <c r="D41" s="16">
        <v>36059</v>
      </c>
      <c r="E41" s="18"/>
      <c r="F41" s="18" t="s">
        <v>164</v>
      </c>
      <c r="G41" s="18" t="s">
        <v>165</v>
      </c>
      <c r="H41" s="18" t="s">
        <v>86</v>
      </c>
      <c r="I41" s="18" t="s">
        <v>74</v>
      </c>
      <c r="J41" s="16">
        <v>2026</v>
      </c>
      <c r="K41" s="18" t="s">
        <v>166</v>
      </c>
      <c r="L41" s="16">
        <v>9785006315969</v>
      </c>
      <c r="M41" s="18" t="s">
        <v>167</v>
      </c>
      <c r="N41" s="16">
        <v>248</v>
      </c>
      <c r="O41" s="19">
        <v>0.52</v>
      </c>
      <c r="P41" s="16">
        <v>170</v>
      </c>
      <c r="Q41" s="16">
        <v>240</v>
      </c>
      <c r="R41" s="16">
        <v>8</v>
      </c>
      <c r="S41" s="18" t="s">
        <v>123</v>
      </c>
      <c r="T41" s="18" t="s">
        <v>168</v>
      </c>
      <c r="U41" s="17">
        <v>2000</v>
      </c>
      <c r="V41" s="18" t="s">
        <v>77</v>
      </c>
      <c r="W41" s="18" t="s">
        <v>91</v>
      </c>
      <c r="X41" s="16">
        <v>10</v>
      </c>
      <c r="Y41" s="43" t="str">
        <f>HYPERLINK("","")</f>
      </c>
      <c r="Z41" s="18" t="s">
        <v>98</v>
      </c>
      <c r="AS41" s="1">
        <f>IF($A41&lt;&gt;0,1,0)</f>
        <v>0</v>
      </c>
      <c r="AT41" s="1">
        <f>$A41*$B41</f>
        <v>0</v>
      </c>
      <c r="AU41" s="1">
        <f>$A41*$O41</f>
        <v>0</v>
      </c>
      <c r="AV41" s="1">
        <f>IF($R41=0,0,INT($A41/$R41))</f>
        <v>0</v>
      </c>
      <c r="AW41" s="1">
        <f>$A41-$AV41*$R41</f>
        <v>0</v>
      </c>
    </row>
    <row r="42" ht="21.95" customHeight="1" outlineLevel="1" s="1" customFormat="1">
      <c r="A42" s="15"/>
      <c r="B42" s="16">
        <v>803</v>
      </c>
      <c r="C42" s="17">
        <v>1164</v>
      </c>
      <c r="D42" s="16">
        <v>31049</v>
      </c>
      <c r="E42" s="18"/>
      <c r="F42" s="18" t="s">
        <v>169</v>
      </c>
      <c r="G42" s="18" t="s">
        <v>170</v>
      </c>
      <c r="H42" s="18" t="s">
        <v>171</v>
      </c>
      <c r="I42" s="18"/>
      <c r="J42" s="16">
        <v>2026</v>
      </c>
      <c r="K42" s="18" t="s">
        <v>172</v>
      </c>
      <c r="L42" s="16">
        <v>9785002233236</v>
      </c>
      <c r="M42" s="18" t="s">
        <v>173</v>
      </c>
      <c r="N42" s="16">
        <v>400</v>
      </c>
      <c r="O42" s="19">
        <v>0.48</v>
      </c>
      <c r="P42" s="16">
        <v>150</v>
      </c>
      <c r="Q42" s="16">
        <v>220</v>
      </c>
      <c r="R42" s="16">
        <v>8</v>
      </c>
      <c r="S42" s="18" t="s">
        <v>43</v>
      </c>
      <c r="T42" s="18"/>
      <c r="U42" s="17">
        <v>2000</v>
      </c>
      <c r="V42" s="18" t="s">
        <v>77</v>
      </c>
      <c r="W42" s="18" t="s">
        <v>45</v>
      </c>
      <c r="X42" s="16">
        <v>22</v>
      </c>
      <c r="Y42" s="43" t="str">
        <f>HYPERLINK("","")</f>
      </c>
      <c r="Z42" s="18" t="s">
        <v>78</v>
      </c>
      <c r="AS42" s="1">
        <f>IF($A42&lt;&gt;0,1,0)</f>
        <v>0</v>
      </c>
      <c r="AT42" s="1">
        <f>$A42*$B42</f>
        <v>0</v>
      </c>
      <c r="AU42" s="1">
        <f>$A42*$O42</f>
        <v>0</v>
      </c>
      <c r="AV42" s="1">
        <f>IF($R42=0,0,INT($A42/$R42))</f>
        <v>0</v>
      </c>
      <c r="AW42" s="1">
        <f>$A42-$AV42*$R42</f>
        <v>0</v>
      </c>
    </row>
    <row r="43" ht="24.95" customHeight="1" outlineLevel="1" s="1" customFormat="1">
      <c r="A43" s="15"/>
      <c r="B43" s="16">
        <v>890</v>
      </c>
      <c r="C43" s="17">
        <v>1246</v>
      </c>
      <c r="D43" s="16">
        <v>37002</v>
      </c>
      <c r="E43" s="18"/>
      <c r="F43" s="18" t="s">
        <v>174</v>
      </c>
      <c r="G43" s="18" t="s">
        <v>175</v>
      </c>
      <c r="H43" s="18" t="s">
        <v>95</v>
      </c>
      <c r="I43" s="18"/>
      <c r="J43" s="16">
        <v>2026</v>
      </c>
      <c r="K43" s="18" t="s">
        <v>176</v>
      </c>
      <c r="L43" s="16">
        <v>9785002060160</v>
      </c>
      <c r="M43" s="18" t="s">
        <v>177</v>
      </c>
      <c r="N43" s="16">
        <v>352</v>
      </c>
      <c r="O43" s="19">
        <v>0.51</v>
      </c>
      <c r="P43" s="16">
        <v>150</v>
      </c>
      <c r="Q43" s="16">
        <v>220</v>
      </c>
      <c r="R43" s="16">
        <v>10</v>
      </c>
      <c r="S43" s="18" t="s">
        <v>43</v>
      </c>
      <c r="T43" s="18"/>
      <c r="U43" s="17">
        <v>1000</v>
      </c>
      <c r="V43" s="18" t="s">
        <v>77</v>
      </c>
      <c r="W43" s="18" t="s">
        <v>91</v>
      </c>
      <c r="X43" s="16">
        <v>10</v>
      </c>
      <c r="Y43" s="43" t="str">
        <f>HYPERLINK("https://api-enni.alpina.ru/FilePrivilegesApproval/1181","https://api-enni.alpina.ru/FilePrivilegesApproval/1181")</f>
        <v>https://api-enni.alpina.ru/FilePrivilegesApproval/1181</v>
      </c>
      <c r="Z43" s="18" t="s">
        <v>178</v>
      </c>
      <c r="AS43" s="1">
        <f>IF($A43&lt;&gt;0,1,0)</f>
        <v>0</v>
      </c>
      <c r="AT43" s="1">
        <f>$A43*$B43</f>
        <v>0</v>
      </c>
      <c r="AU43" s="1">
        <f>$A43*$O43</f>
        <v>0</v>
      </c>
      <c r="AV43" s="1">
        <f>IF($R43=0,0,INT($A43/$R43))</f>
        <v>0</v>
      </c>
      <c r="AW43" s="1">
        <f>$A43-$AV43*$R43</f>
        <v>0</v>
      </c>
    </row>
    <row r="44" ht="24.95" customHeight="1" outlineLevel="1" s="1" customFormat="1">
      <c r="A44" s="15"/>
      <c r="B44" s="16">
        <v>540</v>
      </c>
      <c r="C44" s="16">
        <v>837</v>
      </c>
      <c r="D44" s="16">
        <v>36614</v>
      </c>
      <c r="E44" s="18"/>
      <c r="F44" s="18" t="s">
        <v>179</v>
      </c>
      <c r="G44" s="18" t="s">
        <v>180</v>
      </c>
      <c r="H44" s="18" t="s">
        <v>49</v>
      </c>
      <c r="I44" s="18" t="s">
        <v>87</v>
      </c>
      <c r="J44" s="16">
        <v>2026</v>
      </c>
      <c r="K44" s="18" t="s">
        <v>181</v>
      </c>
      <c r="L44" s="16">
        <v>9785002830503</v>
      </c>
      <c r="M44" s="18" t="s">
        <v>182</v>
      </c>
      <c r="N44" s="16">
        <v>32</v>
      </c>
      <c r="O44" s="19">
        <v>0.2</v>
      </c>
      <c r="P44" s="16">
        <v>180</v>
      </c>
      <c r="Q44" s="16">
        <v>190</v>
      </c>
      <c r="R44" s="16">
        <v>20</v>
      </c>
      <c r="S44" s="18" t="s">
        <v>52</v>
      </c>
      <c r="T44" s="18" t="s">
        <v>183</v>
      </c>
      <c r="U44" s="17">
        <v>3000</v>
      </c>
      <c r="V44" s="18" t="s">
        <v>77</v>
      </c>
      <c r="W44" s="18" t="s">
        <v>184</v>
      </c>
      <c r="X44" s="16">
        <v>10</v>
      </c>
      <c r="Y44" s="43" t="str">
        <f>HYPERLINK("","")</f>
      </c>
      <c r="Z44" s="18" t="s">
        <v>185</v>
      </c>
      <c r="AS44" s="1">
        <f>IF($A44&lt;&gt;0,1,0)</f>
        <v>0</v>
      </c>
      <c r="AT44" s="1">
        <f>$A44*$B44</f>
        <v>0</v>
      </c>
      <c r="AU44" s="1">
        <f>$A44*$O44</f>
        <v>0</v>
      </c>
      <c r="AV44" s="1">
        <f>IF($R44=0,0,INT($A44/$R44))</f>
        <v>0</v>
      </c>
      <c r="AW44" s="1">
        <f>$A44-$AV44*$R44</f>
        <v>0</v>
      </c>
    </row>
    <row r="45" ht="24.95" customHeight="1" outlineLevel="1" s="1" customFormat="1">
      <c r="A45" s="15"/>
      <c r="B45" s="16">
        <v>740</v>
      </c>
      <c r="C45" s="17">
        <v>1073</v>
      </c>
      <c r="D45" s="16">
        <v>34019</v>
      </c>
      <c r="E45" s="18"/>
      <c r="F45" s="18" t="s">
        <v>186</v>
      </c>
      <c r="G45" s="18" t="s">
        <v>187</v>
      </c>
      <c r="H45" s="18" t="s">
        <v>73</v>
      </c>
      <c r="I45" s="18" t="s">
        <v>74</v>
      </c>
      <c r="J45" s="16">
        <v>2026</v>
      </c>
      <c r="K45" s="18" t="s">
        <v>188</v>
      </c>
      <c r="L45" s="16">
        <v>9785002236145</v>
      </c>
      <c r="M45" s="18" t="s">
        <v>189</v>
      </c>
      <c r="N45" s="16">
        <v>384</v>
      </c>
      <c r="O45" s="19">
        <v>0.3</v>
      </c>
      <c r="P45" s="16">
        <v>120</v>
      </c>
      <c r="Q45" s="16">
        <v>170</v>
      </c>
      <c r="R45" s="16">
        <v>12</v>
      </c>
      <c r="S45" s="18" t="s">
        <v>190</v>
      </c>
      <c r="T45" s="18"/>
      <c r="U45" s="17">
        <v>2000</v>
      </c>
      <c r="V45" s="18" t="s">
        <v>44</v>
      </c>
      <c r="W45" s="18" t="s">
        <v>69</v>
      </c>
      <c r="X45" s="16">
        <v>10</v>
      </c>
      <c r="Y45" s="43" t="str">
        <f>HYPERLINK("https://api-enni.alpina.ru/FilePrivilegesApproval/1191","https://api-enni.alpina.ru/FilePrivilegesApproval/1191")</f>
        <v>https://api-enni.alpina.ru/FilePrivilegesApproval/1191</v>
      </c>
      <c r="Z45" s="18" t="s">
        <v>135</v>
      </c>
      <c r="AS45" s="1">
        <f>IF($A45&lt;&gt;0,1,0)</f>
        <v>0</v>
      </c>
      <c r="AT45" s="1">
        <f>$A45*$B45</f>
        <v>0</v>
      </c>
      <c r="AU45" s="1">
        <f>$A45*$O45</f>
        <v>0</v>
      </c>
      <c r="AV45" s="1">
        <f>IF($R45=0,0,INT($A45/$R45))</f>
        <v>0</v>
      </c>
      <c r="AW45" s="1">
        <f>$A45-$AV45*$R45</f>
        <v>0</v>
      </c>
    </row>
    <row r="46" ht="24.95" customHeight="1" outlineLevel="1" s="1" customFormat="1">
      <c r="A46" s="15"/>
      <c r="B46" s="16">
        <v>690</v>
      </c>
      <c r="C46" s="17">
        <v>1035</v>
      </c>
      <c r="D46" s="16">
        <v>37001</v>
      </c>
      <c r="E46" s="18"/>
      <c r="F46" s="18" t="s">
        <v>191</v>
      </c>
      <c r="G46" s="18" t="s">
        <v>192</v>
      </c>
      <c r="H46" s="18" t="s">
        <v>171</v>
      </c>
      <c r="I46" s="18"/>
      <c r="J46" s="16">
        <v>2026</v>
      </c>
      <c r="K46" s="18" t="s">
        <v>193</v>
      </c>
      <c r="L46" s="16">
        <v>9785002239245</v>
      </c>
      <c r="M46" s="18" t="s">
        <v>194</v>
      </c>
      <c r="N46" s="16">
        <v>128</v>
      </c>
      <c r="O46" s="19">
        <v>0.22</v>
      </c>
      <c r="P46" s="16">
        <v>130</v>
      </c>
      <c r="Q46" s="16">
        <v>210</v>
      </c>
      <c r="R46" s="16">
        <v>24</v>
      </c>
      <c r="S46" s="18" t="s">
        <v>90</v>
      </c>
      <c r="T46" s="18"/>
      <c r="U46" s="17">
        <v>2000</v>
      </c>
      <c r="V46" s="18" t="s">
        <v>77</v>
      </c>
      <c r="W46" s="18" t="s">
        <v>45</v>
      </c>
      <c r="X46" s="16">
        <v>22</v>
      </c>
      <c r="Y46" s="43" t="str">
        <f>HYPERLINK("","")</f>
      </c>
      <c r="Z46" s="18" t="s">
        <v>103</v>
      </c>
      <c r="AS46" s="1">
        <f>IF($A46&lt;&gt;0,1,0)</f>
        <v>0</v>
      </c>
      <c r="AT46" s="1">
        <f>$A46*$B46</f>
        <v>0</v>
      </c>
      <c r="AU46" s="1">
        <f>$A46*$O46</f>
        <v>0</v>
      </c>
      <c r="AV46" s="1">
        <f>IF($R46=0,0,INT($A46/$R46))</f>
        <v>0</v>
      </c>
      <c r="AW46" s="1">
        <f>$A46-$AV46*$R46</f>
        <v>0</v>
      </c>
    </row>
    <row r="47" ht="21.95" customHeight="1" outlineLevel="1" s="1" customFormat="1">
      <c r="A47" s="15"/>
      <c r="B47" s="16">
        <v>490</v>
      </c>
      <c r="C47" s="16">
        <v>760</v>
      </c>
      <c r="D47" s="16">
        <v>37702</v>
      </c>
      <c r="E47" s="18"/>
      <c r="F47" s="18" t="s">
        <v>195</v>
      </c>
      <c r="G47" s="18" t="s">
        <v>196</v>
      </c>
      <c r="H47" s="18" t="s">
        <v>86</v>
      </c>
      <c r="I47" s="18" t="s">
        <v>74</v>
      </c>
      <c r="J47" s="16">
        <v>2026</v>
      </c>
      <c r="K47" s="18" t="s">
        <v>197</v>
      </c>
      <c r="L47" s="16">
        <v>9785006304406</v>
      </c>
      <c r="M47" s="18" t="s">
        <v>198</v>
      </c>
      <c r="N47" s="16">
        <v>108</v>
      </c>
      <c r="O47" s="19">
        <v>0.43</v>
      </c>
      <c r="P47" s="16">
        <v>220</v>
      </c>
      <c r="Q47" s="16">
        <v>280</v>
      </c>
      <c r="R47" s="16">
        <v>8</v>
      </c>
      <c r="S47" s="18" t="s">
        <v>83</v>
      </c>
      <c r="T47" s="18"/>
      <c r="U47" s="17">
        <v>4000</v>
      </c>
      <c r="V47" s="18" t="s">
        <v>44</v>
      </c>
      <c r="W47" s="18" t="s">
        <v>184</v>
      </c>
      <c r="X47" s="16">
        <v>22</v>
      </c>
      <c r="Y47" s="43" t="str">
        <f>HYPERLINK("","")</f>
      </c>
      <c r="Z47" s="18" t="s">
        <v>46</v>
      </c>
      <c r="AS47" s="1">
        <f>IF($A47&lt;&gt;0,1,0)</f>
        <v>0</v>
      </c>
      <c r="AT47" s="1">
        <f>$A47*$B47</f>
        <v>0</v>
      </c>
      <c r="AU47" s="1">
        <f>$A47*$O47</f>
        <v>0</v>
      </c>
      <c r="AV47" s="1">
        <f>IF($R47=0,0,INT($A47/$R47))</f>
        <v>0</v>
      </c>
      <c r="AW47" s="1">
        <f>$A47-$AV47*$R47</f>
        <v>0</v>
      </c>
    </row>
    <row r="48" ht="24.95" customHeight="1" outlineLevel="1" s="1" customFormat="1">
      <c r="A48" s="15"/>
      <c r="B48" s="16">
        <v>690</v>
      </c>
      <c r="C48" s="17">
        <v>1035</v>
      </c>
      <c r="D48" s="16">
        <v>37488</v>
      </c>
      <c r="E48" s="18"/>
      <c r="F48" s="18" t="s">
        <v>199</v>
      </c>
      <c r="G48" s="18" t="s">
        <v>200</v>
      </c>
      <c r="H48" s="18" t="s">
        <v>171</v>
      </c>
      <c r="I48" s="18" t="s">
        <v>87</v>
      </c>
      <c r="J48" s="16">
        <v>2026</v>
      </c>
      <c r="K48" s="18" t="s">
        <v>201</v>
      </c>
      <c r="L48" s="16">
        <v>9785002239825</v>
      </c>
      <c r="M48" s="18" t="s">
        <v>202</v>
      </c>
      <c r="N48" s="16">
        <v>496</v>
      </c>
      <c r="O48" s="19">
        <v>0.45</v>
      </c>
      <c r="P48" s="16">
        <v>140</v>
      </c>
      <c r="Q48" s="16">
        <v>210</v>
      </c>
      <c r="R48" s="16">
        <v>10</v>
      </c>
      <c r="S48" s="18" t="s">
        <v>43</v>
      </c>
      <c r="T48" s="18"/>
      <c r="U48" s="17">
        <v>2000</v>
      </c>
      <c r="V48" s="18" t="s">
        <v>44</v>
      </c>
      <c r="W48" s="18" t="s">
        <v>69</v>
      </c>
      <c r="X48" s="16">
        <v>10</v>
      </c>
      <c r="Y48" s="43" t="str">
        <f>HYPERLINK("https://api-enni.alpina.ru/FilePrivilegesApproval/1202","https://api-enni.alpina.ru/FilePrivilegesApproval/1202")</f>
        <v>https://api-enni.alpina.ru/FilePrivilegesApproval/1202</v>
      </c>
      <c r="Z48" s="18" t="s">
        <v>108</v>
      </c>
      <c r="AS48" s="1">
        <f>IF($A48&lt;&gt;0,1,0)</f>
        <v>0</v>
      </c>
      <c r="AT48" s="1">
        <f>$A48*$B48</f>
        <v>0</v>
      </c>
      <c r="AU48" s="1">
        <f>$A48*$O48</f>
        <v>0</v>
      </c>
      <c r="AV48" s="1">
        <f>IF($R48=0,0,INT($A48/$R48))</f>
        <v>0</v>
      </c>
      <c r="AW48" s="1">
        <f>$A48-$AV48*$R48</f>
        <v>0</v>
      </c>
    </row>
    <row r="49" ht="24.95" customHeight="1" outlineLevel="1" s="1" customFormat="1">
      <c r="A49" s="15"/>
      <c r="B49" s="16">
        <v>990</v>
      </c>
      <c r="C49" s="17">
        <v>1386</v>
      </c>
      <c r="D49" s="16">
        <v>36588</v>
      </c>
      <c r="E49" s="18"/>
      <c r="F49" s="18" t="s">
        <v>203</v>
      </c>
      <c r="G49" s="18" t="s">
        <v>204</v>
      </c>
      <c r="H49" s="18" t="s">
        <v>171</v>
      </c>
      <c r="I49" s="18"/>
      <c r="J49" s="16">
        <v>2026</v>
      </c>
      <c r="K49" s="18" t="s">
        <v>205</v>
      </c>
      <c r="L49" s="16">
        <v>9785002238811</v>
      </c>
      <c r="M49" s="18" t="s">
        <v>206</v>
      </c>
      <c r="N49" s="16">
        <v>546</v>
      </c>
      <c r="O49" s="19">
        <v>0.61</v>
      </c>
      <c r="P49" s="16">
        <v>150</v>
      </c>
      <c r="Q49" s="16">
        <v>220</v>
      </c>
      <c r="R49" s="16">
        <v>8</v>
      </c>
      <c r="S49" s="18" t="s">
        <v>43</v>
      </c>
      <c r="T49" s="18"/>
      <c r="U49" s="17">
        <v>2000</v>
      </c>
      <c r="V49" s="18" t="s">
        <v>77</v>
      </c>
      <c r="W49" s="18" t="s">
        <v>45</v>
      </c>
      <c r="X49" s="16">
        <v>10</v>
      </c>
      <c r="Y49" s="43" t="str">
        <f>HYPERLINK("https://api-enni.alpina.ru/FilePrivilegesApproval/1225","https://api-enni.alpina.ru/FilePrivilegesApproval/1225")</f>
        <v>https://api-enni.alpina.ru/FilePrivilegesApproval/1225</v>
      </c>
      <c r="Z49" s="18" t="s">
        <v>108</v>
      </c>
      <c r="AS49" s="1">
        <f>IF($A49&lt;&gt;0,1,0)</f>
        <v>0</v>
      </c>
      <c r="AT49" s="1">
        <f>$A49*$B49</f>
        <v>0</v>
      </c>
      <c r="AU49" s="1">
        <f>$A49*$O49</f>
        <v>0</v>
      </c>
      <c r="AV49" s="1">
        <f>IF($R49=0,0,INT($A49/$R49))</f>
        <v>0</v>
      </c>
      <c r="AW49" s="1">
        <f>$A49-$AV49*$R49</f>
        <v>0</v>
      </c>
    </row>
    <row r="50" ht="21.95" customHeight="1" outlineLevel="1" s="1" customFormat="1">
      <c r="A50" s="15"/>
      <c r="B50" s="16">
        <v>650</v>
      </c>
      <c r="C50" s="16">
        <v>975</v>
      </c>
      <c r="D50" s="16">
        <v>35172</v>
      </c>
      <c r="E50" s="18"/>
      <c r="F50" s="18" t="s">
        <v>207</v>
      </c>
      <c r="G50" s="18" t="s">
        <v>208</v>
      </c>
      <c r="H50" s="18" t="s">
        <v>49</v>
      </c>
      <c r="I50" s="18"/>
      <c r="J50" s="16">
        <v>2026</v>
      </c>
      <c r="K50" s="18" t="s">
        <v>209</v>
      </c>
      <c r="L50" s="16">
        <v>9785006304383</v>
      </c>
      <c r="M50" s="18" t="s">
        <v>210</v>
      </c>
      <c r="N50" s="16">
        <v>528</v>
      </c>
      <c r="O50" s="19">
        <v>0.59</v>
      </c>
      <c r="P50" s="16">
        <v>150</v>
      </c>
      <c r="Q50" s="16">
        <v>220</v>
      </c>
      <c r="R50" s="16">
        <v>4</v>
      </c>
      <c r="S50" s="18" t="s">
        <v>43</v>
      </c>
      <c r="T50" s="18" t="s">
        <v>118</v>
      </c>
      <c r="U50" s="17">
        <v>1500</v>
      </c>
      <c r="V50" s="18" t="s">
        <v>77</v>
      </c>
      <c r="W50" s="18" t="s">
        <v>69</v>
      </c>
      <c r="X50" s="16">
        <v>10</v>
      </c>
      <c r="Y50" s="43" t="str">
        <f>HYPERLINK("","")</f>
      </c>
      <c r="Z50" s="18" t="s">
        <v>211</v>
      </c>
      <c r="AS50" s="1">
        <f>IF($A50&lt;&gt;0,1,0)</f>
        <v>0</v>
      </c>
      <c r="AT50" s="1">
        <f>$A50*$B50</f>
        <v>0</v>
      </c>
      <c r="AU50" s="1">
        <f>$A50*$O50</f>
        <v>0</v>
      </c>
      <c r="AV50" s="1">
        <f>IF($R50=0,0,INT($A50/$R50))</f>
        <v>0</v>
      </c>
      <c r="AW50" s="1">
        <f>$A50-$AV50*$R50</f>
        <v>0</v>
      </c>
    </row>
    <row r="51" ht="21.95" customHeight="1" outlineLevel="1" s="1" customFormat="1">
      <c r="A51" s="15"/>
      <c r="B51" s="16">
        <v>550</v>
      </c>
      <c r="C51" s="16">
        <v>852</v>
      </c>
      <c r="D51" s="16">
        <v>37383</v>
      </c>
      <c r="E51" s="18"/>
      <c r="F51" s="18" t="s">
        <v>207</v>
      </c>
      <c r="G51" s="18" t="s">
        <v>212</v>
      </c>
      <c r="H51" s="18" t="s">
        <v>49</v>
      </c>
      <c r="I51" s="18"/>
      <c r="J51" s="16">
        <v>2026</v>
      </c>
      <c r="K51" s="18" t="s">
        <v>213</v>
      </c>
      <c r="L51" s="16">
        <v>9785006304390</v>
      </c>
      <c r="M51" s="18" t="s">
        <v>214</v>
      </c>
      <c r="N51" s="16">
        <v>528</v>
      </c>
      <c r="O51" s="19">
        <v>0.5</v>
      </c>
      <c r="P51" s="16">
        <v>140</v>
      </c>
      <c r="Q51" s="16">
        <v>210</v>
      </c>
      <c r="R51" s="16">
        <v>4</v>
      </c>
      <c r="S51" s="18" t="s">
        <v>52</v>
      </c>
      <c r="T51" s="18" t="s">
        <v>124</v>
      </c>
      <c r="U51" s="17">
        <v>1500</v>
      </c>
      <c r="V51" s="18" t="s">
        <v>44</v>
      </c>
      <c r="W51" s="18" t="s">
        <v>69</v>
      </c>
      <c r="X51" s="16">
        <v>10</v>
      </c>
      <c r="Y51" s="43" t="str">
        <f>HYPERLINK("","")</f>
      </c>
      <c r="Z51" s="18" t="s">
        <v>211</v>
      </c>
      <c r="AS51" s="1">
        <f>IF($A51&lt;&gt;0,1,0)</f>
        <v>0</v>
      </c>
      <c r="AT51" s="1">
        <f>$A51*$B51</f>
        <v>0</v>
      </c>
      <c r="AU51" s="1">
        <f>$A51*$O51</f>
        <v>0</v>
      </c>
      <c r="AV51" s="1">
        <f>IF($R51=0,0,INT($A51/$R51))</f>
        <v>0</v>
      </c>
      <c r="AW51" s="1">
        <f>$A51-$AV51*$R51</f>
        <v>0</v>
      </c>
    </row>
    <row r="52" ht="24.95" customHeight="1" outlineLevel="1" s="1" customFormat="1">
      <c r="A52" s="15"/>
      <c r="B52" s="16">
        <v>440</v>
      </c>
      <c r="C52" s="16">
        <v>682</v>
      </c>
      <c r="D52" s="16">
        <v>31372</v>
      </c>
      <c r="E52" s="18"/>
      <c r="F52" s="18" t="s">
        <v>215</v>
      </c>
      <c r="G52" s="18" t="s">
        <v>216</v>
      </c>
      <c r="H52" s="18" t="s">
        <v>49</v>
      </c>
      <c r="I52" s="18" t="s">
        <v>160</v>
      </c>
      <c r="J52" s="16">
        <v>2026</v>
      </c>
      <c r="K52" s="18" t="s">
        <v>217</v>
      </c>
      <c r="L52" s="16">
        <v>9785961498387</v>
      </c>
      <c r="M52" s="18" t="s">
        <v>218</v>
      </c>
      <c r="N52" s="16">
        <v>16</v>
      </c>
      <c r="O52" s="19">
        <v>0.11</v>
      </c>
      <c r="P52" s="16">
        <v>140</v>
      </c>
      <c r="Q52" s="16">
        <v>140</v>
      </c>
      <c r="R52" s="16">
        <v>126</v>
      </c>
      <c r="S52" s="18" t="s">
        <v>43</v>
      </c>
      <c r="T52" s="18" t="s">
        <v>219</v>
      </c>
      <c r="U52" s="17">
        <v>2000</v>
      </c>
      <c r="V52" s="18" t="s">
        <v>44</v>
      </c>
      <c r="W52" s="18" t="s">
        <v>184</v>
      </c>
      <c r="X52" s="16">
        <v>10</v>
      </c>
      <c r="Y52" s="18" t="s">
        <v>220</v>
      </c>
      <c r="Z52" s="18"/>
      <c r="AS52" s="1">
        <f>IF($A52&lt;&gt;0,1,0)</f>
        <v>0</v>
      </c>
      <c r="AT52" s="1">
        <f>$A52*$B52</f>
        <v>0</v>
      </c>
      <c r="AU52" s="1">
        <f>$A52*$O52</f>
        <v>0</v>
      </c>
      <c r="AV52" s="1">
        <f>IF($R52=0,0,INT($A52/$R52))</f>
        <v>0</v>
      </c>
      <c r="AW52" s="1">
        <f>$A52-$AV52*$R52</f>
        <v>0</v>
      </c>
    </row>
    <row r="53" ht="24.95" customHeight="1" outlineLevel="1" s="1" customFormat="1">
      <c r="A53" s="15"/>
      <c r="B53" s="16">
        <v>440</v>
      </c>
      <c r="C53" s="16">
        <v>682</v>
      </c>
      <c r="D53" s="16">
        <v>30863</v>
      </c>
      <c r="E53" s="18"/>
      <c r="F53" s="18" t="s">
        <v>215</v>
      </c>
      <c r="G53" s="18" t="s">
        <v>221</v>
      </c>
      <c r="H53" s="18" t="s">
        <v>49</v>
      </c>
      <c r="I53" s="18" t="s">
        <v>160</v>
      </c>
      <c r="J53" s="16">
        <v>2026</v>
      </c>
      <c r="K53" s="18" t="s">
        <v>222</v>
      </c>
      <c r="L53" s="16">
        <v>9785961496857</v>
      </c>
      <c r="M53" s="18" t="s">
        <v>223</v>
      </c>
      <c r="N53" s="16">
        <v>16</v>
      </c>
      <c r="O53" s="19">
        <v>0.11</v>
      </c>
      <c r="P53" s="16">
        <v>140</v>
      </c>
      <c r="Q53" s="16">
        <v>140</v>
      </c>
      <c r="R53" s="16">
        <v>126</v>
      </c>
      <c r="S53" s="18" t="s">
        <v>43</v>
      </c>
      <c r="T53" s="18" t="s">
        <v>219</v>
      </c>
      <c r="U53" s="17">
        <v>2000</v>
      </c>
      <c r="V53" s="18" t="s">
        <v>44</v>
      </c>
      <c r="W53" s="18" t="s">
        <v>184</v>
      </c>
      <c r="X53" s="16">
        <v>10</v>
      </c>
      <c r="Y53" s="18" t="s">
        <v>220</v>
      </c>
      <c r="Z53" s="18"/>
      <c r="AS53" s="1">
        <f>IF($A53&lt;&gt;0,1,0)</f>
        <v>0</v>
      </c>
      <c r="AT53" s="1">
        <f>$A53*$B53</f>
        <v>0</v>
      </c>
      <c r="AU53" s="1">
        <f>$A53*$O53</f>
        <v>0</v>
      </c>
      <c r="AV53" s="1">
        <f>IF($R53=0,0,INT($A53/$R53))</f>
        <v>0</v>
      </c>
      <c r="AW53" s="1">
        <f>$A53-$AV53*$R53</f>
        <v>0</v>
      </c>
    </row>
    <row r="54" ht="24.95" customHeight="1" outlineLevel="1" s="1" customFormat="1">
      <c r="A54" s="15"/>
      <c r="B54" s="16">
        <v>440</v>
      </c>
      <c r="C54" s="16">
        <v>682</v>
      </c>
      <c r="D54" s="16">
        <v>31373</v>
      </c>
      <c r="E54" s="18"/>
      <c r="F54" s="18" t="s">
        <v>215</v>
      </c>
      <c r="G54" s="18" t="s">
        <v>224</v>
      </c>
      <c r="H54" s="18" t="s">
        <v>49</v>
      </c>
      <c r="I54" s="18" t="s">
        <v>160</v>
      </c>
      <c r="J54" s="16">
        <v>2026</v>
      </c>
      <c r="K54" s="18" t="s">
        <v>225</v>
      </c>
      <c r="L54" s="16">
        <v>9785961498394</v>
      </c>
      <c r="M54" s="18" t="s">
        <v>226</v>
      </c>
      <c r="N54" s="16">
        <v>16</v>
      </c>
      <c r="O54" s="19">
        <v>0.11</v>
      </c>
      <c r="P54" s="16">
        <v>140</v>
      </c>
      <c r="Q54" s="16">
        <v>140</v>
      </c>
      <c r="R54" s="16">
        <v>126</v>
      </c>
      <c r="S54" s="18" t="s">
        <v>43</v>
      </c>
      <c r="T54" s="18" t="s">
        <v>219</v>
      </c>
      <c r="U54" s="17">
        <v>2000</v>
      </c>
      <c r="V54" s="18" t="s">
        <v>44</v>
      </c>
      <c r="W54" s="18" t="s">
        <v>184</v>
      </c>
      <c r="X54" s="16">
        <v>10</v>
      </c>
      <c r="Y54" s="18" t="s">
        <v>220</v>
      </c>
      <c r="Z54" s="18"/>
      <c r="AS54" s="1">
        <f>IF($A54&lt;&gt;0,1,0)</f>
        <v>0</v>
      </c>
      <c r="AT54" s="1">
        <f>$A54*$B54</f>
        <v>0</v>
      </c>
      <c r="AU54" s="1">
        <f>$A54*$O54</f>
        <v>0</v>
      </c>
      <c r="AV54" s="1">
        <f>IF($R54=0,0,INT($A54/$R54))</f>
        <v>0</v>
      </c>
      <c r="AW54" s="1">
        <f>$A54-$AV54*$R54</f>
        <v>0</v>
      </c>
    </row>
    <row r="55" ht="24.95" customHeight="1" outlineLevel="1" s="1" customFormat="1">
      <c r="A55" s="15"/>
      <c r="B55" s="16">
        <v>300</v>
      </c>
      <c r="C55" s="16">
        <v>480</v>
      </c>
      <c r="D55" s="16">
        <v>36358</v>
      </c>
      <c r="E55" s="18"/>
      <c r="F55" s="18" t="s">
        <v>158</v>
      </c>
      <c r="G55" s="18" t="s">
        <v>227</v>
      </c>
      <c r="H55" s="18" t="s">
        <v>49</v>
      </c>
      <c r="I55" s="18" t="s">
        <v>160</v>
      </c>
      <c r="J55" s="16">
        <v>2026</v>
      </c>
      <c r="K55" s="18" t="s">
        <v>228</v>
      </c>
      <c r="L55" s="16">
        <v>9785002830404</v>
      </c>
      <c r="M55" s="18" t="s">
        <v>229</v>
      </c>
      <c r="N55" s="16">
        <v>48</v>
      </c>
      <c r="O55" s="19">
        <v>0.2</v>
      </c>
      <c r="P55" s="16">
        <v>150</v>
      </c>
      <c r="Q55" s="16">
        <v>210</v>
      </c>
      <c r="R55" s="16">
        <v>16</v>
      </c>
      <c r="S55" s="18" t="s">
        <v>43</v>
      </c>
      <c r="T55" s="18" t="s">
        <v>163</v>
      </c>
      <c r="U55" s="17">
        <v>5000</v>
      </c>
      <c r="V55" s="18" t="s">
        <v>77</v>
      </c>
      <c r="W55" s="18" t="s">
        <v>55</v>
      </c>
      <c r="X55" s="16">
        <v>10</v>
      </c>
      <c r="Y55" s="43" t="str">
        <f>HYPERLINK("","")</f>
      </c>
      <c r="Z55" s="18" t="s">
        <v>46</v>
      </c>
      <c r="AS55" s="1">
        <f>IF($A55&lt;&gt;0,1,0)</f>
        <v>0</v>
      </c>
      <c r="AT55" s="1">
        <f>$A55*$B55</f>
        <v>0</v>
      </c>
      <c r="AU55" s="1">
        <f>$A55*$O55</f>
        <v>0</v>
      </c>
      <c r="AV55" s="1">
        <f>IF($R55=0,0,INT($A55/$R55))</f>
        <v>0</v>
      </c>
      <c r="AW55" s="1">
        <f>$A55-$AV55*$R55</f>
        <v>0</v>
      </c>
    </row>
    <row r="56" ht="21.95" customHeight="1" outlineLevel="1" s="1" customFormat="1">
      <c r="A56" s="15"/>
      <c r="B56" s="16">
        <v>790</v>
      </c>
      <c r="C56" s="17">
        <v>1146</v>
      </c>
      <c r="D56" s="16">
        <v>37210</v>
      </c>
      <c r="E56" s="18"/>
      <c r="F56" s="18" t="s">
        <v>230</v>
      </c>
      <c r="G56" s="18" t="s">
        <v>231</v>
      </c>
      <c r="H56" s="18" t="s">
        <v>86</v>
      </c>
      <c r="I56" s="18"/>
      <c r="J56" s="16">
        <v>2026</v>
      </c>
      <c r="K56" s="18" t="s">
        <v>232</v>
      </c>
      <c r="L56" s="16">
        <v>9785006319479</v>
      </c>
      <c r="M56" s="18" t="s">
        <v>233</v>
      </c>
      <c r="N56" s="16">
        <v>446</v>
      </c>
      <c r="O56" s="19">
        <v>0.63</v>
      </c>
      <c r="P56" s="16">
        <v>150</v>
      </c>
      <c r="Q56" s="16">
        <v>220</v>
      </c>
      <c r="R56" s="16">
        <v>10</v>
      </c>
      <c r="S56" s="18" t="s">
        <v>43</v>
      </c>
      <c r="T56" s="18"/>
      <c r="U56" s="17">
        <v>1500</v>
      </c>
      <c r="V56" s="18" t="s">
        <v>77</v>
      </c>
      <c r="W56" s="18" t="s">
        <v>91</v>
      </c>
      <c r="X56" s="16">
        <v>10</v>
      </c>
      <c r="Y56" s="43" t="str">
        <f>HYPERLINK("","")</f>
      </c>
      <c r="Z56" s="18" t="s">
        <v>135</v>
      </c>
      <c r="AS56" s="1">
        <f>IF($A56&lt;&gt;0,1,0)</f>
        <v>0</v>
      </c>
      <c r="AT56" s="1">
        <f>$A56*$B56</f>
        <v>0</v>
      </c>
      <c r="AU56" s="1">
        <f>$A56*$O56</f>
        <v>0</v>
      </c>
      <c r="AV56" s="1">
        <f>IF($R56=0,0,INT($A56/$R56))</f>
        <v>0</v>
      </c>
      <c r="AW56" s="1">
        <f>$A56-$AV56*$R56</f>
        <v>0</v>
      </c>
    </row>
    <row r="57" ht="24.95" customHeight="1" outlineLevel="1" s="1" customFormat="1">
      <c r="A57" s="15"/>
      <c r="B57" s="16">
        <v>690</v>
      </c>
      <c r="C57" s="17">
        <v>1035</v>
      </c>
      <c r="D57" s="16">
        <v>35403</v>
      </c>
      <c r="E57" s="18"/>
      <c r="F57" s="18" t="s">
        <v>234</v>
      </c>
      <c r="G57" s="18" t="s">
        <v>235</v>
      </c>
      <c r="H57" s="18" t="s">
        <v>86</v>
      </c>
      <c r="I57" s="18"/>
      <c r="J57" s="16">
        <v>2026</v>
      </c>
      <c r="K57" s="18" t="s">
        <v>236</v>
      </c>
      <c r="L57" s="16">
        <v>9785006311985</v>
      </c>
      <c r="M57" s="18" t="s">
        <v>237</v>
      </c>
      <c r="N57" s="16">
        <v>372</v>
      </c>
      <c r="O57" s="19">
        <v>0.46</v>
      </c>
      <c r="P57" s="16">
        <v>140</v>
      </c>
      <c r="Q57" s="16">
        <v>210</v>
      </c>
      <c r="R57" s="16">
        <v>12</v>
      </c>
      <c r="S57" s="18" t="s">
        <v>43</v>
      </c>
      <c r="T57" s="18"/>
      <c r="U57" s="17">
        <v>4000</v>
      </c>
      <c r="V57" s="18" t="s">
        <v>44</v>
      </c>
      <c r="W57" s="18" t="s">
        <v>91</v>
      </c>
      <c r="X57" s="16">
        <v>10</v>
      </c>
      <c r="Y57" s="43" t="str">
        <f>HYPERLINK("","")</f>
      </c>
      <c r="Z57" s="18" t="s">
        <v>98</v>
      </c>
      <c r="AS57" s="1">
        <f>IF($A57&lt;&gt;0,1,0)</f>
        <v>0</v>
      </c>
      <c r="AT57" s="1">
        <f>$A57*$B57</f>
        <v>0</v>
      </c>
      <c r="AU57" s="1">
        <f>$A57*$O57</f>
        <v>0</v>
      </c>
      <c r="AV57" s="1">
        <f>IF($R57=0,0,INT($A57/$R57))</f>
        <v>0</v>
      </c>
      <c r="AW57" s="1">
        <f>$A57-$AV57*$R57</f>
        <v>0</v>
      </c>
    </row>
    <row r="58" ht="24.95" customHeight="1" outlineLevel="1" s="1" customFormat="1">
      <c r="A58" s="15"/>
      <c r="B58" s="16">
        <v>590</v>
      </c>
      <c r="C58" s="16">
        <v>885</v>
      </c>
      <c r="D58" s="16">
        <v>35687</v>
      </c>
      <c r="E58" s="18"/>
      <c r="F58" s="18" t="s">
        <v>238</v>
      </c>
      <c r="G58" s="18" t="s">
        <v>239</v>
      </c>
      <c r="H58" s="18" t="s">
        <v>86</v>
      </c>
      <c r="I58" s="18"/>
      <c r="J58" s="16">
        <v>2026</v>
      </c>
      <c r="K58" s="18" t="s">
        <v>240</v>
      </c>
      <c r="L58" s="16">
        <v>9785006312708</v>
      </c>
      <c r="M58" s="18" t="s">
        <v>241</v>
      </c>
      <c r="N58" s="16">
        <v>175</v>
      </c>
      <c r="O58" s="19">
        <v>0.27</v>
      </c>
      <c r="P58" s="16">
        <v>150</v>
      </c>
      <c r="Q58" s="16">
        <v>220</v>
      </c>
      <c r="R58" s="16">
        <v>18</v>
      </c>
      <c r="S58" s="18" t="s">
        <v>43</v>
      </c>
      <c r="T58" s="18"/>
      <c r="U58" s="17">
        <v>2000</v>
      </c>
      <c r="V58" s="18" t="s">
        <v>77</v>
      </c>
      <c r="W58" s="18" t="s">
        <v>69</v>
      </c>
      <c r="X58" s="16">
        <v>10</v>
      </c>
      <c r="Y58" s="43" t="str">
        <f>HYPERLINK("https://api-enni.alpina.ru/FilePrivilegesApproval/1141","https://api-enni.alpina.ru/FilePrivilegesApproval/1141")</f>
        <v>https://api-enni.alpina.ru/FilePrivilegesApproval/1141</v>
      </c>
      <c r="Z58" s="18" t="s">
        <v>103</v>
      </c>
      <c r="AS58" s="1">
        <f>IF($A58&lt;&gt;0,1,0)</f>
        <v>0</v>
      </c>
      <c r="AT58" s="1">
        <f>$A58*$B58</f>
        <v>0</v>
      </c>
      <c r="AU58" s="1">
        <f>$A58*$O58</f>
        <v>0</v>
      </c>
      <c r="AV58" s="1">
        <f>IF($R58=0,0,INT($A58/$R58))</f>
        <v>0</v>
      </c>
      <c r="AW58" s="1">
        <f>$A58-$AV58*$R58</f>
        <v>0</v>
      </c>
    </row>
    <row r="59" ht="21.95" customHeight="1" outlineLevel="1" s="1" customFormat="1">
      <c r="A59" s="15"/>
      <c r="B59" s="16">
        <v>990</v>
      </c>
      <c r="C59" s="17">
        <v>1386</v>
      </c>
      <c r="D59" s="16">
        <v>31167</v>
      </c>
      <c r="E59" s="18"/>
      <c r="F59" s="18" t="s">
        <v>242</v>
      </c>
      <c r="G59" s="18" t="s">
        <v>243</v>
      </c>
      <c r="H59" s="18" t="s">
        <v>73</v>
      </c>
      <c r="I59" s="18" t="s">
        <v>74</v>
      </c>
      <c r="J59" s="16">
        <v>2026</v>
      </c>
      <c r="K59" s="18" t="s">
        <v>244</v>
      </c>
      <c r="L59" s="16">
        <v>9785002233472</v>
      </c>
      <c r="M59" s="18" t="s">
        <v>245</v>
      </c>
      <c r="N59" s="16">
        <v>600</v>
      </c>
      <c r="O59" s="19">
        <v>0.73</v>
      </c>
      <c r="P59" s="16">
        <v>150</v>
      </c>
      <c r="Q59" s="16">
        <v>220</v>
      </c>
      <c r="R59" s="16">
        <v>6</v>
      </c>
      <c r="S59" s="18" t="s">
        <v>43</v>
      </c>
      <c r="T59" s="18"/>
      <c r="U59" s="17">
        <v>2500</v>
      </c>
      <c r="V59" s="18" t="s">
        <v>77</v>
      </c>
      <c r="W59" s="18" t="s">
        <v>69</v>
      </c>
      <c r="X59" s="16">
        <v>10</v>
      </c>
      <c r="Y59" s="43" t="str">
        <f>HYPERLINK("","")</f>
      </c>
      <c r="Z59" s="18" t="s">
        <v>246</v>
      </c>
      <c r="AS59" s="1">
        <f>IF($A59&lt;&gt;0,1,0)</f>
        <v>0</v>
      </c>
      <c r="AT59" s="1">
        <f>$A59*$B59</f>
        <v>0</v>
      </c>
      <c r="AU59" s="1">
        <f>$A59*$O59</f>
        <v>0</v>
      </c>
      <c r="AV59" s="1">
        <f>IF($R59=0,0,INT($A59/$R59))</f>
        <v>0</v>
      </c>
      <c r="AW59" s="1">
        <f>$A59-$AV59*$R59</f>
        <v>0</v>
      </c>
    </row>
    <row r="60" ht="21.95" customHeight="1" outlineLevel="1" s="1" customFormat="1">
      <c r="A60" s="15"/>
      <c r="B60" s="16">
        <v>890</v>
      </c>
      <c r="C60" s="17">
        <v>1246</v>
      </c>
      <c r="D60" s="16">
        <v>34622</v>
      </c>
      <c r="E60" s="18"/>
      <c r="F60" s="18" t="s">
        <v>247</v>
      </c>
      <c r="G60" s="18" t="s">
        <v>248</v>
      </c>
      <c r="H60" s="18" t="s">
        <v>86</v>
      </c>
      <c r="I60" s="18" t="s">
        <v>160</v>
      </c>
      <c r="J60" s="16">
        <v>2026</v>
      </c>
      <c r="K60" s="18" t="s">
        <v>249</v>
      </c>
      <c r="L60" s="16">
        <v>9785006308336</v>
      </c>
      <c r="M60" s="18" t="s">
        <v>250</v>
      </c>
      <c r="N60" s="16">
        <v>212</v>
      </c>
      <c r="O60" s="19">
        <v>0.37</v>
      </c>
      <c r="P60" s="16">
        <v>150</v>
      </c>
      <c r="Q60" s="16">
        <v>220</v>
      </c>
      <c r="R60" s="16">
        <v>14</v>
      </c>
      <c r="S60" s="18" t="s">
        <v>43</v>
      </c>
      <c r="T60" s="18"/>
      <c r="U60" s="17">
        <v>3000</v>
      </c>
      <c r="V60" s="18" t="s">
        <v>77</v>
      </c>
      <c r="W60" s="18" t="s">
        <v>45</v>
      </c>
      <c r="X60" s="16">
        <v>10</v>
      </c>
      <c r="Y60" s="43" t="str">
        <f>HYPERLINK("","")</f>
      </c>
      <c r="Z60" s="18" t="s">
        <v>251</v>
      </c>
      <c r="AS60" s="1">
        <f>IF($A60&lt;&gt;0,1,0)</f>
        <v>0</v>
      </c>
      <c r="AT60" s="1">
        <f>$A60*$B60</f>
        <v>0</v>
      </c>
      <c r="AU60" s="1">
        <f>$A60*$O60</f>
        <v>0</v>
      </c>
      <c r="AV60" s="1">
        <f>IF($R60=0,0,INT($A60/$R60))</f>
        <v>0</v>
      </c>
      <c r="AW60" s="1">
        <f>$A60-$AV60*$R60</f>
        <v>0</v>
      </c>
    </row>
    <row r="61" ht="21.95" customHeight="1" outlineLevel="1" s="1" customFormat="1">
      <c r="A61" s="15"/>
      <c r="B61" s="16">
        <v>740</v>
      </c>
      <c r="C61" s="17">
        <v>1073</v>
      </c>
      <c r="D61" s="16">
        <v>35685</v>
      </c>
      <c r="E61" s="18"/>
      <c r="F61" s="18" t="s">
        <v>252</v>
      </c>
      <c r="G61" s="18" t="s">
        <v>253</v>
      </c>
      <c r="H61" s="18" t="s">
        <v>171</v>
      </c>
      <c r="I61" s="18"/>
      <c r="J61" s="16">
        <v>2026</v>
      </c>
      <c r="K61" s="18" t="s">
        <v>254</v>
      </c>
      <c r="L61" s="16">
        <v>9785002237883</v>
      </c>
      <c r="M61" s="18" t="s">
        <v>255</v>
      </c>
      <c r="N61" s="16">
        <v>480</v>
      </c>
      <c r="O61" s="19">
        <v>0.47</v>
      </c>
      <c r="P61" s="16">
        <v>140</v>
      </c>
      <c r="Q61" s="16">
        <v>210</v>
      </c>
      <c r="R61" s="16">
        <v>12</v>
      </c>
      <c r="S61" s="18" t="s">
        <v>90</v>
      </c>
      <c r="T61" s="18"/>
      <c r="U61" s="17">
        <v>2000</v>
      </c>
      <c r="V61" s="18" t="s">
        <v>77</v>
      </c>
      <c r="W61" s="18" t="s">
        <v>45</v>
      </c>
      <c r="X61" s="16">
        <v>22</v>
      </c>
      <c r="Y61" s="43" t="str">
        <f>HYPERLINK("","")</f>
      </c>
      <c r="Z61" s="18" t="s">
        <v>246</v>
      </c>
      <c r="AS61" s="1">
        <f>IF($A61&lt;&gt;0,1,0)</f>
        <v>0</v>
      </c>
      <c r="AT61" s="1">
        <f>$A61*$B61</f>
        <v>0</v>
      </c>
      <c r="AU61" s="1">
        <f>$A61*$O61</f>
        <v>0</v>
      </c>
      <c r="AV61" s="1">
        <f>IF($R61=0,0,INT($A61/$R61))</f>
        <v>0</v>
      </c>
      <c r="AW61" s="1">
        <f>$A61-$AV61*$R61</f>
        <v>0</v>
      </c>
    </row>
    <row r="62" ht="24.95" customHeight="1" outlineLevel="1" s="1" customFormat="1">
      <c r="A62" s="15"/>
      <c r="B62" s="16">
        <v>490</v>
      </c>
      <c r="C62" s="16">
        <v>760</v>
      </c>
      <c r="D62" s="16">
        <v>36923</v>
      </c>
      <c r="E62" s="18"/>
      <c r="F62" s="18" t="s">
        <v>256</v>
      </c>
      <c r="G62" s="18" t="s">
        <v>257</v>
      </c>
      <c r="H62" s="18" t="s">
        <v>86</v>
      </c>
      <c r="I62" s="18"/>
      <c r="J62" s="16">
        <v>2026</v>
      </c>
      <c r="K62" s="18" t="s">
        <v>258</v>
      </c>
      <c r="L62" s="16">
        <v>9785006318373</v>
      </c>
      <c r="M62" s="18" t="s">
        <v>259</v>
      </c>
      <c r="N62" s="16">
        <v>191</v>
      </c>
      <c r="O62" s="19">
        <v>0.21</v>
      </c>
      <c r="P62" s="16">
        <v>130</v>
      </c>
      <c r="Q62" s="16">
        <v>200</v>
      </c>
      <c r="R62" s="16">
        <v>22</v>
      </c>
      <c r="S62" s="18" t="s">
        <v>90</v>
      </c>
      <c r="T62" s="18" t="s">
        <v>260</v>
      </c>
      <c r="U62" s="17">
        <v>5000</v>
      </c>
      <c r="V62" s="18" t="s">
        <v>44</v>
      </c>
      <c r="W62" s="18" t="s">
        <v>91</v>
      </c>
      <c r="X62" s="16">
        <v>10</v>
      </c>
      <c r="Y62" s="43" t="str">
        <f>HYPERLINK("https://api-enni.alpina.ru/FilePrivilegesApproval/1163","https://api-enni.alpina.ru/FilePrivilegesApproval/1163")</f>
        <v>https://api-enni.alpina.ru/FilePrivilegesApproval/1163</v>
      </c>
      <c r="Z62" s="18" t="s">
        <v>78</v>
      </c>
      <c r="AS62" s="1">
        <f>IF($A62&lt;&gt;0,1,0)</f>
        <v>0</v>
      </c>
      <c r="AT62" s="1">
        <f>$A62*$B62</f>
        <v>0</v>
      </c>
      <c r="AU62" s="1">
        <f>$A62*$O62</f>
        <v>0</v>
      </c>
      <c r="AV62" s="1">
        <f>IF($R62=0,0,INT($A62/$R62))</f>
        <v>0</v>
      </c>
      <c r="AW62" s="1">
        <f>$A62-$AV62*$R62</f>
        <v>0</v>
      </c>
    </row>
    <row r="63" ht="24.95" customHeight="1" outlineLevel="1" s="1" customFormat="1">
      <c r="A63" s="15"/>
      <c r="B63" s="16">
        <v>490</v>
      </c>
      <c r="C63" s="16">
        <v>760</v>
      </c>
      <c r="D63" s="16">
        <v>36924</v>
      </c>
      <c r="E63" s="18"/>
      <c r="F63" s="18" t="s">
        <v>256</v>
      </c>
      <c r="G63" s="18" t="s">
        <v>261</v>
      </c>
      <c r="H63" s="18" t="s">
        <v>86</v>
      </c>
      <c r="I63" s="18"/>
      <c r="J63" s="16">
        <v>2026</v>
      </c>
      <c r="K63" s="18" t="s">
        <v>262</v>
      </c>
      <c r="L63" s="16">
        <v>9785006318380</v>
      </c>
      <c r="M63" s="18" t="s">
        <v>263</v>
      </c>
      <c r="N63" s="16">
        <v>221</v>
      </c>
      <c r="O63" s="19">
        <v>0.24</v>
      </c>
      <c r="P63" s="16">
        <v>130</v>
      </c>
      <c r="Q63" s="16">
        <v>200</v>
      </c>
      <c r="R63" s="16">
        <v>20</v>
      </c>
      <c r="S63" s="18" t="s">
        <v>90</v>
      </c>
      <c r="T63" s="18" t="s">
        <v>260</v>
      </c>
      <c r="U63" s="17">
        <v>5000</v>
      </c>
      <c r="V63" s="18" t="s">
        <v>44</v>
      </c>
      <c r="W63" s="18" t="s">
        <v>91</v>
      </c>
      <c r="X63" s="16">
        <v>10</v>
      </c>
      <c r="Y63" s="43" t="str">
        <f>HYPERLINK("https://api-enni.alpina.ru/FilePrivilegesApproval/1189","https://api-enni.alpina.ru/FilePrivilegesApproval/1189")</f>
        <v>https://api-enni.alpina.ru/FilePrivilegesApproval/1189</v>
      </c>
      <c r="Z63" s="18" t="s">
        <v>78</v>
      </c>
      <c r="AS63" s="1">
        <f>IF($A63&lt;&gt;0,1,0)</f>
        <v>0</v>
      </c>
      <c r="AT63" s="1">
        <f>$A63*$B63</f>
        <v>0</v>
      </c>
      <c r="AU63" s="1">
        <f>$A63*$O63</f>
        <v>0</v>
      </c>
      <c r="AV63" s="1">
        <f>IF($R63=0,0,INT($A63/$R63))</f>
        <v>0</v>
      </c>
      <c r="AW63" s="1">
        <f>$A63-$AV63*$R63</f>
        <v>0</v>
      </c>
    </row>
    <row r="64" ht="24.95" customHeight="1" outlineLevel="1" s="1" customFormat="1">
      <c r="A64" s="15"/>
      <c r="B64" s="16">
        <v>490</v>
      </c>
      <c r="C64" s="16">
        <v>760</v>
      </c>
      <c r="D64" s="16">
        <v>37279</v>
      </c>
      <c r="E64" s="18"/>
      <c r="F64" s="18" t="s">
        <v>256</v>
      </c>
      <c r="G64" s="18" t="s">
        <v>264</v>
      </c>
      <c r="H64" s="18" t="s">
        <v>86</v>
      </c>
      <c r="I64" s="18"/>
      <c r="J64" s="16">
        <v>2026</v>
      </c>
      <c r="K64" s="18" t="s">
        <v>265</v>
      </c>
      <c r="L64" s="16">
        <v>9785006319714</v>
      </c>
      <c r="M64" s="18" t="s">
        <v>266</v>
      </c>
      <c r="N64" s="16">
        <v>256</v>
      </c>
      <c r="O64" s="19">
        <v>0.27</v>
      </c>
      <c r="P64" s="16">
        <v>130</v>
      </c>
      <c r="Q64" s="16">
        <v>200</v>
      </c>
      <c r="R64" s="16">
        <v>18</v>
      </c>
      <c r="S64" s="18" t="s">
        <v>90</v>
      </c>
      <c r="T64" s="18" t="s">
        <v>260</v>
      </c>
      <c r="U64" s="17">
        <v>5000</v>
      </c>
      <c r="V64" s="18" t="s">
        <v>44</v>
      </c>
      <c r="W64" s="18" t="s">
        <v>91</v>
      </c>
      <c r="X64" s="16">
        <v>10</v>
      </c>
      <c r="Y64" s="43" t="str">
        <f>HYPERLINK("https://api-enni.alpina.ru/FilePrivilegesApproval/1189","https://api-enni.alpina.ru/FilePrivilegesApproval/1189")</f>
        <v>https://api-enni.alpina.ru/FilePrivilegesApproval/1189</v>
      </c>
      <c r="Z64" s="18" t="s">
        <v>267</v>
      </c>
      <c r="AS64" s="1">
        <f>IF($A64&lt;&gt;0,1,0)</f>
        <v>0</v>
      </c>
      <c r="AT64" s="1">
        <f>$A64*$B64</f>
        <v>0</v>
      </c>
      <c r="AU64" s="1">
        <f>$A64*$O64</f>
        <v>0</v>
      </c>
      <c r="AV64" s="1">
        <f>IF($R64=0,0,INT($A64/$R64))</f>
        <v>0</v>
      </c>
      <c r="AW64" s="1">
        <f>$A64-$AV64*$R64</f>
        <v>0</v>
      </c>
    </row>
    <row r="65" ht="24.95" customHeight="1" outlineLevel="1" s="1" customFormat="1">
      <c r="A65" s="15"/>
      <c r="B65" s="16">
        <v>440</v>
      </c>
      <c r="C65" s="16">
        <v>682</v>
      </c>
      <c r="D65" s="16">
        <v>36507</v>
      </c>
      <c r="E65" s="18"/>
      <c r="F65" s="18" t="s">
        <v>268</v>
      </c>
      <c r="G65" s="18" t="s">
        <v>269</v>
      </c>
      <c r="H65" s="18" t="s">
        <v>86</v>
      </c>
      <c r="I65" s="18"/>
      <c r="J65" s="16">
        <v>2026</v>
      </c>
      <c r="K65" s="18" t="s">
        <v>270</v>
      </c>
      <c r="L65" s="16">
        <v>9785006317352</v>
      </c>
      <c r="M65" s="18" t="s">
        <v>271</v>
      </c>
      <c r="N65" s="16">
        <v>96</v>
      </c>
      <c r="O65" s="19">
        <v>0.17</v>
      </c>
      <c r="P65" s="16">
        <v>120</v>
      </c>
      <c r="Q65" s="16">
        <v>170</v>
      </c>
      <c r="R65" s="16">
        <v>16</v>
      </c>
      <c r="S65" s="18" t="s">
        <v>190</v>
      </c>
      <c r="T65" s="18" t="s">
        <v>272</v>
      </c>
      <c r="U65" s="17">
        <v>4000</v>
      </c>
      <c r="V65" s="18" t="s">
        <v>77</v>
      </c>
      <c r="W65" s="18" t="s">
        <v>69</v>
      </c>
      <c r="X65" s="16">
        <v>10</v>
      </c>
      <c r="Y65" s="43" t="str">
        <f>HYPERLINK("https://api-enni.alpina.ru/FilePrivilegesApproval/1204","https://api-enni.alpina.ru/FilePrivilegesApproval/1204")</f>
        <v>https://api-enni.alpina.ru/FilePrivilegesApproval/1204</v>
      </c>
      <c r="Z65" s="18" t="s">
        <v>78</v>
      </c>
      <c r="AS65" s="1">
        <f>IF($A65&lt;&gt;0,1,0)</f>
        <v>0</v>
      </c>
      <c r="AT65" s="1">
        <f>$A65*$B65</f>
        <v>0</v>
      </c>
      <c r="AU65" s="1">
        <f>$A65*$O65</f>
        <v>0</v>
      </c>
      <c r="AV65" s="1">
        <f>IF($R65=0,0,INT($A65/$R65))</f>
        <v>0</v>
      </c>
      <c r="AW65" s="1">
        <f>$A65-$AV65*$R65</f>
        <v>0</v>
      </c>
    </row>
    <row r="66" ht="21.95" customHeight="1" outlineLevel="1" s="1" customFormat="1">
      <c r="A66" s="15"/>
      <c r="B66" s="17">
        <v>1190</v>
      </c>
      <c r="C66" s="17">
        <v>1606</v>
      </c>
      <c r="D66" s="16">
        <v>33951</v>
      </c>
      <c r="E66" s="18"/>
      <c r="F66" s="18" t="s">
        <v>273</v>
      </c>
      <c r="G66" s="18" t="s">
        <v>274</v>
      </c>
      <c r="H66" s="18" t="s">
        <v>73</v>
      </c>
      <c r="I66" s="18" t="s">
        <v>74</v>
      </c>
      <c r="J66" s="16">
        <v>2026</v>
      </c>
      <c r="K66" s="18" t="s">
        <v>275</v>
      </c>
      <c r="L66" s="16">
        <v>9785002236053</v>
      </c>
      <c r="M66" s="18" t="s">
        <v>276</v>
      </c>
      <c r="N66" s="16">
        <v>526</v>
      </c>
      <c r="O66" s="19">
        <v>0.67</v>
      </c>
      <c r="P66" s="16">
        <v>150</v>
      </c>
      <c r="Q66" s="16">
        <v>220</v>
      </c>
      <c r="R66" s="16">
        <v>8</v>
      </c>
      <c r="S66" s="18" t="s">
        <v>43</v>
      </c>
      <c r="T66" s="18"/>
      <c r="U66" s="17">
        <v>5000</v>
      </c>
      <c r="V66" s="18" t="s">
        <v>77</v>
      </c>
      <c r="W66" s="18" t="s">
        <v>91</v>
      </c>
      <c r="X66" s="16">
        <v>10</v>
      </c>
      <c r="Y66" s="43" t="str">
        <f>HYPERLINK("","")</f>
      </c>
      <c r="Z66" s="18" t="s">
        <v>246</v>
      </c>
      <c r="AS66" s="1">
        <f>IF($A66&lt;&gt;0,1,0)</f>
        <v>0</v>
      </c>
      <c r="AT66" s="1">
        <f>$A66*$B66</f>
        <v>0</v>
      </c>
      <c r="AU66" s="1">
        <f>$A66*$O66</f>
        <v>0</v>
      </c>
      <c r="AV66" s="1">
        <f>IF($R66=0,0,INT($A66/$R66))</f>
        <v>0</v>
      </c>
      <c r="AW66" s="1">
        <f>$A66-$AV66*$R66</f>
        <v>0</v>
      </c>
    </row>
    <row r="67" ht="24.95" customHeight="1" outlineLevel="1" s="1" customFormat="1">
      <c r="A67" s="15"/>
      <c r="B67" s="16">
        <v>300</v>
      </c>
      <c r="C67" s="16">
        <v>480</v>
      </c>
      <c r="D67" s="16">
        <v>36360</v>
      </c>
      <c r="E67" s="18"/>
      <c r="F67" s="18" t="s">
        <v>158</v>
      </c>
      <c r="G67" s="18" t="s">
        <v>277</v>
      </c>
      <c r="H67" s="18" t="s">
        <v>49</v>
      </c>
      <c r="I67" s="18" t="s">
        <v>160</v>
      </c>
      <c r="J67" s="16">
        <v>2026</v>
      </c>
      <c r="K67" s="18" t="s">
        <v>278</v>
      </c>
      <c r="L67" s="16">
        <v>9785002830428</v>
      </c>
      <c r="M67" s="18" t="s">
        <v>279</v>
      </c>
      <c r="N67" s="16">
        <v>48</v>
      </c>
      <c r="O67" s="19">
        <v>0.2</v>
      </c>
      <c r="P67" s="16">
        <v>150</v>
      </c>
      <c r="Q67" s="16">
        <v>210</v>
      </c>
      <c r="R67" s="16">
        <v>16</v>
      </c>
      <c r="S67" s="18" t="s">
        <v>43</v>
      </c>
      <c r="T67" s="18" t="s">
        <v>163</v>
      </c>
      <c r="U67" s="17">
        <v>5000</v>
      </c>
      <c r="V67" s="18" t="s">
        <v>77</v>
      </c>
      <c r="W67" s="18" t="s">
        <v>55</v>
      </c>
      <c r="X67" s="16">
        <v>10</v>
      </c>
      <c r="Y67" s="43" t="str">
        <f>HYPERLINK("","")</f>
      </c>
      <c r="Z67" s="18" t="s">
        <v>70</v>
      </c>
      <c r="AS67" s="1">
        <f>IF($A67&lt;&gt;0,1,0)</f>
        <v>0</v>
      </c>
      <c r="AT67" s="1">
        <f>$A67*$B67</f>
        <v>0</v>
      </c>
      <c r="AU67" s="1">
        <f>$A67*$O67</f>
        <v>0</v>
      </c>
      <c r="AV67" s="1">
        <f>IF($R67=0,0,INT($A67/$R67))</f>
        <v>0</v>
      </c>
      <c r="AW67" s="1">
        <f>$A67-$AV67*$R67</f>
        <v>0</v>
      </c>
    </row>
    <row r="68" ht="21.95" customHeight="1" outlineLevel="1" s="1" customFormat="1">
      <c r="A68" s="15"/>
      <c r="B68" s="16">
        <v>650</v>
      </c>
      <c r="C68" s="16">
        <v>975</v>
      </c>
      <c r="D68" s="16">
        <v>35175</v>
      </c>
      <c r="E68" s="18"/>
      <c r="F68" s="18" t="s">
        <v>280</v>
      </c>
      <c r="G68" s="18" t="s">
        <v>281</v>
      </c>
      <c r="H68" s="18" t="s">
        <v>49</v>
      </c>
      <c r="I68" s="18"/>
      <c r="J68" s="16">
        <v>2026</v>
      </c>
      <c r="K68" s="18" t="s">
        <v>282</v>
      </c>
      <c r="L68" s="16">
        <v>9785002830916</v>
      </c>
      <c r="M68" s="18" t="s">
        <v>283</v>
      </c>
      <c r="N68" s="16">
        <v>256</v>
      </c>
      <c r="O68" s="19">
        <v>0.34</v>
      </c>
      <c r="P68" s="16">
        <v>150</v>
      </c>
      <c r="Q68" s="16">
        <v>220</v>
      </c>
      <c r="R68" s="16">
        <v>8</v>
      </c>
      <c r="S68" s="18" t="s">
        <v>43</v>
      </c>
      <c r="T68" s="18" t="s">
        <v>118</v>
      </c>
      <c r="U68" s="17">
        <v>3500</v>
      </c>
      <c r="V68" s="18" t="s">
        <v>77</v>
      </c>
      <c r="W68" s="18" t="s">
        <v>91</v>
      </c>
      <c r="X68" s="16">
        <v>10</v>
      </c>
      <c r="Y68" s="43" t="str">
        <f>HYPERLINK("","")</f>
      </c>
      <c r="Z68" s="18" t="s">
        <v>119</v>
      </c>
      <c r="AS68" s="1">
        <f>IF($A68&lt;&gt;0,1,0)</f>
        <v>0</v>
      </c>
      <c r="AT68" s="1">
        <f>$A68*$B68</f>
        <v>0</v>
      </c>
      <c r="AU68" s="1">
        <f>$A68*$O68</f>
        <v>0</v>
      </c>
      <c r="AV68" s="1">
        <f>IF($R68=0,0,INT($A68/$R68))</f>
        <v>0</v>
      </c>
      <c r="AW68" s="1">
        <f>$A68-$AV68*$R68</f>
        <v>0</v>
      </c>
    </row>
    <row r="69" ht="21.95" customHeight="1" outlineLevel="1" s="1" customFormat="1">
      <c r="A69" s="15"/>
      <c r="B69" s="16">
        <v>550</v>
      </c>
      <c r="C69" s="16">
        <v>852</v>
      </c>
      <c r="D69" s="16">
        <v>37385</v>
      </c>
      <c r="E69" s="18"/>
      <c r="F69" s="18" t="s">
        <v>280</v>
      </c>
      <c r="G69" s="18" t="s">
        <v>284</v>
      </c>
      <c r="H69" s="18" t="s">
        <v>49</v>
      </c>
      <c r="I69" s="18"/>
      <c r="J69" s="16">
        <v>2026</v>
      </c>
      <c r="K69" s="18" t="s">
        <v>285</v>
      </c>
      <c r="L69" s="16">
        <v>9785002830954</v>
      </c>
      <c r="M69" s="18" t="s">
        <v>286</v>
      </c>
      <c r="N69" s="16">
        <v>256</v>
      </c>
      <c r="O69" s="19">
        <v>0.25</v>
      </c>
      <c r="P69" s="16">
        <v>140</v>
      </c>
      <c r="Q69" s="16">
        <v>210</v>
      </c>
      <c r="R69" s="16">
        <v>8</v>
      </c>
      <c r="S69" s="18" t="s">
        <v>52</v>
      </c>
      <c r="T69" s="18" t="s">
        <v>124</v>
      </c>
      <c r="U69" s="17">
        <v>1500</v>
      </c>
      <c r="V69" s="18" t="s">
        <v>44</v>
      </c>
      <c r="W69" s="18" t="s">
        <v>91</v>
      </c>
      <c r="X69" s="16">
        <v>10</v>
      </c>
      <c r="Y69" s="43" t="str">
        <f>HYPERLINK("","")</f>
      </c>
      <c r="Z69" s="18" t="s">
        <v>119</v>
      </c>
      <c r="AS69" s="1">
        <f>IF($A69&lt;&gt;0,1,0)</f>
        <v>0</v>
      </c>
      <c r="AT69" s="1">
        <f>$A69*$B69</f>
        <v>0</v>
      </c>
      <c r="AU69" s="1">
        <f>$A69*$O69</f>
        <v>0</v>
      </c>
      <c r="AV69" s="1">
        <f>IF($R69=0,0,INT($A69/$R69))</f>
        <v>0</v>
      </c>
      <c r="AW69" s="1">
        <f>$A69-$AV69*$R69</f>
        <v>0</v>
      </c>
    </row>
    <row r="70" ht="24.95" customHeight="1" outlineLevel="1" s="1" customFormat="1">
      <c r="A70" s="15"/>
      <c r="B70" s="16">
        <v>750</v>
      </c>
      <c r="C70" s="17">
        <v>1088</v>
      </c>
      <c r="D70" s="16">
        <v>33121</v>
      </c>
      <c r="E70" s="18"/>
      <c r="F70" s="18" t="s">
        <v>287</v>
      </c>
      <c r="G70" s="18" t="s">
        <v>288</v>
      </c>
      <c r="H70" s="18" t="s">
        <v>73</v>
      </c>
      <c r="I70" s="18" t="s">
        <v>74</v>
      </c>
      <c r="J70" s="16">
        <v>2026</v>
      </c>
      <c r="K70" s="18" t="s">
        <v>289</v>
      </c>
      <c r="L70" s="16">
        <v>9785002235407</v>
      </c>
      <c r="M70" s="18" t="s">
        <v>290</v>
      </c>
      <c r="N70" s="16">
        <v>192</v>
      </c>
      <c r="O70" s="19">
        <v>0.28</v>
      </c>
      <c r="P70" s="16">
        <v>150</v>
      </c>
      <c r="Q70" s="16">
        <v>220</v>
      </c>
      <c r="R70" s="16">
        <v>16</v>
      </c>
      <c r="S70" s="18" t="s">
        <v>43</v>
      </c>
      <c r="T70" s="18"/>
      <c r="U70" s="17">
        <v>2000</v>
      </c>
      <c r="V70" s="18" t="s">
        <v>77</v>
      </c>
      <c r="W70" s="18" t="s">
        <v>91</v>
      </c>
      <c r="X70" s="16">
        <v>10</v>
      </c>
      <c r="Y70" s="43" t="str">
        <f>HYPERLINK("https://api-enni.alpina.ru/FilePrivilegesApproval/1173","https://api-enni.alpina.ru/FilePrivilegesApproval/1173")</f>
        <v>https://api-enni.alpina.ru/FilePrivilegesApproval/1173</v>
      </c>
      <c r="Z70" s="18" t="s">
        <v>113</v>
      </c>
      <c r="AS70" s="1">
        <f>IF($A70&lt;&gt;0,1,0)</f>
        <v>0</v>
      </c>
      <c r="AT70" s="1">
        <f>$A70*$B70</f>
        <v>0</v>
      </c>
      <c r="AU70" s="1">
        <f>$A70*$O70</f>
        <v>0</v>
      </c>
      <c r="AV70" s="1">
        <f>IF($R70=0,0,INT($A70/$R70))</f>
        <v>0</v>
      </c>
      <c r="AW70" s="1">
        <f>$A70-$AV70*$R70</f>
        <v>0</v>
      </c>
    </row>
    <row r="71" ht="24.95" customHeight="1" outlineLevel="1" s="1" customFormat="1">
      <c r="A71" s="15"/>
      <c r="B71" s="16">
        <v>990</v>
      </c>
      <c r="C71" s="17">
        <v>1386</v>
      </c>
      <c r="D71" s="16">
        <v>37408</v>
      </c>
      <c r="E71" s="18"/>
      <c r="F71" s="18" t="s">
        <v>291</v>
      </c>
      <c r="G71" s="18" t="s">
        <v>292</v>
      </c>
      <c r="H71" s="18" t="s">
        <v>86</v>
      </c>
      <c r="I71" s="18"/>
      <c r="J71" s="16">
        <v>2026</v>
      </c>
      <c r="K71" s="18" t="s">
        <v>293</v>
      </c>
      <c r="L71" s="16">
        <v>9785006320048</v>
      </c>
      <c r="M71" s="18" t="s">
        <v>294</v>
      </c>
      <c r="N71" s="16">
        <v>400</v>
      </c>
      <c r="O71" s="19">
        <v>0.89</v>
      </c>
      <c r="P71" s="16">
        <v>150</v>
      </c>
      <c r="Q71" s="16">
        <v>210</v>
      </c>
      <c r="R71" s="16">
        <v>8</v>
      </c>
      <c r="S71" s="18" t="s">
        <v>43</v>
      </c>
      <c r="T71" s="18"/>
      <c r="U71" s="17">
        <v>3000</v>
      </c>
      <c r="V71" s="18" t="s">
        <v>77</v>
      </c>
      <c r="W71" s="18" t="s">
        <v>91</v>
      </c>
      <c r="X71" s="16">
        <v>10</v>
      </c>
      <c r="Y71" s="43" t="str">
        <f>HYPERLINK("https://api-enni.alpina.ru/FilePrivilegesApproval/1195","https://api-enni.alpina.ru/FilePrivilegesApproval/1195")</f>
        <v>https://api-enni.alpina.ru/FilePrivilegesApproval/1195</v>
      </c>
      <c r="Z71" s="18" t="s">
        <v>113</v>
      </c>
      <c r="AS71" s="1">
        <f>IF($A71&lt;&gt;0,1,0)</f>
        <v>0</v>
      </c>
      <c r="AT71" s="1">
        <f>$A71*$B71</f>
        <v>0</v>
      </c>
      <c r="AU71" s="1">
        <f>$A71*$O71</f>
        <v>0</v>
      </c>
      <c r="AV71" s="1">
        <f>IF($R71=0,0,INT($A71/$R71))</f>
        <v>0</v>
      </c>
      <c r="AW71" s="1">
        <f>$A71-$AV71*$R71</f>
        <v>0</v>
      </c>
    </row>
    <row r="72" ht="24.95" customHeight="1" outlineLevel="1" s="1" customFormat="1">
      <c r="A72" s="15"/>
      <c r="B72" s="16">
        <v>300</v>
      </c>
      <c r="C72" s="16">
        <v>480</v>
      </c>
      <c r="D72" s="16">
        <v>36357</v>
      </c>
      <c r="E72" s="18"/>
      <c r="F72" s="18" t="s">
        <v>158</v>
      </c>
      <c r="G72" s="18" t="s">
        <v>295</v>
      </c>
      <c r="H72" s="18" t="s">
        <v>49</v>
      </c>
      <c r="I72" s="18" t="s">
        <v>160</v>
      </c>
      <c r="J72" s="16">
        <v>2026</v>
      </c>
      <c r="K72" s="18" t="s">
        <v>296</v>
      </c>
      <c r="L72" s="16">
        <v>9785002830398</v>
      </c>
      <c r="M72" s="18" t="s">
        <v>297</v>
      </c>
      <c r="N72" s="16">
        <v>48</v>
      </c>
      <c r="O72" s="19">
        <v>0.2</v>
      </c>
      <c r="P72" s="16">
        <v>150</v>
      </c>
      <c r="Q72" s="16">
        <v>210</v>
      </c>
      <c r="R72" s="16">
        <v>16</v>
      </c>
      <c r="S72" s="18" t="s">
        <v>43</v>
      </c>
      <c r="T72" s="18" t="s">
        <v>163</v>
      </c>
      <c r="U72" s="17">
        <v>5000</v>
      </c>
      <c r="V72" s="18" t="s">
        <v>77</v>
      </c>
      <c r="W72" s="18" t="s">
        <v>55</v>
      </c>
      <c r="X72" s="16">
        <v>10</v>
      </c>
      <c r="Y72" s="43" t="str">
        <f>HYPERLINK("","")</f>
      </c>
      <c r="Z72" s="18" t="s">
        <v>70</v>
      </c>
      <c r="AS72" s="1">
        <f>IF($A72&lt;&gt;0,1,0)</f>
        <v>0</v>
      </c>
      <c r="AT72" s="1">
        <f>$A72*$B72</f>
        <v>0</v>
      </c>
      <c r="AU72" s="1">
        <f>$A72*$O72</f>
        <v>0</v>
      </c>
      <c r="AV72" s="1">
        <f>IF($R72=0,0,INT($A72/$R72))</f>
        <v>0</v>
      </c>
      <c r="AW72" s="1">
        <f>$A72-$AV72*$R72</f>
        <v>0</v>
      </c>
    </row>
    <row r="73" ht="24.95" customHeight="1" outlineLevel="1" s="1" customFormat="1">
      <c r="A73" s="15"/>
      <c r="B73" s="16">
        <v>990</v>
      </c>
      <c r="C73" s="17">
        <v>1386</v>
      </c>
      <c r="D73" s="16">
        <v>31598</v>
      </c>
      <c r="E73" s="18"/>
      <c r="F73" s="18" t="s">
        <v>298</v>
      </c>
      <c r="G73" s="18" t="s">
        <v>299</v>
      </c>
      <c r="H73" s="18" t="s">
        <v>86</v>
      </c>
      <c r="I73" s="18" t="s">
        <v>74</v>
      </c>
      <c r="J73" s="16">
        <v>2026</v>
      </c>
      <c r="K73" s="18" t="s">
        <v>300</v>
      </c>
      <c r="L73" s="16">
        <v>9785961499483</v>
      </c>
      <c r="M73" s="18" t="s">
        <v>301</v>
      </c>
      <c r="N73" s="16">
        <v>650</v>
      </c>
      <c r="O73" s="19">
        <v>0.88</v>
      </c>
      <c r="P73" s="16">
        <v>150</v>
      </c>
      <c r="Q73" s="16">
        <v>220</v>
      </c>
      <c r="R73" s="16">
        <v>6</v>
      </c>
      <c r="S73" s="18" t="s">
        <v>43</v>
      </c>
      <c r="T73" s="18"/>
      <c r="U73" s="17">
        <v>2000</v>
      </c>
      <c r="V73" s="18" t="s">
        <v>77</v>
      </c>
      <c r="W73" s="18" t="s">
        <v>69</v>
      </c>
      <c r="X73" s="16">
        <v>10</v>
      </c>
      <c r="Y73" s="43" t="str">
        <f>HYPERLINK("https://api-enni.alpina.ru/FilePrivilegesApproval/1097","https://api-enni.alpina.ru/FilePrivilegesApproval/1097")</f>
        <v>https://api-enni.alpina.ru/FilePrivilegesApproval/1097</v>
      </c>
      <c r="Z73" s="18"/>
      <c r="AS73" s="1">
        <f>IF($A73&lt;&gt;0,1,0)</f>
        <v>0</v>
      </c>
      <c r="AT73" s="1">
        <f>$A73*$B73</f>
        <v>0</v>
      </c>
      <c r="AU73" s="1">
        <f>$A73*$O73</f>
        <v>0</v>
      </c>
      <c r="AV73" s="1">
        <f>IF($R73=0,0,INT($A73/$R73))</f>
        <v>0</v>
      </c>
      <c r="AW73" s="1">
        <f>$A73-$AV73*$R73</f>
        <v>0</v>
      </c>
    </row>
    <row r="74" ht="21.95" customHeight="1" outlineLevel="1" s="1" customFormat="1">
      <c r="A74" s="15"/>
      <c r="B74" s="16">
        <v>790</v>
      </c>
      <c r="C74" s="17">
        <v>1146</v>
      </c>
      <c r="D74" s="16">
        <v>36436</v>
      </c>
      <c r="E74" s="18"/>
      <c r="F74" s="18" t="s">
        <v>302</v>
      </c>
      <c r="G74" s="18" t="s">
        <v>303</v>
      </c>
      <c r="H74" s="18" t="s">
        <v>171</v>
      </c>
      <c r="I74" s="18"/>
      <c r="J74" s="16">
        <v>2026</v>
      </c>
      <c r="K74" s="18" t="s">
        <v>304</v>
      </c>
      <c r="L74" s="16">
        <v>9785002238668</v>
      </c>
      <c r="M74" s="18" t="s">
        <v>305</v>
      </c>
      <c r="N74" s="16">
        <v>352</v>
      </c>
      <c r="O74" s="19">
        <v>0.36</v>
      </c>
      <c r="P74" s="16">
        <v>130</v>
      </c>
      <c r="Q74" s="16">
        <v>210</v>
      </c>
      <c r="R74" s="16">
        <v>10</v>
      </c>
      <c r="S74" s="18" t="s">
        <v>90</v>
      </c>
      <c r="T74" s="18"/>
      <c r="U74" s="17">
        <v>1500</v>
      </c>
      <c r="V74" s="18" t="s">
        <v>77</v>
      </c>
      <c r="W74" s="18" t="s">
        <v>45</v>
      </c>
      <c r="X74" s="16">
        <v>22</v>
      </c>
      <c r="Y74" s="43" t="str">
        <f>HYPERLINK("","")</f>
      </c>
      <c r="Z74" s="18" t="s">
        <v>178</v>
      </c>
      <c r="AS74" s="1">
        <f>IF($A74&lt;&gt;0,1,0)</f>
        <v>0</v>
      </c>
      <c r="AT74" s="1">
        <f>$A74*$B74</f>
        <v>0</v>
      </c>
      <c r="AU74" s="1">
        <f>$A74*$O74</f>
        <v>0</v>
      </c>
      <c r="AV74" s="1">
        <f>IF($R74=0,0,INT($A74/$R74))</f>
        <v>0</v>
      </c>
      <c r="AW74" s="1">
        <f>$A74-$AV74*$R74</f>
        <v>0</v>
      </c>
    </row>
    <row r="75" ht="21.95" customHeight="1" outlineLevel="1" s="1" customFormat="1">
      <c r="A75" s="15"/>
      <c r="B75" s="16">
        <v>850</v>
      </c>
      <c r="C75" s="17">
        <v>1232</v>
      </c>
      <c r="D75" s="16">
        <v>37706</v>
      </c>
      <c r="E75" s="18"/>
      <c r="F75" s="18" t="s">
        <v>150</v>
      </c>
      <c r="G75" s="18" t="s">
        <v>306</v>
      </c>
      <c r="H75" s="18" t="s">
        <v>64</v>
      </c>
      <c r="I75" s="18" t="s">
        <v>65</v>
      </c>
      <c r="J75" s="16">
        <v>2026</v>
      </c>
      <c r="K75" s="18" t="s">
        <v>307</v>
      </c>
      <c r="L75" s="16">
        <v>9785006306776</v>
      </c>
      <c r="M75" s="18" t="s">
        <v>308</v>
      </c>
      <c r="N75" s="16">
        <v>592</v>
      </c>
      <c r="O75" s="19">
        <v>0.59</v>
      </c>
      <c r="P75" s="16">
        <v>150</v>
      </c>
      <c r="Q75" s="16">
        <v>200</v>
      </c>
      <c r="R75" s="16">
        <v>8</v>
      </c>
      <c r="S75" s="18" t="s">
        <v>43</v>
      </c>
      <c r="T75" s="18"/>
      <c r="U75" s="17">
        <v>2000</v>
      </c>
      <c r="V75" s="18" t="s">
        <v>77</v>
      </c>
      <c r="W75" s="18" t="s">
        <v>91</v>
      </c>
      <c r="X75" s="16">
        <v>10</v>
      </c>
      <c r="Y75" s="43" t="str">
        <f>HYPERLINK("","")</f>
      </c>
      <c r="Z75" s="18" t="s">
        <v>98</v>
      </c>
      <c r="AS75" s="1">
        <f>IF($A75&lt;&gt;0,1,0)</f>
        <v>0</v>
      </c>
      <c r="AT75" s="1">
        <f>$A75*$B75</f>
        <v>0</v>
      </c>
      <c r="AU75" s="1">
        <f>$A75*$O75</f>
        <v>0</v>
      </c>
      <c r="AV75" s="1">
        <f>IF($R75=0,0,INT($A75/$R75))</f>
        <v>0</v>
      </c>
      <c r="AW75" s="1">
        <f>$A75-$AV75*$R75</f>
        <v>0</v>
      </c>
    </row>
    <row r="76" ht="21.95" customHeight="1" outlineLevel="1" s="1" customFormat="1">
      <c r="A76" s="15"/>
      <c r="B76" s="16">
        <v>650</v>
      </c>
      <c r="C76" s="16">
        <v>975</v>
      </c>
      <c r="D76" s="16">
        <v>35170</v>
      </c>
      <c r="E76" s="18"/>
      <c r="F76" s="18" t="s">
        <v>309</v>
      </c>
      <c r="G76" s="18" t="s">
        <v>310</v>
      </c>
      <c r="H76" s="18" t="s">
        <v>49</v>
      </c>
      <c r="I76" s="18"/>
      <c r="J76" s="16">
        <v>2026</v>
      </c>
      <c r="K76" s="18" t="s">
        <v>311</v>
      </c>
      <c r="L76" s="16">
        <v>9785002830886</v>
      </c>
      <c r="M76" s="18" t="s">
        <v>312</v>
      </c>
      <c r="N76" s="16">
        <v>704</v>
      </c>
      <c r="O76" s="19">
        <v>0.75</v>
      </c>
      <c r="P76" s="16">
        <v>150</v>
      </c>
      <c r="Q76" s="16">
        <v>220</v>
      </c>
      <c r="R76" s="16">
        <v>3</v>
      </c>
      <c r="S76" s="18" t="s">
        <v>43</v>
      </c>
      <c r="T76" s="18" t="s">
        <v>118</v>
      </c>
      <c r="U76" s="17">
        <v>3500</v>
      </c>
      <c r="V76" s="18" t="s">
        <v>77</v>
      </c>
      <c r="W76" s="18" t="s">
        <v>69</v>
      </c>
      <c r="X76" s="16">
        <v>10</v>
      </c>
      <c r="Y76" s="43" t="str">
        <f>HYPERLINK("","")</f>
      </c>
      <c r="Z76" s="18" t="s">
        <v>119</v>
      </c>
      <c r="AS76" s="1">
        <f>IF($A76&lt;&gt;0,1,0)</f>
        <v>0</v>
      </c>
      <c r="AT76" s="1">
        <f>$A76*$B76</f>
        <v>0</v>
      </c>
      <c r="AU76" s="1">
        <f>$A76*$O76</f>
        <v>0</v>
      </c>
      <c r="AV76" s="1">
        <f>IF($R76=0,0,INT($A76/$R76))</f>
        <v>0</v>
      </c>
      <c r="AW76" s="1">
        <f>$A76-$AV76*$R76</f>
        <v>0</v>
      </c>
    </row>
    <row r="77" ht="21.95" customHeight="1" outlineLevel="1" s="1" customFormat="1">
      <c r="A77" s="15"/>
      <c r="B77" s="16">
        <v>550</v>
      </c>
      <c r="C77" s="16">
        <v>852</v>
      </c>
      <c r="D77" s="16">
        <v>37382</v>
      </c>
      <c r="E77" s="18"/>
      <c r="F77" s="18" t="s">
        <v>309</v>
      </c>
      <c r="G77" s="18" t="s">
        <v>313</v>
      </c>
      <c r="H77" s="18" t="s">
        <v>49</v>
      </c>
      <c r="I77" s="18"/>
      <c r="J77" s="16">
        <v>2026</v>
      </c>
      <c r="K77" s="18" t="s">
        <v>314</v>
      </c>
      <c r="L77" s="16">
        <v>9785002830923</v>
      </c>
      <c r="M77" s="18" t="s">
        <v>315</v>
      </c>
      <c r="N77" s="16">
        <v>704</v>
      </c>
      <c r="O77" s="19">
        <v>0.66</v>
      </c>
      <c r="P77" s="16">
        <v>140</v>
      </c>
      <c r="Q77" s="16">
        <v>210</v>
      </c>
      <c r="R77" s="16">
        <v>3</v>
      </c>
      <c r="S77" s="18" t="s">
        <v>52</v>
      </c>
      <c r="T77" s="18" t="s">
        <v>124</v>
      </c>
      <c r="U77" s="17">
        <v>1500</v>
      </c>
      <c r="V77" s="18" t="s">
        <v>44</v>
      </c>
      <c r="W77" s="18" t="s">
        <v>69</v>
      </c>
      <c r="X77" s="16">
        <v>10</v>
      </c>
      <c r="Y77" s="43" t="str">
        <f>HYPERLINK("","")</f>
      </c>
      <c r="Z77" s="18" t="s">
        <v>119</v>
      </c>
      <c r="AS77" s="1">
        <f>IF($A77&lt;&gt;0,1,0)</f>
        <v>0</v>
      </c>
      <c r="AT77" s="1">
        <f>$A77*$B77</f>
        <v>0</v>
      </c>
      <c r="AU77" s="1">
        <f>$A77*$O77</f>
        <v>0</v>
      </c>
      <c r="AV77" s="1">
        <f>IF($R77=0,0,INT($A77/$R77))</f>
        <v>0</v>
      </c>
      <c r="AW77" s="1">
        <f>$A77-$AV77*$R77</f>
        <v>0</v>
      </c>
    </row>
    <row r="78" ht="24.95" customHeight="1" outlineLevel="1" s="1" customFormat="1">
      <c r="A78" s="15"/>
      <c r="B78" s="16">
        <v>890</v>
      </c>
      <c r="C78" s="17">
        <v>1246</v>
      </c>
      <c r="D78" s="16">
        <v>37004</v>
      </c>
      <c r="E78" s="18"/>
      <c r="F78" s="18" t="s">
        <v>316</v>
      </c>
      <c r="G78" s="18" t="s">
        <v>317</v>
      </c>
      <c r="H78" s="18" t="s">
        <v>95</v>
      </c>
      <c r="I78" s="18"/>
      <c r="J78" s="16">
        <v>2026</v>
      </c>
      <c r="K78" s="18" t="s">
        <v>318</v>
      </c>
      <c r="L78" s="16">
        <v>9785002060184</v>
      </c>
      <c r="M78" s="18" t="s">
        <v>319</v>
      </c>
      <c r="N78" s="16">
        <v>176</v>
      </c>
      <c r="O78" s="19">
        <v>0.32</v>
      </c>
      <c r="P78" s="16">
        <v>150</v>
      </c>
      <c r="Q78" s="16">
        <v>220</v>
      </c>
      <c r="R78" s="16">
        <v>10</v>
      </c>
      <c r="S78" s="18" t="s">
        <v>43</v>
      </c>
      <c r="T78" s="18"/>
      <c r="U78" s="17">
        <v>1005</v>
      </c>
      <c r="V78" s="18" t="s">
        <v>77</v>
      </c>
      <c r="W78" s="18" t="s">
        <v>69</v>
      </c>
      <c r="X78" s="16">
        <v>10</v>
      </c>
      <c r="Y78" s="43" t="str">
        <f>HYPERLINK("https://api-enni.alpina.ru/FilePrivilegesApproval/1181","https://api-enni.alpina.ru/FilePrivilegesApproval/1181")</f>
        <v>https://api-enni.alpina.ru/FilePrivilegesApproval/1181</v>
      </c>
      <c r="Z78" s="18"/>
      <c r="AS78" s="1">
        <f>IF($A78&lt;&gt;0,1,0)</f>
        <v>0</v>
      </c>
      <c r="AT78" s="1">
        <f>$A78*$B78</f>
        <v>0</v>
      </c>
      <c r="AU78" s="1">
        <f>$A78*$O78</f>
        <v>0</v>
      </c>
      <c r="AV78" s="1">
        <f>IF($R78=0,0,INT($A78/$R78))</f>
        <v>0</v>
      </c>
      <c r="AW78" s="1">
        <f>$A78-$AV78*$R78</f>
        <v>0</v>
      </c>
    </row>
    <row r="79" ht="21.95" customHeight="1" outlineLevel="1" s="1" customFormat="1">
      <c r="A79" s="15"/>
      <c r="B79" s="17">
        <v>1090</v>
      </c>
      <c r="C79" s="17">
        <v>1472</v>
      </c>
      <c r="D79" s="16">
        <v>35896</v>
      </c>
      <c r="E79" s="18"/>
      <c r="F79" s="18" t="s">
        <v>320</v>
      </c>
      <c r="G79" s="18" t="s">
        <v>321</v>
      </c>
      <c r="H79" s="18" t="s">
        <v>86</v>
      </c>
      <c r="I79" s="18" t="s">
        <v>74</v>
      </c>
      <c r="J79" s="16">
        <v>2026</v>
      </c>
      <c r="K79" s="18" t="s">
        <v>322</v>
      </c>
      <c r="L79" s="16">
        <v>9785006315617</v>
      </c>
      <c r="M79" s="18" t="s">
        <v>323</v>
      </c>
      <c r="N79" s="16">
        <v>196</v>
      </c>
      <c r="O79" s="19">
        <v>0.44</v>
      </c>
      <c r="P79" s="16">
        <v>170</v>
      </c>
      <c r="Q79" s="16">
        <v>240</v>
      </c>
      <c r="R79" s="16">
        <v>10</v>
      </c>
      <c r="S79" s="18" t="s">
        <v>123</v>
      </c>
      <c r="T79" s="18" t="s">
        <v>168</v>
      </c>
      <c r="U79" s="17">
        <v>2000</v>
      </c>
      <c r="V79" s="18" t="s">
        <v>77</v>
      </c>
      <c r="W79" s="18" t="s">
        <v>91</v>
      </c>
      <c r="X79" s="16">
        <v>10</v>
      </c>
      <c r="Y79" s="43" t="str">
        <f>HYPERLINK("","")</f>
      </c>
      <c r="Z79" s="18" t="s">
        <v>135</v>
      </c>
      <c r="AS79" s="1">
        <f>IF($A79&lt;&gt;0,1,0)</f>
        <v>0</v>
      </c>
      <c r="AT79" s="1">
        <f>$A79*$B79</f>
        <v>0</v>
      </c>
      <c r="AU79" s="1">
        <f>$A79*$O79</f>
        <v>0</v>
      </c>
      <c r="AV79" s="1">
        <f>IF($R79=0,0,INT($A79/$R79))</f>
        <v>0</v>
      </c>
      <c r="AW79" s="1">
        <f>$A79-$AV79*$R79</f>
        <v>0</v>
      </c>
    </row>
    <row r="80" ht="21.95" customHeight="1" outlineLevel="1" s="1" customFormat="1">
      <c r="A80" s="15"/>
      <c r="B80" s="16">
        <v>690</v>
      </c>
      <c r="C80" s="17">
        <v>1035</v>
      </c>
      <c r="D80" s="16">
        <v>35111</v>
      </c>
      <c r="E80" s="18"/>
      <c r="F80" s="18" t="s">
        <v>324</v>
      </c>
      <c r="G80" s="18" t="s">
        <v>325</v>
      </c>
      <c r="H80" s="18" t="s">
        <v>86</v>
      </c>
      <c r="I80" s="18"/>
      <c r="J80" s="16">
        <v>2026</v>
      </c>
      <c r="K80" s="18" t="s">
        <v>326</v>
      </c>
      <c r="L80" s="16">
        <v>9785006310292</v>
      </c>
      <c r="M80" s="18" t="s">
        <v>327</v>
      </c>
      <c r="N80" s="16">
        <v>112</v>
      </c>
      <c r="O80" s="19">
        <v>0.38</v>
      </c>
      <c r="P80" s="16">
        <v>200</v>
      </c>
      <c r="Q80" s="16">
        <v>260</v>
      </c>
      <c r="R80" s="16">
        <v>10</v>
      </c>
      <c r="S80" s="18" t="s">
        <v>328</v>
      </c>
      <c r="T80" s="18"/>
      <c r="U80" s="17">
        <v>3000</v>
      </c>
      <c r="V80" s="18" t="s">
        <v>44</v>
      </c>
      <c r="W80" s="18" t="s">
        <v>69</v>
      </c>
      <c r="X80" s="16">
        <v>22</v>
      </c>
      <c r="Y80" s="43" t="str">
        <f>HYPERLINK("","")</f>
      </c>
      <c r="Z80" s="18" t="s">
        <v>46</v>
      </c>
      <c r="AS80" s="1">
        <f>IF($A80&lt;&gt;0,1,0)</f>
        <v>0</v>
      </c>
      <c r="AT80" s="1">
        <f>$A80*$B80</f>
        <v>0</v>
      </c>
      <c r="AU80" s="1">
        <f>$A80*$O80</f>
        <v>0</v>
      </c>
      <c r="AV80" s="1">
        <f>IF($R80=0,0,INT($A80/$R80))</f>
        <v>0</v>
      </c>
      <c r="AW80" s="1">
        <f>$A80-$AV80*$R80</f>
        <v>0</v>
      </c>
    </row>
    <row r="81" ht="24.95" customHeight="1" outlineLevel="1" s="1" customFormat="1">
      <c r="A81" s="15"/>
      <c r="B81" s="16">
        <v>750</v>
      </c>
      <c r="C81" s="17">
        <v>1088</v>
      </c>
      <c r="D81" s="16">
        <v>30992</v>
      </c>
      <c r="E81" s="18"/>
      <c r="F81" s="18" t="s">
        <v>329</v>
      </c>
      <c r="G81" s="18" t="s">
        <v>330</v>
      </c>
      <c r="H81" s="18" t="s">
        <v>49</v>
      </c>
      <c r="I81" s="18"/>
      <c r="J81" s="16">
        <v>2026</v>
      </c>
      <c r="K81" s="18" t="s">
        <v>331</v>
      </c>
      <c r="L81" s="16">
        <v>9785002830879</v>
      </c>
      <c r="M81" s="18" t="s">
        <v>332</v>
      </c>
      <c r="N81" s="16">
        <v>72</v>
      </c>
      <c r="O81" s="19">
        <v>0.48</v>
      </c>
      <c r="P81" s="16">
        <v>230</v>
      </c>
      <c r="Q81" s="16">
        <v>300</v>
      </c>
      <c r="R81" s="16">
        <v>14</v>
      </c>
      <c r="S81" s="18" t="s">
        <v>83</v>
      </c>
      <c r="T81" s="18" t="s">
        <v>333</v>
      </c>
      <c r="U81" s="17">
        <v>3000</v>
      </c>
      <c r="V81" s="18" t="s">
        <v>77</v>
      </c>
      <c r="W81" s="18" t="s">
        <v>55</v>
      </c>
      <c r="X81" s="16">
        <v>10</v>
      </c>
      <c r="Y81" s="43" t="str">
        <f>HYPERLINK("","")</f>
      </c>
      <c r="Z81" s="18" t="s">
        <v>46</v>
      </c>
      <c r="AS81" s="1">
        <f>IF($A81&lt;&gt;0,1,0)</f>
        <v>0</v>
      </c>
      <c r="AT81" s="1">
        <f>$A81*$B81</f>
        <v>0</v>
      </c>
      <c r="AU81" s="1">
        <f>$A81*$O81</f>
        <v>0</v>
      </c>
      <c r="AV81" s="1">
        <f>IF($R81=0,0,INT($A81/$R81))</f>
        <v>0</v>
      </c>
      <c r="AW81" s="1">
        <f>$A81-$AV81*$R81</f>
        <v>0</v>
      </c>
    </row>
    <row r="82" ht="24.95" customHeight="1" outlineLevel="1" s="1" customFormat="1">
      <c r="A82" s="15"/>
      <c r="B82" s="16">
        <v>750</v>
      </c>
      <c r="C82" s="17">
        <v>1088</v>
      </c>
      <c r="D82" s="16">
        <v>33374</v>
      </c>
      <c r="E82" s="18"/>
      <c r="F82" s="18" t="s">
        <v>334</v>
      </c>
      <c r="G82" s="18" t="s">
        <v>335</v>
      </c>
      <c r="H82" s="18" t="s">
        <v>49</v>
      </c>
      <c r="I82" s="18"/>
      <c r="J82" s="16">
        <v>2026</v>
      </c>
      <c r="K82" s="18" t="s">
        <v>336</v>
      </c>
      <c r="L82" s="16">
        <v>9785006304505</v>
      </c>
      <c r="M82" s="18" t="s">
        <v>337</v>
      </c>
      <c r="N82" s="16">
        <v>72</v>
      </c>
      <c r="O82" s="19">
        <v>0.48</v>
      </c>
      <c r="P82" s="16">
        <v>230</v>
      </c>
      <c r="Q82" s="16">
        <v>300</v>
      </c>
      <c r="R82" s="16">
        <v>14</v>
      </c>
      <c r="S82" s="18" t="s">
        <v>83</v>
      </c>
      <c r="T82" s="18" t="s">
        <v>333</v>
      </c>
      <c r="U82" s="17">
        <v>3500</v>
      </c>
      <c r="V82" s="18" t="s">
        <v>77</v>
      </c>
      <c r="W82" s="18" t="s">
        <v>55</v>
      </c>
      <c r="X82" s="16">
        <v>10</v>
      </c>
      <c r="Y82" s="43" t="str">
        <f>HYPERLINK("","")</f>
      </c>
      <c r="Z82" s="18" t="s">
        <v>246</v>
      </c>
      <c r="AS82" s="1">
        <f>IF($A82&lt;&gt;0,1,0)</f>
        <v>0</v>
      </c>
      <c r="AT82" s="1">
        <f>$A82*$B82</f>
        <v>0</v>
      </c>
      <c r="AU82" s="1">
        <f>$A82*$O82</f>
        <v>0</v>
      </c>
      <c r="AV82" s="1">
        <f>IF($R82=0,0,INT($A82/$R82))</f>
        <v>0</v>
      </c>
      <c r="AW82" s="1">
        <f>$A82-$AV82*$R82</f>
        <v>0</v>
      </c>
    </row>
    <row r="83" ht="21.95" customHeight="1" outlineLevel="1" s="1" customFormat="1">
      <c r="A83" s="15"/>
      <c r="B83" s="17">
        <v>1090</v>
      </c>
      <c r="C83" s="17">
        <v>1472</v>
      </c>
      <c r="D83" s="16">
        <v>33568</v>
      </c>
      <c r="E83" s="18"/>
      <c r="F83" s="18" t="s">
        <v>338</v>
      </c>
      <c r="G83" s="18" t="s">
        <v>339</v>
      </c>
      <c r="H83" s="18" t="s">
        <v>73</v>
      </c>
      <c r="I83" s="18" t="s">
        <v>74</v>
      </c>
      <c r="J83" s="16">
        <v>2026</v>
      </c>
      <c r="K83" s="18" t="s">
        <v>340</v>
      </c>
      <c r="L83" s="16">
        <v>9785002235667</v>
      </c>
      <c r="M83" s="18" t="s">
        <v>341</v>
      </c>
      <c r="N83" s="16">
        <v>536</v>
      </c>
      <c r="O83" s="19">
        <v>0.75</v>
      </c>
      <c r="P83" s="16">
        <v>150</v>
      </c>
      <c r="Q83" s="16">
        <v>220</v>
      </c>
      <c r="R83" s="16">
        <v>8</v>
      </c>
      <c r="S83" s="18" t="s">
        <v>43</v>
      </c>
      <c r="T83" s="18"/>
      <c r="U83" s="17">
        <v>5000</v>
      </c>
      <c r="V83" s="18" t="s">
        <v>77</v>
      </c>
      <c r="W83" s="18" t="s">
        <v>45</v>
      </c>
      <c r="X83" s="16">
        <v>22</v>
      </c>
      <c r="Y83" s="43" t="str">
        <f>HYPERLINK("","")</f>
      </c>
      <c r="Z83" s="18" t="s">
        <v>342</v>
      </c>
      <c r="AS83" s="1">
        <f>IF($A83&lt;&gt;0,1,0)</f>
        <v>0</v>
      </c>
      <c r="AT83" s="1">
        <f>$A83*$B83</f>
        <v>0</v>
      </c>
      <c r="AU83" s="1">
        <f>$A83*$O83</f>
        <v>0</v>
      </c>
      <c r="AV83" s="1">
        <f>IF($R83=0,0,INT($A83/$R83))</f>
        <v>0</v>
      </c>
      <c r="AW83" s="1">
        <f>$A83-$AV83*$R83</f>
        <v>0</v>
      </c>
    </row>
    <row r="84" ht="21.95" customHeight="1" outlineLevel="1" s="1" customFormat="1">
      <c r="A84" s="15"/>
      <c r="B84" s="16">
        <v>440</v>
      </c>
      <c r="C84" s="16">
        <v>682</v>
      </c>
      <c r="D84" s="16">
        <v>36441</v>
      </c>
      <c r="E84" s="18"/>
      <c r="F84" s="18" t="s">
        <v>343</v>
      </c>
      <c r="G84" s="18" t="s">
        <v>344</v>
      </c>
      <c r="H84" s="18" t="s">
        <v>86</v>
      </c>
      <c r="I84" s="18" t="s">
        <v>74</v>
      </c>
      <c r="J84" s="16">
        <v>2026</v>
      </c>
      <c r="K84" s="18" t="s">
        <v>345</v>
      </c>
      <c r="L84" s="16">
        <v>9785006317017</v>
      </c>
      <c r="M84" s="18" t="s">
        <v>346</v>
      </c>
      <c r="N84" s="16">
        <v>176</v>
      </c>
      <c r="O84" s="19">
        <v>0.14</v>
      </c>
      <c r="P84" s="16">
        <v>120</v>
      </c>
      <c r="Q84" s="16">
        <v>170</v>
      </c>
      <c r="R84" s="16">
        <v>24</v>
      </c>
      <c r="S84" s="18" t="s">
        <v>190</v>
      </c>
      <c r="T84" s="18" t="s">
        <v>347</v>
      </c>
      <c r="U84" s="17">
        <v>3000</v>
      </c>
      <c r="V84" s="18" t="s">
        <v>44</v>
      </c>
      <c r="W84" s="18" t="s">
        <v>91</v>
      </c>
      <c r="X84" s="16">
        <v>10</v>
      </c>
      <c r="Y84" s="43" t="str">
        <f>HYPERLINK("","")</f>
      </c>
      <c r="Z84" s="18" t="s">
        <v>144</v>
      </c>
      <c r="AS84" s="1">
        <f>IF($A84&lt;&gt;0,1,0)</f>
        <v>0</v>
      </c>
      <c r="AT84" s="1">
        <f>$A84*$B84</f>
        <v>0</v>
      </c>
      <c r="AU84" s="1">
        <f>$A84*$O84</f>
        <v>0</v>
      </c>
      <c r="AV84" s="1">
        <f>IF($R84=0,0,INT($A84/$R84))</f>
        <v>0</v>
      </c>
      <c r="AW84" s="1">
        <f>$A84-$AV84*$R84</f>
        <v>0</v>
      </c>
    </row>
    <row r="85" ht="24.95" customHeight="1" outlineLevel="1" s="1" customFormat="1">
      <c r="A85" s="15"/>
      <c r="B85" s="16">
        <v>550</v>
      </c>
      <c r="C85" s="16">
        <v>852</v>
      </c>
      <c r="D85" s="16">
        <v>34840</v>
      </c>
      <c r="E85" s="18"/>
      <c r="F85" s="18" t="s">
        <v>348</v>
      </c>
      <c r="G85" s="18" t="s">
        <v>349</v>
      </c>
      <c r="H85" s="18" t="s">
        <v>64</v>
      </c>
      <c r="I85" s="18" t="s">
        <v>160</v>
      </c>
      <c r="J85" s="16">
        <v>2026</v>
      </c>
      <c r="K85" s="18" t="s">
        <v>350</v>
      </c>
      <c r="L85" s="16">
        <v>9785006309272</v>
      </c>
      <c r="M85" s="18" t="s">
        <v>351</v>
      </c>
      <c r="N85" s="16">
        <v>380</v>
      </c>
      <c r="O85" s="19">
        <v>0.34</v>
      </c>
      <c r="P85" s="16">
        <v>140</v>
      </c>
      <c r="Q85" s="16">
        <v>200</v>
      </c>
      <c r="R85" s="16">
        <v>6</v>
      </c>
      <c r="S85" s="18" t="s">
        <v>43</v>
      </c>
      <c r="T85" s="18"/>
      <c r="U85" s="17">
        <v>3000</v>
      </c>
      <c r="V85" s="18" t="s">
        <v>44</v>
      </c>
      <c r="W85" s="18" t="s">
        <v>69</v>
      </c>
      <c r="X85" s="16">
        <v>10</v>
      </c>
      <c r="Y85" s="43" t="str">
        <f>HYPERLINK("https://api-enni.alpina.ru/FilePrivilegesApproval/1205","https://api-enni.alpina.ru/FilePrivilegesApproval/1205")</f>
        <v>https://api-enni.alpina.ru/FilePrivilegesApproval/1205</v>
      </c>
      <c r="Z85" s="18" t="s">
        <v>46</v>
      </c>
      <c r="AS85" s="1">
        <f>IF($A85&lt;&gt;0,1,0)</f>
        <v>0</v>
      </c>
      <c r="AT85" s="1">
        <f>$A85*$B85</f>
        <v>0</v>
      </c>
      <c r="AU85" s="1">
        <f>$A85*$O85</f>
        <v>0</v>
      </c>
      <c r="AV85" s="1">
        <f>IF($R85=0,0,INT($A85/$R85))</f>
        <v>0</v>
      </c>
      <c r="AW85" s="1">
        <f>$A85-$AV85*$R85</f>
        <v>0</v>
      </c>
    </row>
    <row r="86" ht="21.95" customHeight="1" outlineLevel="1" s="1" customFormat="1">
      <c r="A86" s="15"/>
      <c r="B86" s="16">
        <v>590</v>
      </c>
      <c r="C86" s="16">
        <v>885</v>
      </c>
      <c r="D86" s="16">
        <v>37271</v>
      </c>
      <c r="E86" s="18"/>
      <c r="F86" s="18" t="s">
        <v>352</v>
      </c>
      <c r="G86" s="18" t="s">
        <v>353</v>
      </c>
      <c r="H86" s="18" t="s">
        <v>86</v>
      </c>
      <c r="I86" s="18"/>
      <c r="J86" s="16">
        <v>2026</v>
      </c>
      <c r="K86" s="18" t="s">
        <v>354</v>
      </c>
      <c r="L86" s="16">
        <v>9785006319707</v>
      </c>
      <c r="M86" s="18" t="s">
        <v>355</v>
      </c>
      <c r="N86" s="16">
        <v>240</v>
      </c>
      <c r="O86" s="19">
        <v>0.39</v>
      </c>
      <c r="P86" s="16">
        <v>150</v>
      </c>
      <c r="Q86" s="16">
        <v>220</v>
      </c>
      <c r="R86" s="16">
        <v>14</v>
      </c>
      <c r="S86" s="18" t="s">
        <v>43</v>
      </c>
      <c r="T86" s="18"/>
      <c r="U86" s="17">
        <v>2000</v>
      </c>
      <c r="V86" s="18" t="s">
        <v>77</v>
      </c>
      <c r="W86" s="18" t="s">
        <v>91</v>
      </c>
      <c r="X86" s="16">
        <v>22</v>
      </c>
      <c r="Y86" s="43" t="str">
        <f>HYPERLINK("","")</f>
      </c>
      <c r="Z86" s="18" t="s">
        <v>98</v>
      </c>
      <c r="AS86" s="1">
        <f>IF($A86&lt;&gt;0,1,0)</f>
        <v>0</v>
      </c>
      <c r="AT86" s="1">
        <f>$A86*$B86</f>
        <v>0</v>
      </c>
      <c r="AU86" s="1">
        <f>$A86*$O86</f>
        <v>0</v>
      </c>
      <c r="AV86" s="1">
        <f>IF($R86=0,0,INT($A86/$R86))</f>
        <v>0</v>
      </c>
      <c r="AW86" s="1">
        <f>$A86-$AV86*$R86</f>
        <v>0</v>
      </c>
    </row>
    <row r="87" ht="24.95" customHeight="1" outlineLevel="1" s="1" customFormat="1">
      <c r="A87" s="15"/>
      <c r="B87" s="16">
        <v>650</v>
      </c>
      <c r="C87" s="16">
        <v>975</v>
      </c>
      <c r="D87" s="16">
        <v>36103</v>
      </c>
      <c r="E87" s="18"/>
      <c r="F87" s="18" t="s">
        <v>356</v>
      </c>
      <c r="G87" s="18" t="s">
        <v>357</v>
      </c>
      <c r="H87" s="18" t="s">
        <v>73</v>
      </c>
      <c r="I87" s="18" t="s">
        <v>74</v>
      </c>
      <c r="J87" s="16">
        <v>2026</v>
      </c>
      <c r="K87" s="18" t="s">
        <v>358</v>
      </c>
      <c r="L87" s="16">
        <v>9785002238316</v>
      </c>
      <c r="M87" s="18" t="s">
        <v>359</v>
      </c>
      <c r="N87" s="16">
        <v>208</v>
      </c>
      <c r="O87" s="19">
        <v>0.27</v>
      </c>
      <c r="P87" s="16">
        <v>130</v>
      </c>
      <c r="Q87" s="16">
        <v>210</v>
      </c>
      <c r="R87" s="16">
        <v>14</v>
      </c>
      <c r="S87" s="18" t="s">
        <v>90</v>
      </c>
      <c r="T87" s="18" t="s">
        <v>360</v>
      </c>
      <c r="U87" s="17">
        <v>2000</v>
      </c>
      <c r="V87" s="18" t="s">
        <v>77</v>
      </c>
      <c r="W87" s="18" t="s">
        <v>69</v>
      </c>
      <c r="X87" s="16">
        <v>10</v>
      </c>
      <c r="Y87" s="43" t="str">
        <f>HYPERLINK("https://api-enni.alpina.ru/FilePrivilegesApproval/1191","https://api-enni.alpina.ru/FilePrivilegesApproval/1191")</f>
        <v>https://api-enni.alpina.ru/FilePrivilegesApproval/1191</v>
      </c>
      <c r="Z87" s="18" t="s">
        <v>108</v>
      </c>
      <c r="AS87" s="1">
        <f>IF($A87&lt;&gt;0,1,0)</f>
        <v>0</v>
      </c>
      <c r="AT87" s="1">
        <f>$A87*$B87</f>
        <v>0</v>
      </c>
      <c r="AU87" s="1">
        <f>$A87*$O87</f>
        <v>0</v>
      </c>
      <c r="AV87" s="1">
        <f>IF($R87=0,0,INT($A87/$R87))</f>
        <v>0</v>
      </c>
      <c r="AW87" s="1">
        <f>$A87-$AV87*$R87</f>
        <v>0</v>
      </c>
    </row>
    <row r="88" ht="21.95" customHeight="1" outlineLevel="1" s="1" customFormat="1">
      <c r="A88" s="15"/>
      <c r="B88" s="16">
        <v>890</v>
      </c>
      <c r="C88" s="17">
        <v>1246</v>
      </c>
      <c r="D88" s="16">
        <v>36951</v>
      </c>
      <c r="E88" s="18"/>
      <c r="F88" s="18" t="s">
        <v>361</v>
      </c>
      <c r="G88" s="18" t="s">
        <v>362</v>
      </c>
      <c r="H88" s="18" t="s">
        <v>95</v>
      </c>
      <c r="I88" s="18"/>
      <c r="J88" s="16">
        <v>2026</v>
      </c>
      <c r="K88" s="18" t="s">
        <v>363</v>
      </c>
      <c r="L88" s="16">
        <v>9785002060139</v>
      </c>
      <c r="M88" s="18" t="s">
        <v>364</v>
      </c>
      <c r="N88" s="16">
        <v>256</v>
      </c>
      <c r="O88" s="19">
        <v>0.41</v>
      </c>
      <c r="P88" s="16">
        <v>150</v>
      </c>
      <c r="Q88" s="16">
        <v>220</v>
      </c>
      <c r="R88" s="16">
        <v>10</v>
      </c>
      <c r="S88" s="18" t="s">
        <v>43</v>
      </c>
      <c r="T88" s="18"/>
      <c r="U88" s="17">
        <v>1000</v>
      </c>
      <c r="V88" s="18" t="s">
        <v>77</v>
      </c>
      <c r="W88" s="18" t="s">
        <v>69</v>
      </c>
      <c r="X88" s="16">
        <v>10</v>
      </c>
      <c r="Y88" s="43" t="str">
        <f>HYPERLINK("","")</f>
      </c>
      <c r="Z88" s="18" t="s">
        <v>78</v>
      </c>
      <c r="AS88" s="1">
        <f>IF($A88&lt;&gt;0,1,0)</f>
        <v>0</v>
      </c>
      <c r="AT88" s="1">
        <f>$A88*$B88</f>
        <v>0</v>
      </c>
      <c r="AU88" s="1">
        <f>$A88*$O88</f>
        <v>0</v>
      </c>
      <c r="AV88" s="1">
        <f>IF($R88=0,0,INT($A88/$R88))</f>
        <v>0</v>
      </c>
      <c r="AW88" s="1">
        <f>$A88-$AV88*$R88</f>
        <v>0</v>
      </c>
    </row>
    <row r="89" ht="24.95" customHeight="1" outlineLevel="1" s="1" customFormat="1">
      <c r="A89" s="15"/>
      <c r="B89" s="17">
        <v>1090</v>
      </c>
      <c r="C89" s="17">
        <v>1472</v>
      </c>
      <c r="D89" s="16">
        <v>35854</v>
      </c>
      <c r="E89" s="18"/>
      <c r="F89" s="18" t="s">
        <v>365</v>
      </c>
      <c r="G89" s="18" t="s">
        <v>366</v>
      </c>
      <c r="H89" s="18" t="s">
        <v>95</v>
      </c>
      <c r="I89" s="18"/>
      <c r="J89" s="16">
        <v>2026</v>
      </c>
      <c r="K89" s="18" t="s">
        <v>367</v>
      </c>
      <c r="L89" s="16">
        <v>9785206006032</v>
      </c>
      <c r="M89" s="18" t="s">
        <v>368</v>
      </c>
      <c r="N89" s="16">
        <v>368</v>
      </c>
      <c r="O89" s="19">
        <v>0.7</v>
      </c>
      <c r="P89" s="16">
        <v>170</v>
      </c>
      <c r="Q89" s="16">
        <v>240</v>
      </c>
      <c r="R89" s="16">
        <v>10</v>
      </c>
      <c r="S89" s="18" t="s">
        <v>123</v>
      </c>
      <c r="T89" s="18"/>
      <c r="U89" s="17">
        <v>1000</v>
      </c>
      <c r="V89" s="18" t="s">
        <v>77</v>
      </c>
      <c r="W89" s="18" t="s">
        <v>69</v>
      </c>
      <c r="X89" s="16">
        <v>10</v>
      </c>
      <c r="Y89" s="43" t="str">
        <f>HYPERLINK("","")</f>
      </c>
      <c r="Z89" s="18" t="s">
        <v>119</v>
      </c>
      <c r="AS89" s="1">
        <f>IF($A89&lt;&gt;0,1,0)</f>
        <v>0</v>
      </c>
      <c r="AT89" s="1">
        <f>$A89*$B89</f>
        <v>0</v>
      </c>
      <c r="AU89" s="1">
        <f>$A89*$O89</f>
        <v>0</v>
      </c>
      <c r="AV89" s="1">
        <f>IF($R89=0,0,INT($A89/$R89))</f>
        <v>0</v>
      </c>
      <c r="AW89" s="1">
        <f>$A89-$AV89*$R89</f>
        <v>0</v>
      </c>
    </row>
    <row r="90" ht="21.95" customHeight="1" outlineLevel="1" s="1" customFormat="1">
      <c r="A90" s="15"/>
      <c r="B90" s="16">
        <v>690</v>
      </c>
      <c r="C90" s="17">
        <v>1035</v>
      </c>
      <c r="D90" s="16">
        <v>37207</v>
      </c>
      <c r="E90" s="18"/>
      <c r="F90" s="18" t="s">
        <v>369</v>
      </c>
      <c r="G90" s="18" t="s">
        <v>370</v>
      </c>
      <c r="H90" s="18" t="s">
        <v>95</v>
      </c>
      <c r="I90" s="18"/>
      <c r="J90" s="16">
        <v>2026</v>
      </c>
      <c r="K90" s="18" t="s">
        <v>371</v>
      </c>
      <c r="L90" s="16">
        <v>9785002060290</v>
      </c>
      <c r="M90" s="18" t="s">
        <v>372</v>
      </c>
      <c r="N90" s="16">
        <v>128</v>
      </c>
      <c r="O90" s="19">
        <v>0.44</v>
      </c>
      <c r="P90" s="16">
        <v>170</v>
      </c>
      <c r="Q90" s="16">
        <v>240</v>
      </c>
      <c r="R90" s="16">
        <v>10</v>
      </c>
      <c r="S90" s="18" t="s">
        <v>123</v>
      </c>
      <c r="T90" s="18"/>
      <c r="U90" s="17">
        <v>1005</v>
      </c>
      <c r="V90" s="18" t="s">
        <v>77</v>
      </c>
      <c r="W90" s="18" t="s">
        <v>69</v>
      </c>
      <c r="X90" s="16">
        <v>10</v>
      </c>
      <c r="Y90" s="43" t="str">
        <f>HYPERLINK("","")</f>
      </c>
      <c r="Z90" s="18"/>
      <c r="AS90" s="1">
        <f>IF($A90&lt;&gt;0,1,0)</f>
        <v>0</v>
      </c>
      <c r="AT90" s="1">
        <f>$A90*$B90</f>
        <v>0</v>
      </c>
      <c r="AU90" s="1">
        <f>$A90*$O90</f>
        <v>0</v>
      </c>
      <c r="AV90" s="1">
        <f>IF($R90=0,0,INT($A90/$R90))</f>
        <v>0</v>
      </c>
      <c r="AW90" s="1">
        <f>$A90-$AV90*$R90</f>
        <v>0</v>
      </c>
    </row>
    <row r="91" ht="24.95" customHeight="1" outlineLevel="1" s="1" customFormat="1">
      <c r="A91" s="15"/>
      <c r="B91" s="16">
        <v>740</v>
      </c>
      <c r="C91" s="17">
        <v>1073</v>
      </c>
      <c r="D91" s="16">
        <v>36931</v>
      </c>
      <c r="E91" s="18"/>
      <c r="F91" s="18" t="s">
        <v>373</v>
      </c>
      <c r="G91" s="18" t="s">
        <v>374</v>
      </c>
      <c r="H91" s="18" t="s">
        <v>86</v>
      </c>
      <c r="I91" s="18"/>
      <c r="J91" s="16">
        <v>2026</v>
      </c>
      <c r="K91" s="18" t="s">
        <v>375</v>
      </c>
      <c r="L91" s="16">
        <v>9785006318397</v>
      </c>
      <c r="M91" s="18" t="s">
        <v>376</v>
      </c>
      <c r="N91" s="16">
        <v>243</v>
      </c>
      <c r="O91" s="19">
        <v>0.41</v>
      </c>
      <c r="P91" s="16">
        <v>150</v>
      </c>
      <c r="Q91" s="16">
        <v>220</v>
      </c>
      <c r="R91" s="16">
        <v>10</v>
      </c>
      <c r="S91" s="18" t="s">
        <v>43</v>
      </c>
      <c r="T91" s="18"/>
      <c r="U91" s="17">
        <v>1000</v>
      </c>
      <c r="V91" s="18" t="s">
        <v>77</v>
      </c>
      <c r="W91" s="18" t="s">
        <v>69</v>
      </c>
      <c r="X91" s="16">
        <v>10</v>
      </c>
      <c r="Y91" s="43" t="str">
        <f>HYPERLINK("https://api-enni.alpina.ru/FilePrivilegesApproval/1204","https://api-enni.alpina.ru/FilePrivilegesApproval/1204")</f>
        <v>https://api-enni.alpina.ru/FilePrivilegesApproval/1204</v>
      </c>
      <c r="Z91" s="18" t="s">
        <v>119</v>
      </c>
      <c r="AS91" s="1">
        <f>IF($A91&lt;&gt;0,1,0)</f>
        <v>0</v>
      </c>
      <c r="AT91" s="1">
        <f>$A91*$B91</f>
        <v>0</v>
      </c>
      <c r="AU91" s="1">
        <f>$A91*$O91</f>
        <v>0</v>
      </c>
      <c r="AV91" s="1">
        <f>IF($R91=0,0,INT($A91/$R91))</f>
        <v>0</v>
      </c>
      <c r="AW91" s="1">
        <f>$A91-$AV91*$R91</f>
        <v>0</v>
      </c>
    </row>
    <row r="92" ht="21.95" customHeight="1" outlineLevel="1" s="1" customFormat="1">
      <c r="A92" s="15"/>
      <c r="B92" s="16">
        <v>690</v>
      </c>
      <c r="C92" s="17">
        <v>1246</v>
      </c>
      <c r="D92" s="16">
        <v>34597</v>
      </c>
      <c r="E92" s="18"/>
      <c r="F92" s="18" t="s">
        <v>377</v>
      </c>
      <c r="G92" s="18" t="s">
        <v>378</v>
      </c>
      <c r="H92" s="18" t="s">
        <v>49</v>
      </c>
      <c r="I92" s="18"/>
      <c r="J92" s="16">
        <v>2026</v>
      </c>
      <c r="K92" s="18" t="s">
        <v>379</v>
      </c>
      <c r="L92" s="16">
        <v>9785002831173</v>
      </c>
      <c r="M92" s="18" t="s">
        <v>380</v>
      </c>
      <c r="N92" s="16">
        <v>512</v>
      </c>
      <c r="O92" s="19">
        <v>0.61</v>
      </c>
      <c r="P92" s="16">
        <v>130</v>
      </c>
      <c r="Q92" s="16">
        <v>210</v>
      </c>
      <c r="R92" s="16">
        <v>8</v>
      </c>
      <c r="S92" s="18" t="s">
        <v>90</v>
      </c>
      <c r="T92" s="18" t="s">
        <v>381</v>
      </c>
      <c r="U92" s="17">
        <v>10000</v>
      </c>
      <c r="V92" s="18" t="s">
        <v>77</v>
      </c>
      <c r="W92" s="18" t="s">
        <v>91</v>
      </c>
      <c r="X92" s="16">
        <v>10</v>
      </c>
      <c r="Y92" s="43" t="str">
        <f>HYPERLINK("","")</f>
      </c>
      <c r="Z92" s="18" t="s">
        <v>113</v>
      </c>
      <c r="AS92" s="1">
        <f>IF($A92&lt;&gt;0,1,0)</f>
        <v>0</v>
      </c>
      <c r="AT92" s="1">
        <f>$A92*$B92</f>
        <v>0</v>
      </c>
      <c r="AU92" s="1">
        <f>$A92*$O92</f>
        <v>0</v>
      </c>
      <c r="AV92" s="1">
        <f>IF($R92=0,0,INT($A92/$R92))</f>
        <v>0</v>
      </c>
      <c r="AW92" s="1">
        <f>$A92-$AV92*$R92</f>
        <v>0</v>
      </c>
    </row>
    <row r="93" ht="21.95" customHeight="1" outlineLevel="1" s="1" customFormat="1">
      <c r="A93" s="15"/>
      <c r="B93" s="16">
        <v>740</v>
      </c>
      <c r="C93" s="17">
        <v>1073</v>
      </c>
      <c r="D93" s="16">
        <v>35796</v>
      </c>
      <c r="E93" s="18"/>
      <c r="F93" s="18" t="s">
        <v>382</v>
      </c>
      <c r="G93" s="18" t="s">
        <v>383</v>
      </c>
      <c r="H93" s="18" t="s">
        <v>171</v>
      </c>
      <c r="I93" s="18"/>
      <c r="J93" s="16">
        <v>2026</v>
      </c>
      <c r="K93" s="18" t="s">
        <v>384</v>
      </c>
      <c r="L93" s="16">
        <v>9785002237975</v>
      </c>
      <c r="M93" s="18" t="s">
        <v>385</v>
      </c>
      <c r="N93" s="16">
        <v>192</v>
      </c>
      <c r="O93" s="19">
        <v>0.28</v>
      </c>
      <c r="P93" s="16">
        <v>150</v>
      </c>
      <c r="Q93" s="16">
        <v>220</v>
      </c>
      <c r="R93" s="16">
        <v>16</v>
      </c>
      <c r="S93" s="18" t="s">
        <v>43</v>
      </c>
      <c r="T93" s="18"/>
      <c r="U93" s="17">
        <v>2000</v>
      </c>
      <c r="V93" s="18" t="s">
        <v>77</v>
      </c>
      <c r="W93" s="18" t="s">
        <v>45</v>
      </c>
      <c r="X93" s="16">
        <v>22</v>
      </c>
      <c r="Y93" s="43" t="str">
        <f>HYPERLINK("","")</f>
      </c>
      <c r="Z93" s="18" t="s">
        <v>108</v>
      </c>
      <c r="AS93" s="1">
        <f>IF($A93&lt;&gt;0,1,0)</f>
        <v>0</v>
      </c>
      <c r="AT93" s="1">
        <f>$A93*$B93</f>
        <v>0</v>
      </c>
      <c r="AU93" s="1">
        <f>$A93*$O93</f>
        <v>0</v>
      </c>
      <c r="AV93" s="1">
        <f>IF($R93=0,0,INT($A93/$R93))</f>
        <v>0</v>
      </c>
      <c r="AW93" s="1">
        <f>$A93-$AV93*$R93</f>
        <v>0</v>
      </c>
    </row>
    <row r="94" ht="21.95" customHeight="1" outlineLevel="1" s="1" customFormat="1">
      <c r="A94" s="15"/>
      <c r="B94" s="16">
        <v>790</v>
      </c>
      <c r="C94" s="17">
        <v>1146</v>
      </c>
      <c r="D94" s="16">
        <v>37704</v>
      </c>
      <c r="E94" s="18"/>
      <c r="F94" s="18" t="s">
        <v>386</v>
      </c>
      <c r="G94" s="18" t="s">
        <v>387</v>
      </c>
      <c r="H94" s="18" t="s">
        <v>64</v>
      </c>
      <c r="I94" s="18" t="s">
        <v>160</v>
      </c>
      <c r="J94" s="16">
        <v>2026</v>
      </c>
      <c r="K94" s="18" t="s">
        <v>388</v>
      </c>
      <c r="L94" s="16">
        <v>9785006306714</v>
      </c>
      <c r="M94" s="18" t="s">
        <v>389</v>
      </c>
      <c r="N94" s="16">
        <v>360</v>
      </c>
      <c r="O94" s="19">
        <v>0.41</v>
      </c>
      <c r="P94" s="16">
        <v>150</v>
      </c>
      <c r="Q94" s="16">
        <v>200</v>
      </c>
      <c r="R94" s="16">
        <v>10</v>
      </c>
      <c r="S94" s="18" t="s">
        <v>43</v>
      </c>
      <c r="T94" s="18"/>
      <c r="U94" s="17">
        <v>2000</v>
      </c>
      <c r="V94" s="18" t="s">
        <v>77</v>
      </c>
      <c r="W94" s="18" t="s">
        <v>69</v>
      </c>
      <c r="X94" s="16">
        <v>10</v>
      </c>
      <c r="Y94" s="43" t="str">
        <f>HYPERLINK("","")</f>
      </c>
      <c r="Z94" s="18" t="s">
        <v>98</v>
      </c>
      <c r="AS94" s="1">
        <f>IF($A94&lt;&gt;0,1,0)</f>
        <v>0</v>
      </c>
      <c r="AT94" s="1">
        <f>$A94*$B94</f>
        <v>0</v>
      </c>
      <c r="AU94" s="1">
        <f>$A94*$O94</f>
        <v>0</v>
      </c>
      <c r="AV94" s="1">
        <f>IF($R94=0,0,INT($A94/$R94))</f>
        <v>0</v>
      </c>
      <c r="AW94" s="1">
        <f>$A94-$AV94*$R94</f>
        <v>0</v>
      </c>
    </row>
    <row r="95" ht="24.95" customHeight="1" outlineLevel="1" s="1" customFormat="1">
      <c r="A95" s="15"/>
      <c r="B95" s="16">
        <v>590</v>
      </c>
      <c r="C95" s="16">
        <v>885</v>
      </c>
      <c r="D95" s="16">
        <v>34124</v>
      </c>
      <c r="E95" s="18"/>
      <c r="F95" s="18" t="s">
        <v>390</v>
      </c>
      <c r="G95" s="18" t="s">
        <v>391</v>
      </c>
      <c r="H95" s="18" t="s">
        <v>64</v>
      </c>
      <c r="I95" s="18" t="s">
        <v>40</v>
      </c>
      <c r="J95" s="16">
        <v>2026</v>
      </c>
      <c r="K95" s="18" t="s">
        <v>392</v>
      </c>
      <c r="L95" s="16">
        <v>9785006306387</v>
      </c>
      <c r="M95" s="18" t="s">
        <v>393</v>
      </c>
      <c r="N95" s="16">
        <v>470</v>
      </c>
      <c r="O95" s="19">
        <v>0.4</v>
      </c>
      <c r="P95" s="16">
        <v>140</v>
      </c>
      <c r="Q95" s="16">
        <v>200</v>
      </c>
      <c r="R95" s="16">
        <v>6</v>
      </c>
      <c r="S95" s="18" t="s">
        <v>43</v>
      </c>
      <c r="T95" s="18"/>
      <c r="U95" s="17">
        <v>3000</v>
      </c>
      <c r="V95" s="18" t="s">
        <v>44</v>
      </c>
      <c r="W95" s="18" t="s">
        <v>69</v>
      </c>
      <c r="X95" s="16">
        <v>10</v>
      </c>
      <c r="Y95" s="43" t="str">
        <f>HYPERLINK("https://api-enni.alpina.ru/FilePrivilegesApproval/1194","https://api-enni.alpina.ru/FilePrivilegesApproval/1194")</f>
        <v>https://api-enni.alpina.ru/FilePrivilegesApproval/1194</v>
      </c>
      <c r="Z95" s="18" t="s">
        <v>46</v>
      </c>
      <c r="AS95" s="1">
        <f>IF($A95&lt;&gt;0,1,0)</f>
        <v>0</v>
      </c>
      <c r="AT95" s="1">
        <f>$A95*$B95</f>
        <v>0</v>
      </c>
      <c r="AU95" s="1">
        <f>$A95*$O95</f>
        <v>0</v>
      </c>
      <c r="AV95" s="1">
        <f>IF($R95=0,0,INT($A95/$R95))</f>
        <v>0</v>
      </c>
      <c r="AW95" s="1">
        <f>$A95-$AV95*$R95</f>
        <v>0</v>
      </c>
    </row>
    <row r="96" ht="21.95" customHeight="1" outlineLevel="1" s="1" customFormat="1">
      <c r="A96" s="15"/>
      <c r="B96" s="16">
        <v>850</v>
      </c>
      <c r="C96" s="17">
        <v>1232</v>
      </c>
      <c r="D96" s="16">
        <v>34380</v>
      </c>
      <c r="E96" s="18"/>
      <c r="F96" s="18" t="s">
        <v>394</v>
      </c>
      <c r="G96" s="18" t="s">
        <v>395</v>
      </c>
      <c r="H96" s="18" t="s">
        <v>73</v>
      </c>
      <c r="I96" s="18" t="s">
        <v>74</v>
      </c>
      <c r="J96" s="16">
        <v>2026</v>
      </c>
      <c r="K96" s="18" t="s">
        <v>396</v>
      </c>
      <c r="L96" s="16">
        <v>9785002236633</v>
      </c>
      <c r="M96" s="18" t="s">
        <v>397</v>
      </c>
      <c r="N96" s="16">
        <v>344</v>
      </c>
      <c r="O96" s="19">
        <v>0.52</v>
      </c>
      <c r="P96" s="16">
        <v>150</v>
      </c>
      <c r="Q96" s="16">
        <v>220</v>
      </c>
      <c r="R96" s="16">
        <v>12</v>
      </c>
      <c r="S96" s="18" t="s">
        <v>43</v>
      </c>
      <c r="T96" s="18"/>
      <c r="U96" s="17">
        <v>3000</v>
      </c>
      <c r="V96" s="18" t="s">
        <v>77</v>
      </c>
      <c r="W96" s="18" t="s">
        <v>45</v>
      </c>
      <c r="X96" s="16">
        <v>22</v>
      </c>
      <c r="Y96" s="43" t="str">
        <f>HYPERLINK("","")</f>
      </c>
      <c r="Z96" s="18" t="s">
        <v>246</v>
      </c>
      <c r="AS96" s="1">
        <f>IF($A96&lt;&gt;0,1,0)</f>
        <v>0</v>
      </c>
      <c r="AT96" s="1">
        <f>$A96*$B96</f>
        <v>0</v>
      </c>
      <c r="AU96" s="1">
        <f>$A96*$O96</f>
        <v>0</v>
      </c>
      <c r="AV96" s="1">
        <f>IF($R96=0,0,INT($A96/$R96))</f>
        <v>0</v>
      </c>
      <c r="AW96" s="1">
        <f>$A96-$AV96*$R96</f>
        <v>0</v>
      </c>
    </row>
    <row r="97" ht="21.95" customHeight="1" outlineLevel="1" s="1" customFormat="1">
      <c r="A97" s="15"/>
      <c r="B97" s="16">
        <v>790</v>
      </c>
      <c r="C97" s="17">
        <v>1146</v>
      </c>
      <c r="D97" s="16">
        <v>37736</v>
      </c>
      <c r="E97" s="18"/>
      <c r="F97" s="18" t="s">
        <v>398</v>
      </c>
      <c r="G97" s="18" t="s">
        <v>399</v>
      </c>
      <c r="H97" s="18" t="s">
        <v>95</v>
      </c>
      <c r="I97" s="18"/>
      <c r="J97" s="16">
        <v>2026</v>
      </c>
      <c r="K97" s="18" t="s">
        <v>400</v>
      </c>
      <c r="L97" s="16">
        <v>9785002060566</v>
      </c>
      <c r="M97" s="18" t="s">
        <v>401</v>
      </c>
      <c r="N97" s="16">
        <v>144</v>
      </c>
      <c r="O97" s="19">
        <v>0.28</v>
      </c>
      <c r="P97" s="16">
        <v>150</v>
      </c>
      <c r="Q97" s="16">
        <v>220</v>
      </c>
      <c r="R97" s="16">
        <v>10</v>
      </c>
      <c r="S97" s="18" t="s">
        <v>43</v>
      </c>
      <c r="T97" s="18"/>
      <c r="U97" s="17">
        <v>1000</v>
      </c>
      <c r="V97" s="18" t="s">
        <v>77</v>
      </c>
      <c r="W97" s="18" t="s">
        <v>69</v>
      </c>
      <c r="X97" s="16">
        <v>10</v>
      </c>
      <c r="Y97" s="43" t="str">
        <f>HYPERLINK("","")</f>
      </c>
      <c r="Z97" s="18" t="s">
        <v>119</v>
      </c>
      <c r="AS97" s="1">
        <f>IF($A97&lt;&gt;0,1,0)</f>
        <v>0</v>
      </c>
      <c r="AT97" s="1">
        <f>$A97*$B97</f>
        <v>0</v>
      </c>
      <c r="AU97" s="1">
        <f>$A97*$O97</f>
        <v>0</v>
      </c>
      <c r="AV97" s="1">
        <f>IF($R97=0,0,INT($A97/$R97))</f>
        <v>0</v>
      </c>
      <c r="AW97" s="1">
        <f>$A97-$AV97*$R97</f>
        <v>0</v>
      </c>
    </row>
    <row r="98" ht="21.95" customHeight="1" outlineLevel="1" s="1" customFormat="1">
      <c r="A98" s="15"/>
      <c r="B98" s="16">
        <v>690</v>
      </c>
      <c r="C98" s="17">
        <v>1035</v>
      </c>
      <c r="D98" s="16">
        <v>34876</v>
      </c>
      <c r="E98" s="18"/>
      <c r="F98" s="18" t="s">
        <v>402</v>
      </c>
      <c r="G98" s="18" t="s">
        <v>403</v>
      </c>
      <c r="H98" s="18" t="s">
        <v>73</v>
      </c>
      <c r="I98" s="18" t="s">
        <v>74</v>
      </c>
      <c r="J98" s="16">
        <v>2026</v>
      </c>
      <c r="K98" s="18" t="s">
        <v>404</v>
      </c>
      <c r="L98" s="16">
        <v>9785002237098</v>
      </c>
      <c r="M98" s="18" t="s">
        <v>405</v>
      </c>
      <c r="N98" s="16">
        <v>270</v>
      </c>
      <c r="O98" s="19">
        <v>0.37</v>
      </c>
      <c r="P98" s="16">
        <v>130</v>
      </c>
      <c r="Q98" s="16">
        <v>210</v>
      </c>
      <c r="R98" s="16">
        <v>16</v>
      </c>
      <c r="S98" s="18" t="s">
        <v>90</v>
      </c>
      <c r="T98" s="18"/>
      <c r="U98" s="17">
        <v>2500</v>
      </c>
      <c r="V98" s="18" t="s">
        <v>77</v>
      </c>
      <c r="W98" s="18" t="s">
        <v>45</v>
      </c>
      <c r="X98" s="16">
        <v>22</v>
      </c>
      <c r="Y98" s="43" t="str">
        <f>HYPERLINK("","")</f>
      </c>
      <c r="Z98" s="18" t="s">
        <v>246</v>
      </c>
      <c r="AS98" s="1">
        <f>IF($A98&lt;&gt;0,1,0)</f>
        <v>0</v>
      </c>
      <c r="AT98" s="1">
        <f>$A98*$B98</f>
        <v>0</v>
      </c>
      <c r="AU98" s="1">
        <f>$A98*$O98</f>
        <v>0</v>
      </c>
      <c r="AV98" s="1">
        <f>IF($R98=0,0,INT($A98/$R98))</f>
        <v>0</v>
      </c>
      <c r="AW98" s="1">
        <f>$A98-$AV98*$R98</f>
        <v>0</v>
      </c>
    </row>
    <row r="99" ht="24.95" customHeight="1" outlineLevel="1" s="1" customFormat="1">
      <c r="A99" s="15"/>
      <c r="B99" s="17">
        <v>1040</v>
      </c>
      <c r="C99" s="17">
        <v>1404</v>
      </c>
      <c r="D99" s="16">
        <v>37407</v>
      </c>
      <c r="E99" s="18"/>
      <c r="F99" s="18" t="s">
        <v>406</v>
      </c>
      <c r="G99" s="18" t="s">
        <v>407</v>
      </c>
      <c r="H99" s="18" t="s">
        <v>86</v>
      </c>
      <c r="I99" s="18"/>
      <c r="J99" s="16">
        <v>2026</v>
      </c>
      <c r="K99" s="18" t="s">
        <v>408</v>
      </c>
      <c r="L99" s="16">
        <v>9785006320031</v>
      </c>
      <c r="M99" s="18" t="s">
        <v>409</v>
      </c>
      <c r="N99" s="16">
        <v>448</v>
      </c>
      <c r="O99" s="19">
        <v>0.73</v>
      </c>
      <c r="P99" s="16">
        <v>150</v>
      </c>
      <c r="Q99" s="16">
        <v>210</v>
      </c>
      <c r="R99" s="16">
        <v>4</v>
      </c>
      <c r="S99" s="18" t="s">
        <v>43</v>
      </c>
      <c r="T99" s="18"/>
      <c r="U99" s="17">
        <v>3000</v>
      </c>
      <c r="V99" s="18" t="s">
        <v>77</v>
      </c>
      <c r="W99" s="18" t="s">
        <v>91</v>
      </c>
      <c r="X99" s="16">
        <v>10</v>
      </c>
      <c r="Y99" s="43" t="str">
        <f>HYPERLINK("https://api-enni.alpina.ru/FilePrivilegesApproval/1195","https://api-enni.alpina.ru/FilePrivilegesApproval/1195")</f>
        <v>https://api-enni.alpina.ru/FilePrivilegesApproval/1195</v>
      </c>
      <c r="Z99" s="18" t="s">
        <v>410</v>
      </c>
      <c r="AS99" s="1">
        <f>IF($A99&lt;&gt;0,1,0)</f>
        <v>0</v>
      </c>
      <c r="AT99" s="1">
        <f>$A99*$B99</f>
        <v>0</v>
      </c>
      <c r="AU99" s="1">
        <f>$A99*$O99</f>
        <v>0</v>
      </c>
      <c r="AV99" s="1">
        <f>IF($R99=0,0,INT($A99/$R99))</f>
        <v>0</v>
      </c>
      <c r="AW99" s="1">
        <f>$A99-$AV99*$R99</f>
        <v>0</v>
      </c>
    </row>
    <row r="100" ht="15" customHeight="1">
      <c r="A100" s="37" t="s">
        <v>411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20"/>
    </row>
    <row r="101" ht="24.95" customHeight="1" outlineLevel="1" s="1" customFormat="1">
      <c r="A101" s="15"/>
      <c r="B101" s="16">
        <v>990</v>
      </c>
      <c r="C101" s="17">
        <v>1386</v>
      </c>
      <c r="D101" s="16">
        <v>21199</v>
      </c>
      <c r="E101" s="18"/>
      <c r="F101" s="18" t="s">
        <v>412</v>
      </c>
      <c r="G101" s="18" t="s">
        <v>413</v>
      </c>
      <c r="H101" s="18" t="s">
        <v>171</v>
      </c>
      <c r="I101" s="18"/>
      <c r="J101" s="16">
        <v>2023</v>
      </c>
      <c r="K101" s="18" t="s">
        <v>414</v>
      </c>
      <c r="L101" s="16">
        <v>9785001395003</v>
      </c>
      <c r="M101" s="18" t="s">
        <v>415</v>
      </c>
      <c r="N101" s="16">
        <v>607</v>
      </c>
      <c r="O101" s="19">
        <v>0.7</v>
      </c>
      <c r="P101" s="16">
        <v>150</v>
      </c>
      <c r="Q101" s="16">
        <v>220</v>
      </c>
      <c r="R101" s="16">
        <v>6</v>
      </c>
      <c r="S101" s="18" t="s">
        <v>43</v>
      </c>
      <c r="T101" s="18"/>
      <c r="U101" s="17">
        <v>10000</v>
      </c>
      <c r="V101" s="18" t="s">
        <v>77</v>
      </c>
      <c r="W101" s="18" t="s">
        <v>69</v>
      </c>
      <c r="X101" s="16">
        <v>10</v>
      </c>
      <c r="Y101" s="43" t="str">
        <f>HYPERLINK("https://api-enni.alpina.ru/FilePrivilegesApproval/150","https://api-enni.alpina.ru/FilePrivilegesApproval/150")</f>
        <v>https://api-enni.alpina.ru/FilePrivilegesApproval/150</v>
      </c>
      <c r="Z101" s="18"/>
      <c r="AS101" s="1">
        <f>IF($A101&lt;&gt;0,1,0)</f>
        <v>0</v>
      </c>
      <c r="AT101" s="1">
        <f>$A101*$B101</f>
        <v>0</v>
      </c>
      <c r="AU101" s="1">
        <f>$A101*$O101</f>
        <v>0</v>
      </c>
      <c r="AV101" s="1">
        <f>IF($R101=0,0,INT($A101/$R101))</f>
        <v>0</v>
      </c>
      <c r="AW101" s="1">
        <f>$A101-$AV101*$R101</f>
        <v>0</v>
      </c>
    </row>
    <row r="102" ht="24.95" customHeight="1" outlineLevel="1" s="1" customFormat="1">
      <c r="A102" s="15"/>
      <c r="B102" s="17">
        <v>5990</v>
      </c>
      <c r="C102" s="17">
        <v>5990</v>
      </c>
      <c r="D102" s="18" t="s">
        <v>416</v>
      </c>
      <c r="E102" s="18"/>
      <c r="F102" s="18" t="s">
        <v>417</v>
      </c>
      <c r="G102" s="18" t="s">
        <v>418</v>
      </c>
      <c r="H102" s="18" t="s">
        <v>95</v>
      </c>
      <c r="I102" s="18" t="s">
        <v>419</v>
      </c>
      <c r="J102" s="16">
        <v>2022</v>
      </c>
      <c r="K102" s="18" t="s">
        <v>416</v>
      </c>
      <c r="L102" s="16">
        <v>9785907394193</v>
      </c>
      <c r="M102" s="18" t="s">
        <v>420</v>
      </c>
      <c r="N102" s="16">
        <v>245</v>
      </c>
      <c r="O102" s="19">
        <v>0.42</v>
      </c>
      <c r="P102" s="16">
        <v>146</v>
      </c>
      <c r="Q102" s="16">
        <v>216</v>
      </c>
      <c r="R102" s="16">
        <v>1</v>
      </c>
      <c r="S102" s="18" t="s">
        <v>43</v>
      </c>
      <c r="T102" s="18" t="s">
        <v>421</v>
      </c>
      <c r="U102" s="17">
        <v>3500</v>
      </c>
      <c r="V102" s="18" t="s">
        <v>77</v>
      </c>
      <c r="W102" s="18" t="s">
        <v>91</v>
      </c>
      <c r="X102" s="16">
        <v>22</v>
      </c>
      <c r="Y102" s="43" t="str">
        <f>HYPERLINK("","")</f>
      </c>
      <c r="Z102" s="18"/>
      <c r="AS102" s="1">
        <f>IF($A102&lt;&gt;0,1,0)</f>
        <v>0</v>
      </c>
      <c r="AT102" s="1">
        <f>$A102*$B102</f>
        <v>0</v>
      </c>
      <c r="AU102" s="1">
        <f>$A102*$O102</f>
        <v>0</v>
      </c>
      <c r="AV102" s="1">
        <f>IF($R102=0,0,INT($A102/$R102))</f>
        <v>0</v>
      </c>
      <c r="AW102" s="1">
        <f>$A102-$AV102*$R102</f>
        <v>0</v>
      </c>
    </row>
    <row r="103" ht="21.95" customHeight="1" outlineLevel="1" s="1" customFormat="1">
      <c r="A103" s="15"/>
      <c r="B103" s="17">
        <v>5990</v>
      </c>
      <c r="C103" s="17">
        <v>5990</v>
      </c>
      <c r="D103" s="18" t="s">
        <v>422</v>
      </c>
      <c r="E103" s="18"/>
      <c r="F103" s="18" t="s">
        <v>423</v>
      </c>
      <c r="G103" s="18" t="s">
        <v>424</v>
      </c>
      <c r="H103" s="18" t="s">
        <v>95</v>
      </c>
      <c r="I103" s="18" t="s">
        <v>419</v>
      </c>
      <c r="J103" s="16">
        <v>2022</v>
      </c>
      <c r="K103" s="18" t="s">
        <v>422</v>
      </c>
      <c r="L103" s="16">
        <v>9785907534148</v>
      </c>
      <c r="M103" s="18" t="s">
        <v>425</v>
      </c>
      <c r="N103" s="16">
        <v>570</v>
      </c>
      <c r="O103" s="19">
        <v>0.82</v>
      </c>
      <c r="P103" s="16">
        <v>146</v>
      </c>
      <c r="Q103" s="16">
        <v>216</v>
      </c>
      <c r="R103" s="16">
        <v>1</v>
      </c>
      <c r="S103" s="18" t="s">
        <v>43</v>
      </c>
      <c r="T103" s="18" t="s">
        <v>421</v>
      </c>
      <c r="U103" s="17">
        <v>3500</v>
      </c>
      <c r="V103" s="18" t="s">
        <v>77</v>
      </c>
      <c r="W103" s="18" t="s">
        <v>91</v>
      </c>
      <c r="X103" s="16">
        <v>22</v>
      </c>
      <c r="Y103" s="43" t="str">
        <f>HYPERLINK("","")</f>
      </c>
      <c r="Z103" s="18"/>
      <c r="AS103" s="1">
        <f>IF($A103&lt;&gt;0,1,0)</f>
        <v>0</v>
      </c>
      <c r="AT103" s="1">
        <f>$A103*$B103</f>
        <v>0</v>
      </c>
      <c r="AU103" s="1">
        <f>$A103*$O103</f>
        <v>0</v>
      </c>
      <c r="AV103" s="1">
        <f>IF($R103=0,0,INT($A103/$R103))</f>
        <v>0</v>
      </c>
      <c r="AW103" s="1">
        <f>$A103-$AV103*$R103</f>
        <v>0</v>
      </c>
    </row>
    <row r="104" ht="21.95" customHeight="1" outlineLevel="1" s="1" customFormat="1">
      <c r="A104" s="15"/>
      <c r="B104" s="17">
        <v>5990</v>
      </c>
      <c r="C104" s="17">
        <v>5990</v>
      </c>
      <c r="D104" s="18" t="s">
        <v>426</v>
      </c>
      <c r="E104" s="18"/>
      <c r="F104" s="18" t="s">
        <v>427</v>
      </c>
      <c r="G104" s="18" t="s">
        <v>428</v>
      </c>
      <c r="H104" s="18" t="s">
        <v>95</v>
      </c>
      <c r="I104" s="18" t="s">
        <v>419</v>
      </c>
      <c r="J104" s="16">
        <v>2022</v>
      </c>
      <c r="K104" s="18" t="s">
        <v>426</v>
      </c>
      <c r="L104" s="16">
        <v>9785907534728</v>
      </c>
      <c r="M104" s="18" t="s">
        <v>429</v>
      </c>
      <c r="N104" s="16">
        <v>544</v>
      </c>
      <c r="O104" s="19">
        <v>0.78</v>
      </c>
      <c r="P104" s="16">
        <v>146</v>
      </c>
      <c r="Q104" s="16">
        <v>216</v>
      </c>
      <c r="R104" s="16">
        <v>1</v>
      </c>
      <c r="S104" s="18" t="s">
        <v>43</v>
      </c>
      <c r="T104" s="18" t="s">
        <v>421</v>
      </c>
      <c r="U104" s="17">
        <v>3500</v>
      </c>
      <c r="V104" s="18" t="s">
        <v>77</v>
      </c>
      <c r="W104" s="18" t="s">
        <v>91</v>
      </c>
      <c r="X104" s="16">
        <v>22</v>
      </c>
      <c r="Y104" s="43" t="str">
        <f>HYPERLINK("","")</f>
      </c>
      <c r="Z104" s="18"/>
      <c r="AS104" s="1">
        <f>IF($A104&lt;&gt;0,1,0)</f>
        <v>0</v>
      </c>
      <c r="AT104" s="1">
        <f>$A104*$B104</f>
        <v>0</v>
      </c>
      <c r="AU104" s="1">
        <f>$A104*$O104</f>
        <v>0</v>
      </c>
      <c r="AV104" s="1">
        <f>IF($R104=0,0,INT($A104/$R104))</f>
        <v>0</v>
      </c>
      <c r="AW104" s="1">
        <f>$A104-$AV104*$R104</f>
        <v>0</v>
      </c>
    </row>
    <row r="105" ht="21.95" customHeight="1" outlineLevel="1" s="1" customFormat="1">
      <c r="A105" s="15"/>
      <c r="B105" s="17">
        <v>5990</v>
      </c>
      <c r="C105" s="17">
        <v>5990</v>
      </c>
      <c r="D105" s="18" t="s">
        <v>430</v>
      </c>
      <c r="E105" s="18"/>
      <c r="F105" s="18" t="s">
        <v>431</v>
      </c>
      <c r="G105" s="18" t="s">
        <v>432</v>
      </c>
      <c r="H105" s="18" t="s">
        <v>95</v>
      </c>
      <c r="I105" s="18" t="s">
        <v>419</v>
      </c>
      <c r="J105" s="16">
        <v>2023</v>
      </c>
      <c r="K105" s="18" t="s">
        <v>430</v>
      </c>
      <c r="L105" s="16">
        <v>9785206002126</v>
      </c>
      <c r="M105" s="18" t="s">
        <v>433</v>
      </c>
      <c r="N105" s="16">
        <v>206</v>
      </c>
      <c r="O105" s="19">
        <v>0.37</v>
      </c>
      <c r="P105" s="16">
        <v>146</v>
      </c>
      <c r="Q105" s="16">
        <v>216</v>
      </c>
      <c r="R105" s="16">
        <v>1</v>
      </c>
      <c r="S105" s="18" t="s">
        <v>43</v>
      </c>
      <c r="T105" s="18" t="s">
        <v>421</v>
      </c>
      <c r="U105" s="17">
        <v>3500</v>
      </c>
      <c r="V105" s="18" t="s">
        <v>77</v>
      </c>
      <c r="W105" s="18" t="s">
        <v>91</v>
      </c>
      <c r="X105" s="16">
        <v>22</v>
      </c>
      <c r="Y105" s="43" t="str">
        <f>HYPERLINK("","")</f>
      </c>
      <c r="Z105" s="18"/>
      <c r="AS105" s="1">
        <f>IF($A105&lt;&gt;0,1,0)</f>
        <v>0</v>
      </c>
      <c r="AT105" s="1">
        <f>$A105*$B105</f>
        <v>0</v>
      </c>
      <c r="AU105" s="1">
        <f>$A105*$O105</f>
        <v>0</v>
      </c>
      <c r="AV105" s="1">
        <f>IF($R105=0,0,INT($A105/$R105))</f>
        <v>0</v>
      </c>
      <c r="AW105" s="1">
        <f>$A105-$AV105*$R105</f>
        <v>0</v>
      </c>
    </row>
    <row r="106" ht="21.95" customHeight="1" outlineLevel="1" s="1" customFormat="1">
      <c r="A106" s="15"/>
      <c r="B106" s="17">
        <v>5990</v>
      </c>
      <c r="C106" s="17">
        <v>5990</v>
      </c>
      <c r="D106" s="18" t="s">
        <v>434</v>
      </c>
      <c r="E106" s="18"/>
      <c r="F106" s="18" t="s">
        <v>435</v>
      </c>
      <c r="G106" s="18" t="s">
        <v>436</v>
      </c>
      <c r="H106" s="18" t="s">
        <v>95</v>
      </c>
      <c r="I106" s="18" t="s">
        <v>419</v>
      </c>
      <c r="J106" s="16">
        <v>2023</v>
      </c>
      <c r="K106" s="18" t="s">
        <v>434</v>
      </c>
      <c r="L106" s="16">
        <v>9785206002102</v>
      </c>
      <c r="M106" s="18" t="s">
        <v>437</v>
      </c>
      <c r="N106" s="16">
        <v>392</v>
      </c>
      <c r="O106" s="19">
        <v>0.61</v>
      </c>
      <c r="P106" s="16">
        <v>146</v>
      </c>
      <c r="Q106" s="16">
        <v>216</v>
      </c>
      <c r="R106" s="16">
        <v>1</v>
      </c>
      <c r="S106" s="18" t="s">
        <v>43</v>
      </c>
      <c r="T106" s="18" t="s">
        <v>421</v>
      </c>
      <c r="U106" s="17">
        <v>3500</v>
      </c>
      <c r="V106" s="18" t="s">
        <v>77</v>
      </c>
      <c r="W106" s="18" t="s">
        <v>69</v>
      </c>
      <c r="X106" s="16">
        <v>22</v>
      </c>
      <c r="Y106" s="43" t="str">
        <f>HYPERLINK("","")</f>
      </c>
      <c r="Z106" s="18"/>
      <c r="AS106" s="1">
        <f>IF($A106&lt;&gt;0,1,0)</f>
        <v>0</v>
      </c>
      <c r="AT106" s="1">
        <f>$A106*$B106</f>
        <v>0</v>
      </c>
      <c r="AU106" s="1">
        <f>$A106*$O106</f>
        <v>0</v>
      </c>
      <c r="AV106" s="1">
        <f>IF($R106=0,0,INT($A106/$R106))</f>
        <v>0</v>
      </c>
      <c r="AW106" s="1">
        <f>$A106-$AV106*$R106</f>
        <v>0</v>
      </c>
    </row>
    <row r="107" ht="21.95" customHeight="1" outlineLevel="1" s="1" customFormat="1">
      <c r="A107" s="15"/>
      <c r="B107" s="17">
        <v>5990</v>
      </c>
      <c r="C107" s="17">
        <v>5990</v>
      </c>
      <c r="D107" s="18" t="s">
        <v>438</v>
      </c>
      <c r="E107" s="18"/>
      <c r="F107" s="18" t="s">
        <v>439</v>
      </c>
      <c r="G107" s="18" t="s">
        <v>440</v>
      </c>
      <c r="H107" s="18" t="s">
        <v>95</v>
      </c>
      <c r="I107" s="18" t="s">
        <v>419</v>
      </c>
      <c r="J107" s="16">
        <v>2023</v>
      </c>
      <c r="K107" s="18" t="s">
        <v>438</v>
      </c>
      <c r="L107" s="16">
        <v>9785206002553</v>
      </c>
      <c r="M107" s="18" t="s">
        <v>441</v>
      </c>
      <c r="N107" s="16">
        <v>205</v>
      </c>
      <c r="O107" s="19">
        <v>0.37</v>
      </c>
      <c r="P107" s="16">
        <v>146</v>
      </c>
      <c r="Q107" s="16">
        <v>216</v>
      </c>
      <c r="R107" s="16">
        <v>1</v>
      </c>
      <c r="S107" s="18" t="s">
        <v>43</v>
      </c>
      <c r="T107" s="18" t="s">
        <v>421</v>
      </c>
      <c r="U107" s="17">
        <v>3500</v>
      </c>
      <c r="V107" s="18" t="s">
        <v>77</v>
      </c>
      <c r="W107" s="18" t="s">
        <v>91</v>
      </c>
      <c r="X107" s="16">
        <v>22</v>
      </c>
      <c r="Y107" s="43" t="str">
        <f>HYPERLINK("","")</f>
      </c>
      <c r="Z107" s="18"/>
      <c r="AS107" s="1">
        <f>IF($A107&lt;&gt;0,1,0)</f>
        <v>0</v>
      </c>
      <c r="AT107" s="1">
        <f>$A107*$B107</f>
        <v>0</v>
      </c>
      <c r="AU107" s="1">
        <f>$A107*$O107</f>
        <v>0</v>
      </c>
      <c r="AV107" s="1">
        <f>IF($R107=0,0,INT($A107/$R107))</f>
        <v>0</v>
      </c>
      <c r="AW107" s="1">
        <f>$A107-$AV107*$R107</f>
        <v>0</v>
      </c>
    </row>
    <row r="108" ht="21.95" customHeight="1" outlineLevel="1" s="1" customFormat="1">
      <c r="A108" s="15"/>
      <c r="B108" s="16">
        <v>540</v>
      </c>
      <c r="C108" s="16">
        <v>837</v>
      </c>
      <c r="D108" s="16">
        <v>12390</v>
      </c>
      <c r="E108" s="18"/>
      <c r="F108" s="18" t="s">
        <v>442</v>
      </c>
      <c r="G108" s="18" t="s">
        <v>443</v>
      </c>
      <c r="H108" s="18" t="s">
        <v>86</v>
      </c>
      <c r="I108" s="18" t="s">
        <v>74</v>
      </c>
      <c r="J108" s="16">
        <v>2026</v>
      </c>
      <c r="K108" s="18" t="s">
        <v>444</v>
      </c>
      <c r="L108" s="16">
        <v>9785961425253</v>
      </c>
      <c r="M108" s="18" t="s">
        <v>445</v>
      </c>
      <c r="N108" s="16">
        <v>352</v>
      </c>
      <c r="O108" s="19">
        <v>0.51</v>
      </c>
      <c r="P108" s="16">
        <v>140</v>
      </c>
      <c r="Q108" s="16">
        <v>220</v>
      </c>
      <c r="R108" s="16">
        <v>10</v>
      </c>
      <c r="S108" s="18" t="s">
        <v>43</v>
      </c>
      <c r="T108" s="18" t="s">
        <v>446</v>
      </c>
      <c r="U108" s="17">
        <v>10000</v>
      </c>
      <c r="V108" s="18" t="s">
        <v>77</v>
      </c>
      <c r="W108" s="18" t="s">
        <v>69</v>
      </c>
      <c r="X108" s="16">
        <v>10</v>
      </c>
      <c r="Y108" s="43" t="str">
        <f>HYPERLINK("","")</f>
      </c>
      <c r="Z108" s="18" t="s">
        <v>211</v>
      </c>
      <c r="AS108" s="1">
        <f>IF($A108&lt;&gt;0,1,0)</f>
        <v>0</v>
      </c>
      <c r="AT108" s="1">
        <f>$A108*$B108</f>
        <v>0</v>
      </c>
      <c r="AU108" s="1">
        <f>$A108*$O108</f>
        <v>0</v>
      </c>
      <c r="AV108" s="1">
        <f>IF($R108=0,0,INT($A108/$R108))</f>
        <v>0</v>
      </c>
      <c r="AW108" s="1">
        <f>$A108-$AV108*$R108</f>
        <v>0</v>
      </c>
    </row>
    <row r="109" ht="24.95" customHeight="1" outlineLevel="1" s="1" customFormat="1">
      <c r="A109" s="15"/>
      <c r="B109" s="16">
        <v>340</v>
      </c>
      <c r="C109" s="16">
        <v>544</v>
      </c>
      <c r="D109" s="16">
        <v>12081</v>
      </c>
      <c r="E109" s="18"/>
      <c r="F109" s="18" t="s">
        <v>447</v>
      </c>
      <c r="G109" s="18" t="s">
        <v>448</v>
      </c>
      <c r="H109" s="18" t="s">
        <v>86</v>
      </c>
      <c r="I109" s="18" t="s">
        <v>74</v>
      </c>
      <c r="J109" s="16">
        <v>2026</v>
      </c>
      <c r="K109" s="18" t="s">
        <v>449</v>
      </c>
      <c r="L109" s="16">
        <v>9785961421330</v>
      </c>
      <c r="M109" s="18" t="s">
        <v>450</v>
      </c>
      <c r="N109" s="16">
        <v>243</v>
      </c>
      <c r="O109" s="19">
        <v>0.17</v>
      </c>
      <c r="P109" s="16">
        <v>120</v>
      </c>
      <c r="Q109" s="16">
        <v>170</v>
      </c>
      <c r="R109" s="16">
        <v>14</v>
      </c>
      <c r="S109" s="18" t="s">
        <v>190</v>
      </c>
      <c r="T109" s="18" t="s">
        <v>451</v>
      </c>
      <c r="U109" s="17">
        <v>4000</v>
      </c>
      <c r="V109" s="18" t="s">
        <v>44</v>
      </c>
      <c r="W109" s="18" t="s">
        <v>184</v>
      </c>
      <c r="X109" s="16">
        <v>10</v>
      </c>
      <c r="Y109" s="43" t="str">
        <f>HYPERLINK("https://api-enni.alpina.ru/FilePrivilegesApproval/121","https://api-enni.alpina.ru/FilePrivilegesApproval/121")</f>
        <v>https://api-enni.alpina.ru/FilePrivilegesApproval/121</v>
      </c>
      <c r="Z109" s="18"/>
      <c r="AS109" s="1">
        <f>IF($A109&lt;&gt;0,1,0)</f>
        <v>0</v>
      </c>
      <c r="AT109" s="1">
        <f>$A109*$B109</f>
        <v>0</v>
      </c>
      <c r="AU109" s="1">
        <f>$A109*$O109</f>
        <v>0</v>
      </c>
      <c r="AV109" s="1">
        <f>IF($R109=0,0,INT($A109/$R109))</f>
        <v>0</v>
      </c>
      <c r="AW109" s="1">
        <f>$A109-$AV109*$R109</f>
        <v>0</v>
      </c>
    </row>
    <row r="110" ht="21.95" customHeight="1" outlineLevel="1" s="1" customFormat="1">
      <c r="A110" s="15"/>
      <c r="B110" s="16">
        <v>854</v>
      </c>
      <c r="C110" s="17">
        <v>1196</v>
      </c>
      <c r="D110" s="16">
        <v>18980</v>
      </c>
      <c r="E110" s="18"/>
      <c r="F110" s="18" t="s">
        <v>452</v>
      </c>
      <c r="G110" s="18" t="s">
        <v>453</v>
      </c>
      <c r="H110" s="18" t="s">
        <v>86</v>
      </c>
      <c r="I110" s="18" t="s">
        <v>87</v>
      </c>
      <c r="J110" s="16">
        <v>2024</v>
      </c>
      <c r="K110" s="18" t="s">
        <v>454</v>
      </c>
      <c r="L110" s="16">
        <v>9785961472929</v>
      </c>
      <c r="M110" s="18" t="s">
        <v>455</v>
      </c>
      <c r="N110" s="16">
        <v>304</v>
      </c>
      <c r="O110" s="19">
        <v>0.54</v>
      </c>
      <c r="P110" s="16">
        <v>150</v>
      </c>
      <c r="Q110" s="16">
        <v>220</v>
      </c>
      <c r="R110" s="16">
        <v>20</v>
      </c>
      <c r="S110" s="18" t="s">
        <v>43</v>
      </c>
      <c r="T110" s="18" t="s">
        <v>53</v>
      </c>
      <c r="U110" s="17">
        <v>24000</v>
      </c>
      <c r="V110" s="18" t="s">
        <v>54</v>
      </c>
      <c r="W110" s="18" t="s">
        <v>55</v>
      </c>
      <c r="X110" s="16">
        <v>22</v>
      </c>
      <c r="Y110" s="43" t="str">
        <f>HYPERLINK("","")</f>
      </c>
      <c r="Z110" s="18"/>
      <c r="AS110" s="1">
        <f>IF($A110&lt;&gt;0,1,0)</f>
        <v>0</v>
      </c>
      <c r="AT110" s="1">
        <f>$A110*$B110</f>
        <v>0</v>
      </c>
      <c r="AU110" s="1">
        <f>$A110*$O110</f>
        <v>0</v>
      </c>
      <c r="AV110" s="1">
        <f>IF($R110=0,0,INT($A110/$R110))</f>
        <v>0</v>
      </c>
      <c r="AW110" s="1">
        <f>$A110-$AV110*$R110</f>
        <v>0</v>
      </c>
    </row>
    <row r="111" ht="24.95" customHeight="1" outlineLevel="1" s="1" customFormat="1">
      <c r="A111" s="15"/>
      <c r="B111" s="16">
        <v>990</v>
      </c>
      <c r="C111" s="17">
        <v>1386</v>
      </c>
      <c r="D111" s="16">
        <v>30547</v>
      </c>
      <c r="E111" s="18"/>
      <c r="F111" s="18" t="s">
        <v>452</v>
      </c>
      <c r="G111" s="18" t="s">
        <v>456</v>
      </c>
      <c r="H111" s="18" t="s">
        <v>49</v>
      </c>
      <c r="I111" s="18" t="s">
        <v>87</v>
      </c>
      <c r="J111" s="16">
        <v>2026</v>
      </c>
      <c r="K111" s="18" t="s">
        <v>457</v>
      </c>
      <c r="L111" s="16">
        <v>9785961495836</v>
      </c>
      <c r="M111" s="18" t="s">
        <v>458</v>
      </c>
      <c r="N111" s="16">
        <v>200</v>
      </c>
      <c r="O111" s="19">
        <v>0.4</v>
      </c>
      <c r="P111" s="16">
        <v>150</v>
      </c>
      <c r="Q111" s="16">
        <v>200</v>
      </c>
      <c r="R111" s="16">
        <v>20</v>
      </c>
      <c r="S111" s="18" t="s">
        <v>52</v>
      </c>
      <c r="T111" s="18" t="s">
        <v>53</v>
      </c>
      <c r="U111" s="17">
        <v>4000</v>
      </c>
      <c r="V111" s="18" t="s">
        <v>54</v>
      </c>
      <c r="W111" s="18" t="s">
        <v>55</v>
      </c>
      <c r="X111" s="16">
        <v>10</v>
      </c>
      <c r="Y111" s="18" t="s">
        <v>459</v>
      </c>
      <c r="Z111" s="18" t="s">
        <v>56</v>
      </c>
      <c r="AS111" s="1">
        <f>IF($A111&lt;&gt;0,1,0)</f>
        <v>0</v>
      </c>
      <c r="AT111" s="1">
        <f>$A111*$B111</f>
        <v>0</v>
      </c>
      <c r="AU111" s="1">
        <f>$A111*$O111</f>
        <v>0</v>
      </c>
      <c r="AV111" s="1">
        <f>IF($R111=0,0,INT($A111/$R111))</f>
        <v>0</v>
      </c>
      <c r="AW111" s="1">
        <f>$A111-$AV111*$R111</f>
        <v>0</v>
      </c>
    </row>
    <row r="112" ht="24.95" customHeight="1" outlineLevel="1" s="1" customFormat="1">
      <c r="A112" s="15"/>
      <c r="B112" s="16">
        <v>990</v>
      </c>
      <c r="C112" s="17">
        <v>1386</v>
      </c>
      <c r="D112" s="16">
        <v>33830</v>
      </c>
      <c r="E112" s="18"/>
      <c r="F112" s="18" t="s">
        <v>452</v>
      </c>
      <c r="G112" s="18" t="s">
        <v>460</v>
      </c>
      <c r="H112" s="18" t="s">
        <v>49</v>
      </c>
      <c r="I112" s="18" t="s">
        <v>87</v>
      </c>
      <c r="J112" s="16">
        <v>2025</v>
      </c>
      <c r="K112" s="18" t="s">
        <v>461</v>
      </c>
      <c r="L112" s="16">
        <v>9785006305632</v>
      </c>
      <c r="M112" s="18" t="s">
        <v>462</v>
      </c>
      <c r="N112" s="16">
        <v>200</v>
      </c>
      <c r="O112" s="19">
        <v>0.4</v>
      </c>
      <c r="P112" s="16">
        <v>160</v>
      </c>
      <c r="Q112" s="16">
        <v>200</v>
      </c>
      <c r="R112" s="16">
        <v>20</v>
      </c>
      <c r="S112" s="18" t="s">
        <v>52</v>
      </c>
      <c r="T112" s="18" t="s">
        <v>53</v>
      </c>
      <c r="U112" s="17">
        <v>5000</v>
      </c>
      <c r="V112" s="18" t="s">
        <v>54</v>
      </c>
      <c r="W112" s="18" t="s">
        <v>55</v>
      </c>
      <c r="X112" s="16">
        <v>10</v>
      </c>
      <c r="Y112" s="18" t="s">
        <v>459</v>
      </c>
      <c r="Z112" s="18"/>
      <c r="AS112" s="1">
        <f>IF($A112&lt;&gt;0,1,0)</f>
        <v>0</v>
      </c>
      <c r="AT112" s="1">
        <f>$A112*$B112</f>
        <v>0</v>
      </c>
      <c r="AU112" s="1">
        <f>$A112*$O112</f>
        <v>0</v>
      </c>
      <c r="AV112" s="1">
        <f>IF($R112=0,0,INT($A112/$R112))</f>
        <v>0</v>
      </c>
      <c r="AW112" s="1">
        <f>$A112-$AV112*$R112</f>
        <v>0</v>
      </c>
    </row>
    <row r="113" ht="21.95" customHeight="1" outlineLevel="1" s="1" customFormat="1">
      <c r="A113" s="15"/>
      <c r="B113" s="16">
        <v>740</v>
      </c>
      <c r="C113" s="17">
        <v>1073</v>
      </c>
      <c r="D113" s="16">
        <v>25509</v>
      </c>
      <c r="E113" s="18"/>
      <c r="F113" s="18" t="s">
        <v>452</v>
      </c>
      <c r="G113" s="18" t="s">
        <v>463</v>
      </c>
      <c r="H113" s="18" t="s">
        <v>86</v>
      </c>
      <c r="I113" s="18" t="s">
        <v>87</v>
      </c>
      <c r="J113" s="16">
        <v>2026</v>
      </c>
      <c r="K113" s="18" t="s">
        <v>464</v>
      </c>
      <c r="L113" s="16">
        <v>9785961483888</v>
      </c>
      <c r="M113" s="18" t="s">
        <v>465</v>
      </c>
      <c r="N113" s="16">
        <v>296</v>
      </c>
      <c r="O113" s="19">
        <v>0.47</v>
      </c>
      <c r="P113" s="16">
        <v>150</v>
      </c>
      <c r="Q113" s="16">
        <v>220</v>
      </c>
      <c r="R113" s="16">
        <v>7</v>
      </c>
      <c r="S113" s="18" t="s">
        <v>43</v>
      </c>
      <c r="T113" s="18" t="s">
        <v>53</v>
      </c>
      <c r="U113" s="17">
        <v>5000</v>
      </c>
      <c r="V113" s="18" t="s">
        <v>54</v>
      </c>
      <c r="W113" s="18" t="s">
        <v>55</v>
      </c>
      <c r="X113" s="16">
        <v>22</v>
      </c>
      <c r="Y113" s="43" t="str">
        <f>HYPERLINK("","")</f>
      </c>
      <c r="Z113" s="18" t="s">
        <v>108</v>
      </c>
      <c r="AS113" s="1">
        <f>IF($A113&lt;&gt;0,1,0)</f>
        <v>0</v>
      </c>
      <c r="AT113" s="1">
        <f>$A113*$B113</f>
        <v>0</v>
      </c>
      <c r="AU113" s="1">
        <f>$A113*$O113</f>
        <v>0</v>
      </c>
      <c r="AV113" s="1">
        <f>IF($R113=0,0,INT($A113/$R113))</f>
        <v>0</v>
      </c>
      <c r="AW113" s="1">
        <f>$A113-$AV113*$R113</f>
        <v>0</v>
      </c>
    </row>
    <row r="114" ht="21.95" customHeight="1" outlineLevel="1" s="1" customFormat="1">
      <c r="A114" s="15"/>
      <c r="B114" s="16">
        <v>854</v>
      </c>
      <c r="C114" s="17">
        <v>1196</v>
      </c>
      <c r="D114" s="16">
        <v>18111</v>
      </c>
      <c r="E114" s="18"/>
      <c r="F114" s="18" t="s">
        <v>452</v>
      </c>
      <c r="G114" s="18" t="s">
        <v>466</v>
      </c>
      <c r="H114" s="18" t="s">
        <v>86</v>
      </c>
      <c r="I114" s="18" t="s">
        <v>87</v>
      </c>
      <c r="J114" s="16">
        <v>2025</v>
      </c>
      <c r="K114" s="18" t="s">
        <v>467</v>
      </c>
      <c r="L114" s="16">
        <v>9785961433265</v>
      </c>
      <c r="M114" s="18" t="s">
        <v>468</v>
      </c>
      <c r="N114" s="16">
        <v>286</v>
      </c>
      <c r="O114" s="19">
        <v>0.52</v>
      </c>
      <c r="P114" s="16">
        <v>150</v>
      </c>
      <c r="Q114" s="16">
        <v>215</v>
      </c>
      <c r="R114" s="16">
        <v>20</v>
      </c>
      <c r="S114" s="18" t="s">
        <v>43</v>
      </c>
      <c r="T114" s="18" t="s">
        <v>53</v>
      </c>
      <c r="U114" s="17">
        <v>20000</v>
      </c>
      <c r="V114" s="18" t="s">
        <v>54</v>
      </c>
      <c r="W114" s="18" t="s">
        <v>55</v>
      </c>
      <c r="X114" s="16">
        <v>22</v>
      </c>
      <c r="Y114" s="43" t="str">
        <f>HYPERLINK("","")</f>
      </c>
      <c r="Z114" s="18"/>
      <c r="AS114" s="1">
        <f>IF($A114&lt;&gt;0,1,0)</f>
        <v>0</v>
      </c>
      <c r="AT114" s="1">
        <f>$A114*$B114</f>
        <v>0</v>
      </c>
      <c r="AU114" s="1">
        <f>$A114*$O114</f>
        <v>0</v>
      </c>
      <c r="AV114" s="1">
        <f>IF($R114=0,0,INT($A114/$R114))</f>
        <v>0</v>
      </c>
      <c r="AW114" s="1">
        <f>$A114-$AV114*$R114</f>
        <v>0</v>
      </c>
    </row>
    <row r="115" ht="21.95" customHeight="1" outlineLevel="1" s="1" customFormat="1">
      <c r="A115" s="15"/>
      <c r="B115" s="16">
        <v>690</v>
      </c>
      <c r="C115" s="17">
        <v>1035</v>
      </c>
      <c r="D115" s="16">
        <v>24423</v>
      </c>
      <c r="E115" s="18"/>
      <c r="F115" s="18" t="s">
        <v>469</v>
      </c>
      <c r="G115" s="18" t="s">
        <v>470</v>
      </c>
      <c r="H115" s="18" t="s">
        <v>95</v>
      </c>
      <c r="I115" s="18" t="s">
        <v>74</v>
      </c>
      <c r="J115" s="16">
        <v>2024</v>
      </c>
      <c r="K115" s="18" t="s">
        <v>471</v>
      </c>
      <c r="L115" s="16">
        <v>9785907470767</v>
      </c>
      <c r="M115" s="18" t="s">
        <v>472</v>
      </c>
      <c r="N115" s="16">
        <v>122</v>
      </c>
      <c r="O115" s="19">
        <v>0.21</v>
      </c>
      <c r="P115" s="16">
        <v>133</v>
      </c>
      <c r="Q115" s="16">
        <v>206</v>
      </c>
      <c r="R115" s="16">
        <v>10</v>
      </c>
      <c r="S115" s="18" t="s">
        <v>90</v>
      </c>
      <c r="T115" s="18"/>
      <c r="U115" s="17">
        <v>1000</v>
      </c>
      <c r="V115" s="18" t="s">
        <v>77</v>
      </c>
      <c r="W115" s="18" t="s">
        <v>184</v>
      </c>
      <c r="X115" s="16">
        <v>10</v>
      </c>
      <c r="Y115" s="43" t="str">
        <f>HYPERLINK("","")</f>
      </c>
      <c r="Z115" s="18" t="s">
        <v>46</v>
      </c>
      <c r="AS115" s="1">
        <f>IF($A115&lt;&gt;0,1,0)</f>
        <v>0</v>
      </c>
      <c r="AT115" s="1">
        <f>$A115*$B115</f>
        <v>0</v>
      </c>
      <c r="AU115" s="1">
        <f>$A115*$O115</f>
        <v>0</v>
      </c>
      <c r="AV115" s="1">
        <f>IF($R115=0,0,INT($A115/$R115))</f>
        <v>0</v>
      </c>
      <c r="AW115" s="1">
        <f>$A115-$AV115*$R115</f>
        <v>0</v>
      </c>
    </row>
    <row r="116" ht="24.95" customHeight="1" outlineLevel="1" s="1" customFormat="1">
      <c r="A116" s="15"/>
      <c r="B116" s="16">
        <v>690</v>
      </c>
      <c r="C116" s="17">
        <v>1035</v>
      </c>
      <c r="D116" s="16">
        <v>31181</v>
      </c>
      <c r="E116" s="18"/>
      <c r="F116" s="18" t="s">
        <v>256</v>
      </c>
      <c r="G116" s="18" t="s">
        <v>473</v>
      </c>
      <c r="H116" s="18" t="s">
        <v>86</v>
      </c>
      <c r="I116" s="18"/>
      <c r="J116" s="16">
        <v>2025</v>
      </c>
      <c r="K116" s="18" t="s">
        <v>474</v>
      </c>
      <c r="L116" s="16">
        <v>9785961497823</v>
      </c>
      <c r="M116" s="18" t="s">
        <v>475</v>
      </c>
      <c r="N116" s="16">
        <v>308</v>
      </c>
      <c r="O116" s="19">
        <v>0.4</v>
      </c>
      <c r="P116" s="16">
        <v>150</v>
      </c>
      <c r="Q116" s="16">
        <v>210</v>
      </c>
      <c r="R116" s="16">
        <v>16</v>
      </c>
      <c r="S116" s="18" t="s">
        <v>43</v>
      </c>
      <c r="T116" s="18"/>
      <c r="U116" s="17">
        <v>10000</v>
      </c>
      <c r="V116" s="18" t="s">
        <v>44</v>
      </c>
      <c r="W116" s="18" t="s">
        <v>91</v>
      </c>
      <c r="X116" s="16">
        <v>10</v>
      </c>
      <c r="Y116" s="43" t="str">
        <f>HYPERLINK("https://api-enni.alpina.ru/FilePrivilegesApproval/571","https://api-enni.alpina.ru/FilePrivilegesApproval/571")</f>
        <v>https://api-enni.alpina.ru/FilePrivilegesApproval/571</v>
      </c>
      <c r="Z116" s="18"/>
      <c r="AS116" s="1">
        <f>IF($A116&lt;&gt;0,1,0)</f>
        <v>0</v>
      </c>
      <c r="AT116" s="1">
        <f>$A116*$B116</f>
        <v>0</v>
      </c>
      <c r="AU116" s="1">
        <f>$A116*$O116</f>
        <v>0</v>
      </c>
      <c r="AV116" s="1">
        <f>IF($R116=0,0,INT($A116/$R116))</f>
        <v>0</v>
      </c>
      <c r="AW116" s="1">
        <f>$A116-$AV116*$R116</f>
        <v>0</v>
      </c>
    </row>
    <row r="117" ht="24.95" customHeight="1" outlineLevel="1" s="1" customFormat="1">
      <c r="A117" s="15"/>
      <c r="B117" s="16">
        <v>590</v>
      </c>
      <c r="C117" s="16">
        <v>885</v>
      </c>
      <c r="D117" s="16">
        <v>5960</v>
      </c>
      <c r="E117" s="18"/>
      <c r="F117" s="18" t="s">
        <v>476</v>
      </c>
      <c r="G117" s="18" t="s">
        <v>477</v>
      </c>
      <c r="H117" s="18" t="s">
        <v>95</v>
      </c>
      <c r="I117" s="18"/>
      <c r="J117" s="16">
        <v>2025</v>
      </c>
      <c r="K117" s="18" t="s">
        <v>478</v>
      </c>
      <c r="L117" s="16">
        <v>9785907274525</v>
      </c>
      <c r="M117" s="18" t="s">
        <v>479</v>
      </c>
      <c r="N117" s="16">
        <v>182</v>
      </c>
      <c r="O117" s="19">
        <v>0.3</v>
      </c>
      <c r="P117" s="16">
        <v>170</v>
      </c>
      <c r="Q117" s="16">
        <v>240</v>
      </c>
      <c r="R117" s="16">
        <v>20</v>
      </c>
      <c r="S117" s="18" t="s">
        <v>123</v>
      </c>
      <c r="T117" s="18"/>
      <c r="U117" s="17">
        <v>1000</v>
      </c>
      <c r="V117" s="18" t="s">
        <v>44</v>
      </c>
      <c r="W117" s="18" t="s">
        <v>184</v>
      </c>
      <c r="X117" s="16">
        <v>10</v>
      </c>
      <c r="Y117" s="43" t="str">
        <f>HYPERLINK("https://api-enni.alpina.ru/FilePrivilegesApproval/142","https://api-enni.alpina.ru/FilePrivilegesApproval/142")</f>
        <v>https://api-enni.alpina.ru/FilePrivilegesApproval/142</v>
      </c>
      <c r="Z117" s="18" t="s">
        <v>46</v>
      </c>
      <c r="AS117" s="1">
        <f>IF($A117&lt;&gt;0,1,0)</f>
        <v>0</v>
      </c>
      <c r="AT117" s="1">
        <f>$A117*$B117</f>
        <v>0</v>
      </c>
      <c r="AU117" s="1">
        <f>$A117*$O117</f>
        <v>0</v>
      </c>
      <c r="AV117" s="1">
        <f>IF($R117=0,0,INT($A117/$R117))</f>
        <v>0</v>
      </c>
      <c r="AW117" s="1">
        <f>$A117-$AV117*$R117</f>
        <v>0</v>
      </c>
    </row>
    <row r="118" ht="24.95" customHeight="1" outlineLevel="1" s="1" customFormat="1">
      <c r="A118" s="15"/>
      <c r="B118" s="16">
        <v>490</v>
      </c>
      <c r="C118" s="16">
        <v>760</v>
      </c>
      <c r="D118" s="16">
        <v>9117</v>
      </c>
      <c r="E118" s="18"/>
      <c r="F118" s="18" t="s">
        <v>480</v>
      </c>
      <c r="G118" s="18" t="s">
        <v>481</v>
      </c>
      <c r="H118" s="18" t="s">
        <v>95</v>
      </c>
      <c r="I118" s="18"/>
      <c r="J118" s="16">
        <v>2019</v>
      </c>
      <c r="K118" s="18" t="s">
        <v>482</v>
      </c>
      <c r="L118" s="16">
        <v>9785604231975</v>
      </c>
      <c r="M118" s="18" t="s">
        <v>483</v>
      </c>
      <c r="N118" s="16">
        <v>158</v>
      </c>
      <c r="O118" s="19">
        <v>0.41</v>
      </c>
      <c r="P118" s="16">
        <v>168</v>
      </c>
      <c r="Q118" s="16">
        <v>221</v>
      </c>
      <c r="R118" s="16">
        <v>10</v>
      </c>
      <c r="S118" s="18" t="s">
        <v>52</v>
      </c>
      <c r="T118" s="18"/>
      <c r="U118" s="17">
        <v>2000</v>
      </c>
      <c r="V118" s="18" t="s">
        <v>77</v>
      </c>
      <c r="W118" s="18" t="s">
        <v>91</v>
      </c>
      <c r="X118" s="16">
        <v>10</v>
      </c>
      <c r="Y118" s="43" t="str">
        <f>HYPERLINK("","")</f>
      </c>
      <c r="Z118" s="18"/>
      <c r="AS118" s="1">
        <f>IF($A118&lt;&gt;0,1,0)</f>
        <v>0</v>
      </c>
      <c r="AT118" s="1">
        <f>$A118*$B118</f>
        <v>0</v>
      </c>
      <c r="AU118" s="1">
        <f>$A118*$O118</f>
        <v>0</v>
      </c>
      <c r="AV118" s="1">
        <f>IF($R118=0,0,INT($A118/$R118))</f>
        <v>0</v>
      </c>
      <c r="AW118" s="1">
        <f>$A118-$AV118*$R118</f>
        <v>0</v>
      </c>
    </row>
    <row r="119" ht="24.95" customHeight="1" outlineLevel="1" s="1" customFormat="1">
      <c r="A119" s="15"/>
      <c r="B119" s="16">
        <v>590</v>
      </c>
      <c r="C119" s="16">
        <v>885</v>
      </c>
      <c r="D119" s="16">
        <v>26604</v>
      </c>
      <c r="E119" s="18"/>
      <c r="F119" s="18" t="s">
        <v>484</v>
      </c>
      <c r="G119" s="18" t="s">
        <v>485</v>
      </c>
      <c r="H119" s="18" t="s">
        <v>86</v>
      </c>
      <c r="I119" s="18"/>
      <c r="J119" s="16">
        <v>2025</v>
      </c>
      <c r="K119" s="18" t="s">
        <v>486</v>
      </c>
      <c r="L119" s="16">
        <v>9785961481426</v>
      </c>
      <c r="M119" s="18" t="s">
        <v>487</v>
      </c>
      <c r="N119" s="16">
        <v>318</v>
      </c>
      <c r="O119" s="19">
        <v>0.49</v>
      </c>
      <c r="P119" s="16">
        <v>150</v>
      </c>
      <c r="Q119" s="16">
        <v>220</v>
      </c>
      <c r="R119" s="16">
        <v>12</v>
      </c>
      <c r="S119" s="18" t="s">
        <v>43</v>
      </c>
      <c r="T119" s="18"/>
      <c r="U119" s="17">
        <v>5000</v>
      </c>
      <c r="V119" s="18" t="s">
        <v>77</v>
      </c>
      <c r="W119" s="18" t="s">
        <v>69</v>
      </c>
      <c r="X119" s="16">
        <v>10</v>
      </c>
      <c r="Y119" s="43" t="str">
        <f>HYPERLINK("https://api-enni.alpina.ru/FilePrivilegesApproval/376","https://api-enni.alpina.ru/FilePrivilegesApproval/376")</f>
        <v>https://api-enni.alpina.ru/FilePrivilegesApproval/376</v>
      </c>
      <c r="Z119" s="18"/>
      <c r="AS119" s="1">
        <f>IF($A119&lt;&gt;0,1,0)</f>
        <v>0</v>
      </c>
      <c r="AT119" s="1">
        <f>$A119*$B119</f>
        <v>0</v>
      </c>
      <c r="AU119" s="1">
        <f>$A119*$O119</f>
        <v>0</v>
      </c>
      <c r="AV119" s="1">
        <f>IF($R119=0,0,INT($A119/$R119))</f>
        <v>0</v>
      </c>
      <c r="AW119" s="1">
        <f>$A119-$AV119*$R119</f>
        <v>0</v>
      </c>
    </row>
    <row r="120" ht="24.95" customHeight="1" outlineLevel="1" s="1" customFormat="1">
      <c r="A120" s="15"/>
      <c r="B120" s="16">
        <v>390</v>
      </c>
      <c r="C120" s="16">
        <v>624</v>
      </c>
      <c r="D120" s="16">
        <v>33857</v>
      </c>
      <c r="E120" s="18"/>
      <c r="F120" s="18" t="s">
        <v>484</v>
      </c>
      <c r="G120" s="18" t="s">
        <v>488</v>
      </c>
      <c r="H120" s="18" t="s">
        <v>86</v>
      </c>
      <c r="I120" s="18"/>
      <c r="J120" s="16">
        <v>2025</v>
      </c>
      <c r="K120" s="18" t="s">
        <v>489</v>
      </c>
      <c r="L120" s="16">
        <v>9785006305793</v>
      </c>
      <c r="M120" s="18" t="s">
        <v>490</v>
      </c>
      <c r="N120" s="16">
        <v>368</v>
      </c>
      <c r="O120" s="19">
        <v>0.24</v>
      </c>
      <c r="P120" s="16">
        <v>120</v>
      </c>
      <c r="Q120" s="16">
        <v>170</v>
      </c>
      <c r="R120" s="16">
        <v>10</v>
      </c>
      <c r="S120" s="18" t="s">
        <v>190</v>
      </c>
      <c r="T120" s="18" t="s">
        <v>491</v>
      </c>
      <c r="U120" s="17">
        <v>5000</v>
      </c>
      <c r="V120" s="18" t="s">
        <v>44</v>
      </c>
      <c r="W120" s="18" t="s">
        <v>45</v>
      </c>
      <c r="X120" s="16">
        <v>10</v>
      </c>
      <c r="Y120" s="43" t="str">
        <f>HYPERLINK("https://api-enni.alpina.ru/FilePrivilegesApproval/883","https://api-enni.alpina.ru/FilePrivilegesApproval/883")</f>
        <v>https://api-enni.alpina.ru/FilePrivilegesApproval/883</v>
      </c>
      <c r="Z120" s="18"/>
      <c r="AS120" s="1">
        <f>IF($A120&lt;&gt;0,1,0)</f>
        <v>0</v>
      </c>
      <c r="AT120" s="1">
        <f>$A120*$B120</f>
        <v>0</v>
      </c>
      <c r="AU120" s="1">
        <f>$A120*$O120</f>
        <v>0</v>
      </c>
      <c r="AV120" s="1">
        <f>IF($R120=0,0,INT($A120/$R120))</f>
        <v>0</v>
      </c>
      <c r="AW120" s="1">
        <f>$A120-$AV120*$R120</f>
        <v>0</v>
      </c>
    </row>
    <row r="121" ht="21.95" customHeight="1" outlineLevel="1" s="1" customFormat="1">
      <c r="A121" s="15"/>
      <c r="B121" s="16">
        <v>600</v>
      </c>
      <c r="C121" s="16">
        <v>900</v>
      </c>
      <c r="D121" s="16">
        <v>28115</v>
      </c>
      <c r="E121" s="18"/>
      <c r="F121" s="18" t="s">
        <v>492</v>
      </c>
      <c r="G121" s="18" t="s">
        <v>493</v>
      </c>
      <c r="H121" s="18" t="s">
        <v>171</v>
      </c>
      <c r="I121" s="18"/>
      <c r="J121" s="16">
        <v>2024</v>
      </c>
      <c r="K121" s="18" t="s">
        <v>494</v>
      </c>
      <c r="L121" s="16">
        <v>9785002230754</v>
      </c>
      <c r="M121" s="18" t="s">
        <v>495</v>
      </c>
      <c r="N121" s="16">
        <v>352</v>
      </c>
      <c r="O121" s="19">
        <v>0.43</v>
      </c>
      <c r="P121" s="16">
        <v>140</v>
      </c>
      <c r="Q121" s="16">
        <v>210</v>
      </c>
      <c r="R121" s="16">
        <v>12</v>
      </c>
      <c r="S121" s="18" t="s">
        <v>90</v>
      </c>
      <c r="T121" s="18"/>
      <c r="U121" s="17">
        <v>2000</v>
      </c>
      <c r="V121" s="18" t="s">
        <v>77</v>
      </c>
      <c r="W121" s="18" t="s">
        <v>45</v>
      </c>
      <c r="X121" s="16">
        <v>22</v>
      </c>
      <c r="Y121" s="43" t="str">
        <f>HYPERLINK("","")</f>
      </c>
      <c r="Z121" s="18"/>
      <c r="AS121" s="1">
        <f>IF($A121&lt;&gt;0,1,0)</f>
        <v>0</v>
      </c>
      <c r="AT121" s="1">
        <f>$A121*$B121</f>
        <v>0</v>
      </c>
      <c r="AU121" s="1">
        <f>$A121*$O121</f>
        <v>0</v>
      </c>
      <c r="AV121" s="1">
        <f>IF($R121=0,0,INT($A121/$R121))</f>
        <v>0</v>
      </c>
      <c r="AW121" s="1">
        <f>$A121-$AV121*$R121</f>
        <v>0</v>
      </c>
    </row>
    <row r="122" ht="24.95" customHeight="1" outlineLevel="1" s="1" customFormat="1">
      <c r="A122" s="15"/>
      <c r="B122" s="17">
        <v>1390</v>
      </c>
      <c r="C122" s="17">
        <v>1876</v>
      </c>
      <c r="D122" s="16">
        <v>1350</v>
      </c>
      <c r="E122" s="18"/>
      <c r="F122" s="18" t="s">
        <v>496</v>
      </c>
      <c r="G122" s="18" t="s">
        <v>497</v>
      </c>
      <c r="H122" s="18" t="s">
        <v>86</v>
      </c>
      <c r="I122" s="18" t="s">
        <v>74</v>
      </c>
      <c r="J122" s="16">
        <v>2025</v>
      </c>
      <c r="K122" s="18" t="s">
        <v>498</v>
      </c>
      <c r="L122" s="16">
        <v>9785961467420</v>
      </c>
      <c r="M122" s="18" t="s">
        <v>499</v>
      </c>
      <c r="N122" s="17">
        <v>1408</v>
      </c>
      <c r="O122" s="19">
        <v>1.58</v>
      </c>
      <c r="P122" s="16">
        <v>150</v>
      </c>
      <c r="Q122" s="16">
        <v>220</v>
      </c>
      <c r="R122" s="16">
        <v>2</v>
      </c>
      <c r="S122" s="18" t="s">
        <v>43</v>
      </c>
      <c r="T122" s="18"/>
      <c r="U122" s="17">
        <v>20000</v>
      </c>
      <c r="V122" s="18" t="s">
        <v>77</v>
      </c>
      <c r="W122" s="18" t="s">
        <v>69</v>
      </c>
      <c r="X122" s="16">
        <v>10</v>
      </c>
      <c r="Y122" s="43" t="str">
        <f>HYPERLINK("https://api-enni.alpina.ru/FilePrivilegesApproval/156","https://api-enni.alpina.ru/FilePrivilegesApproval/156")</f>
        <v>https://api-enni.alpina.ru/FilePrivilegesApproval/156</v>
      </c>
      <c r="Z122" s="18"/>
      <c r="AS122" s="1">
        <f>IF($A122&lt;&gt;0,1,0)</f>
        <v>0</v>
      </c>
      <c r="AT122" s="1">
        <f>$A122*$B122</f>
        <v>0</v>
      </c>
      <c r="AU122" s="1">
        <f>$A122*$O122</f>
        <v>0</v>
      </c>
      <c r="AV122" s="1">
        <f>IF($R122=0,0,INT($A122/$R122))</f>
        <v>0</v>
      </c>
      <c r="AW122" s="1">
        <f>$A122-$AV122*$R122</f>
        <v>0</v>
      </c>
    </row>
    <row r="123" ht="21.95" customHeight="1" outlineLevel="1" s="1" customFormat="1">
      <c r="A123" s="15"/>
      <c r="B123" s="16">
        <v>905</v>
      </c>
      <c r="C123" s="17">
        <v>1267</v>
      </c>
      <c r="D123" s="16">
        <v>35492</v>
      </c>
      <c r="E123" s="18"/>
      <c r="F123" s="18" t="s">
        <v>500</v>
      </c>
      <c r="G123" s="18" t="s">
        <v>501</v>
      </c>
      <c r="H123" s="18" t="s">
        <v>49</v>
      </c>
      <c r="I123" s="18" t="s">
        <v>74</v>
      </c>
      <c r="J123" s="16">
        <v>2026</v>
      </c>
      <c r="K123" s="18" t="s">
        <v>502</v>
      </c>
      <c r="L123" s="16">
        <v>9785006312227</v>
      </c>
      <c r="M123" s="18" t="s">
        <v>503</v>
      </c>
      <c r="N123" s="16">
        <v>112</v>
      </c>
      <c r="O123" s="19">
        <v>0.34</v>
      </c>
      <c r="P123" s="16">
        <v>160</v>
      </c>
      <c r="Q123" s="16">
        <v>240</v>
      </c>
      <c r="R123" s="16">
        <v>16</v>
      </c>
      <c r="S123" s="18" t="s">
        <v>43</v>
      </c>
      <c r="T123" s="18" t="s">
        <v>504</v>
      </c>
      <c r="U123" s="17">
        <v>5000</v>
      </c>
      <c r="V123" s="18" t="s">
        <v>54</v>
      </c>
      <c r="W123" s="18" t="s">
        <v>55</v>
      </c>
      <c r="X123" s="16">
        <v>22</v>
      </c>
      <c r="Y123" s="43" t="str">
        <f>HYPERLINK("","")</f>
      </c>
      <c r="Z123" s="18" t="s">
        <v>505</v>
      </c>
      <c r="AS123" s="1">
        <f>IF($A123&lt;&gt;0,1,0)</f>
        <v>0</v>
      </c>
      <c r="AT123" s="1">
        <f>$A123*$B123</f>
        <v>0</v>
      </c>
      <c r="AU123" s="1">
        <f>$A123*$O123</f>
        <v>0</v>
      </c>
      <c r="AV123" s="1">
        <f>IF($R123=0,0,INT($A123/$R123))</f>
        <v>0</v>
      </c>
      <c r="AW123" s="1">
        <f>$A123-$AV123*$R123</f>
        <v>0</v>
      </c>
    </row>
    <row r="124" ht="24.95" customHeight="1" outlineLevel="1" s="1" customFormat="1">
      <c r="A124" s="15"/>
      <c r="B124" s="16">
        <v>730</v>
      </c>
      <c r="C124" s="17">
        <v>1058</v>
      </c>
      <c r="D124" s="16">
        <v>27479</v>
      </c>
      <c r="E124" s="18"/>
      <c r="F124" s="18" t="s">
        <v>207</v>
      </c>
      <c r="G124" s="18" t="s">
        <v>506</v>
      </c>
      <c r="H124" s="18" t="s">
        <v>171</v>
      </c>
      <c r="I124" s="18"/>
      <c r="J124" s="16">
        <v>2026</v>
      </c>
      <c r="K124" s="18" t="s">
        <v>507</v>
      </c>
      <c r="L124" s="16">
        <v>9785961485288</v>
      </c>
      <c r="M124" s="18" t="s">
        <v>508</v>
      </c>
      <c r="N124" s="16">
        <v>310</v>
      </c>
      <c r="O124" s="19">
        <v>0.54</v>
      </c>
      <c r="P124" s="16">
        <v>170</v>
      </c>
      <c r="Q124" s="16">
        <v>220</v>
      </c>
      <c r="R124" s="16">
        <v>22</v>
      </c>
      <c r="S124" s="18" t="s">
        <v>52</v>
      </c>
      <c r="T124" s="18" t="s">
        <v>509</v>
      </c>
      <c r="U124" s="17">
        <v>2002</v>
      </c>
      <c r="V124" s="18" t="s">
        <v>54</v>
      </c>
      <c r="W124" s="18" t="s">
        <v>91</v>
      </c>
      <c r="X124" s="16">
        <v>10</v>
      </c>
      <c r="Y124" s="43" t="str">
        <f>HYPERLINK("https://api-enni.alpina.ru/FilePrivilegesApproval/210","https://api-enni.alpina.ru/FilePrivilegesApproval/210")</f>
        <v>https://api-enni.alpina.ru/FilePrivilegesApproval/210</v>
      </c>
      <c r="Z124" s="18"/>
      <c r="AS124" s="1">
        <f>IF($A124&lt;&gt;0,1,0)</f>
        <v>0</v>
      </c>
      <c r="AT124" s="1">
        <f>$A124*$B124</f>
        <v>0</v>
      </c>
      <c r="AU124" s="1">
        <f>$A124*$O124</f>
        <v>0</v>
      </c>
      <c r="AV124" s="1">
        <f>IF($R124=0,0,INT($A124/$R124))</f>
        <v>0</v>
      </c>
      <c r="AW124" s="1">
        <f>$A124-$AV124*$R124</f>
        <v>0</v>
      </c>
    </row>
    <row r="125" ht="24.95" customHeight="1" outlineLevel="1" s="1" customFormat="1">
      <c r="A125" s="15"/>
      <c r="B125" s="16">
        <v>890</v>
      </c>
      <c r="C125" s="17">
        <v>1246</v>
      </c>
      <c r="D125" s="16">
        <v>27456</v>
      </c>
      <c r="E125" s="18"/>
      <c r="F125" s="18" t="s">
        <v>309</v>
      </c>
      <c r="G125" s="18" t="s">
        <v>510</v>
      </c>
      <c r="H125" s="18" t="s">
        <v>171</v>
      </c>
      <c r="I125" s="18"/>
      <c r="J125" s="16">
        <v>2026</v>
      </c>
      <c r="K125" s="18" t="s">
        <v>511</v>
      </c>
      <c r="L125" s="16">
        <v>9785961485219</v>
      </c>
      <c r="M125" s="18" t="s">
        <v>512</v>
      </c>
      <c r="N125" s="16">
        <v>602</v>
      </c>
      <c r="O125" s="19">
        <v>0.94</v>
      </c>
      <c r="P125" s="16">
        <v>170</v>
      </c>
      <c r="Q125" s="16">
        <v>220</v>
      </c>
      <c r="R125" s="16">
        <v>14</v>
      </c>
      <c r="S125" s="18" t="s">
        <v>52</v>
      </c>
      <c r="T125" s="18" t="s">
        <v>509</v>
      </c>
      <c r="U125" s="17">
        <v>5012</v>
      </c>
      <c r="V125" s="18" t="s">
        <v>54</v>
      </c>
      <c r="W125" s="18" t="s">
        <v>69</v>
      </c>
      <c r="X125" s="16">
        <v>10</v>
      </c>
      <c r="Y125" s="43" t="str">
        <f>HYPERLINK("https://api-enni.alpina.ru/FilePrivilegesApproval/221","https://api-enni.alpina.ru/FilePrivilegesApproval/221")</f>
        <v>https://api-enni.alpina.ru/FilePrivilegesApproval/221</v>
      </c>
      <c r="Z125" s="18"/>
      <c r="AS125" s="1">
        <f>IF($A125&lt;&gt;0,1,0)</f>
        <v>0</v>
      </c>
      <c r="AT125" s="1">
        <f>$A125*$B125</f>
        <v>0</v>
      </c>
      <c r="AU125" s="1">
        <f>$A125*$O125</f>
        <v>0</v>
      </c>
      <c r="AV125" s="1">
        <f>IF($R125=0,0,INT($A125/$R125))</f>
        <v>0</v>
      </c>
      <c r="AW125" s="1">
        <f>$A125-$AV125*$R125</f>
        <v>0</v>
      </c>
    </row>
    <row r="126" ht="24.95" customHeight="1" outlineLevel="1" s="1" customFormat="1">
      <c r="A126" s="15"/>
      <c r="B126" s="16">
        <v>450</v>
      </c>
      <c r="C126" s="16">
        <v>698</v>
      </c>
      <c r="D126" s="16">
        <v>32246</v>
      </c>
      <c r="E126" s="18"/>
      <c r="F126" s="18" t="s">
        <v>513</v>
      </c>
      <c r="G126" s="18" t="s">
        <v>514</v>
      </c>
      <c r="H126" s="18" t="s">
        <v>73</v>
      </c>
      <c r="I126" s="18"/>
      <c r="J126" s="16">
        <v>2026</v>
      </c>
      <c r="K126" s="18" t="s">
        <v>515</v>
      </c>
      <c r="L126" s="16">
        <v>9785002234837</v>
      </c>
      <c r="M126" s="18" t="s">
        <v>516</v>
      </c>
      <c r="N126" s="16">
        <v>336</v>
      </c>
      <c r="O126" s="19">
        <v>0.22</v>
      </c>
      <c r="P126" s="16">
        <v>120</v>
      </c>
      <c r="Q126" s="16">
        <v>170</v>
      </c>
      <c r="R126" s="16">
        <v>12</v>
      </c>
      <c r="S126" s="18" t="s">
        <v>190</v>
      </c>
      <c r="T126" s="18" t="s">
        <v>491</v>
      </c>
      <c r="U126" s="17">
        <v>2500</v>
      </c>
      <c r="V126" s="18" t="s">
        <v>44</v>
      </c>
      <c r="W126" s="18" t="s">
        <v>91</v>
      </c>
      <c r="X126" s="16">
        <v>10</v>
      </c>
      <c r="Y126" s="43" t="str">
        <f>HYPERLINK("https://api-enni.alpina.ru/FilePrivilegesApproval/148","https://api-enni.alpina.ru/FilePrivilegesApproval/148")</f>
        <v>https://api-enni.alpina.ru/FilePrivilegesApproval/148</v>
      </c>
      <c r="Z126" s="18" t="s">
        <v>78</v>
      </c>
      <c r="AS126" s="1">
        <f>IF($A126&lt;&gt;0,1,0)</f>
        <v>0</v>
      </c>
      <c r="AT126" s="1">
        <f>$A126*$B126</f>
        <v>0</v>
      </c>
      <c r="AU126" s="1">
        <f>$A126*$O126</f>
        <v>0</v>
      </c>
      <c r="AV126" s="1">
        <f>IF($R126=0,0,INT($A126/$R126))</f>
        <v>0</v>
      </c>
      <c r="AW126" s="1">
        <f>$A126-$AV126*$R126</f>
        <v>0</v>
      </c>
    </row>
    <row r="127" ht="24.95" customHeight="1" outlineLevel="1" s="1" customFormat="1">
      <c r="A127" s="15"/>
      <c r="B127" s="17">
        <v>1410</v>
      </c>
      <c r="C127" s="17">
        <v>1904</v>
      </c>
      <c r="D127" s="16">
        <v>7091</v>
      </c>
      <c r="E127" s="18"/>
      <c r="F127" s="18" t="s">
        <v>517</v>
      </c>
      <c r="G127" s="18" t="s">
        <v>518</v>
      </c>
      <c r="H127" s="18" t="s">
        <v>73</v>
      </c>
      <c r="I127" s="18" t="s">
        <v>74</v>
      </c>
      <c r="J127" s="16">
        <v>2026</v>
      </c>
      <c r="K127" s="18" t="s">
        <v>519</v>
      </c>
      <c r="L127" s="16">
        <v>9785001390398</v>
      </c>
      <c r="M127" s="18" t="s">
        <v>520</v>
      </c>
      <c r="N127" s="16">
        <v>766</v>
      </c>
      <c r="O127" s="19">
        <v>1.12</v>
      </c>
      <c r="P127" s="16">
        <v>176</v>
      </c>
      <c r="Q127" s="16">
        <v>243</v>
      </c>
      <c r="R127" s="16">
        <v>4</v>
      </c>
      <c r="S127" s="18" t="s">
        <v>123</v>
      </c>
      <c r="T127" s="18"/>
      <c r="U127" s="17">
        <v>7000</v>
      </c>
      <c r="V127" s="18" t="s">
        <v>77</v>
      </c>
      <c r="W127" s="18" t="s">
        <v>69</v>
      </c>
      <c r="X127" s="16">
        <v>10</v>
      </c>
      <c r="Y127" s="43" t="str">
        <f>HYPERLINK("https://api-enni.alpina.ru/FilePrivilegesApproval/131","https://api-enni.alpina.ru/FilePrivilegesApproval/131")</f>
        <v>https://api-enni.alpina.ru/FilePrivilegesApproval/131</v>
      </c>
      <c r="Z127" s="18" t="s">
        <v>113</v>
      </c>
      <c r="AS127" s="1">
        <f>IF($A127&lt;&gt;0,1,0)</f>
        <v>0</v>
      </c>
      <c r="AT127" s="1">
        <f>$A127*$B127</f>
        <v>0</v>
      </c>
      <c r="AU127" s="1">
        <f>$A127*$O127</f>
        <v>0</v>
      </c>
      <c r="AV127" s="1">
        <f>IF($R127=0,0,INT($A127/$R127))</f>
        <v>0</v>
      </c>
      <c r="AW127" s="1">
        <f>$A127-$AV127*$R127</f>
        <v>0</v>
      </c>
    </row>
    <row r="128" ht="24.95" customHeight="1" outlineLevel="1" s="1" customFormat="1">
      <c r="A128" s="15"/>
      <c r="B128" s="16">
        <v>390</v>
      </c>
      <c r="C128" s="16">
        <v>624</v>
      </c>
      <c r="D128" s="16">
        <v>33856</v>
      </c>
      <c r="E128" s="18"/>
      <c r="F128" s="18" t="s">
        <v>484</v>
      </c>
      <c r="G128" s="18" t="s">
        <v>521</v>
      </c>
      <c r="H128" s="18" t="s">
        <v>86</v>
      </c>
      <c r="I128" s="18"/>
      <c r="J128" s="16">
        <v>2025</v>
      </c>
      <c r="K128" s="18" t="s">
        <v>522</v>
      </c>
      <c r="L128" s="16">
        <v>9785006305786</v>
      </c>
      <c r="M128" s="18" t="s">
        <v>523</v>
      </c>
      <c r="N128" s="16">
        <v>272</v>
      </c>
      <c r="O128" s="19">
        <v>0.18</v>
      </c>
      <c r="P128" s="16">
        <v>120</v>
      </c>
      <c r="Q128" s="16">
        <v>170</v>
      </c>
      <c r="R128" s="16">
        <v>14</v>
      </c>
      <c r="S128" s="18" t="s">
        <v>190</v>
      </c>
      <c r="T128" s="18" t="s">
        <v>491</v>
      </c>
      <c r="U128" s="17">
        <v>2000</v>
      </c>
      <c r="V128" s="18" t="s">
        <v>44</v>
      </c>
      <c r="W128" s="18" t="s">
        <v>45</v>
      </c>
      <c r="X128" s="16">
        <v>10</v>
      </c>
      <c r="Y128" s="43" t="str">
        <f>HYPERLINK("https://api-enni.alpina.ru/FilePrivilegesApproval/883","https://api-enni.alpina.ru/FilePrivilegesApproval/883")</f>
        <v>https://api-enni.alpina.ru/FilePrivilegesApproval/883</v>
      </c>
      <c r="Z128" s="18"/>
      <c r="AS128" s="1">
        <f>IF($A128&lt;&gt;0,1,0)</f>
        <v>0</v>
      </c>
      <c r="AT128" s="1">
        <f>$A128*$B128</f>
        <v>0</v>
      </c>
      <c r="AU128" s="1">
        <f>$A128*$O128</f>
        <v>0</v>
      </c>
      <c r="AV128" s="1">
        <f>IF($R128=0,0,INT($A128/$R128))</f>
        <v>0</v>
      </c>
      <c r="AW128" s="1">
        <f>$A128-$AV128*$R128</f>
        <v>0</v>
      </c>
    </row>
    <row r="129" ht="24.95" customHeight="1" outlineLevel="1" s="1" customFormat="1">
      <c r="A129" s="15"/>
      <c r="B129" s="16">
        <v>970</v>
      </c>
      <c r="C129" s="17">
        <v>1358</v>
      </c>
      <c r="D129" s="16">
        <v>28179</v>
      </c>
      <c r="E129" s="18"/>
      <c r="F129" s="18" t="s">
        <v>524</v>
      </c>
      <c r="G129" s="18" t="s">
        <v>525</v>
      </c>
      <c r="H129" s="18" t="s">
        <v>49</v>
      </c>
      <c r="I129" s="18" t="s">
        <v>87</v>
      </c>
      <c r="J129" s="16">
        <v>2026</v>
      </c>
      <c r="K129" s="18" t="s">
        <v>526</v>
      </c>
      <c r="L129" s="16">
        <v>9785961487497</v>
      </c>
      <c r="M129" s="18" t="s">
        <v>527</v>
      </c>
      <c r="N129" s="16">
        <v>104</v>
      </c>
      <c r="O129" s="19">
        <v>0.33</v>
      </c>
      <c r="P129" s="16">
        <v>210</v>
      </c>
      <c r="Q129" s="16">
        <v>210</v>
      </c>
      <c r="R129" s="16">
        <v>12</v>
      </c>
      <c r="S129" s="18" t="s">
        <v>83</v>
      </c>
      <c r="T129" s="18" t="s">
        <v>183</v>
      </c>
      <c r="U129" s="17">
        <v>5000</v>
      </c>
      <c r="V129" s="18" t="s">
        <v>77</v>
      </c>
      <c r="W129" s="18" t="s">
        <v>184</v>
      </c>
      <c r="X129" s="16">
        <v>10</v>
      </c>
      <c r="Y129" s="18" t="s">
        <v>528</v>
      </c>
      <c r="Z129" s="18" t="s">
        <v>149</v>
      </c>
      <c r="AS129" s="1">
        <f>IF($A129&lt;&gt;0,1,0)</f>
        <v>0</v>
      </c>
      <c r="AT129" s="1">
        <f>$A129*$B129</f>
        <v>0</v>
      </c>
      <c r="AU129" s="1">
        <f>$A129*$O129</f>
        <v>0</v>
      </c>
      <c r="AV129" s="1">
        <f>IF($R129=0,0,INT($A129/$R129))</f>
        <v>0</v>
      </c>
      <c r="AW129" s="1">
        <f>$A129-$AV129*$R129</f>
        <v>0</v>
      </c>
    </row>
    <row r="130" ht="24.95" customHeight="1" outlineLevel="1" s="1" customFormat="1">
      <c r="A130" s="15"/>
      <c r="B130" s="16">
        <v>730</v>
      </c>
      <c r="C130" s="17">
        <v>1058</v>
      </c>
      <c r="D130" s="16">
        <v>27402</v>
      </c>
      <c r="E130" s="18"/>
      <c r="F130" s="18" t="s">
        <v>114</v>
      </c>
      <c r="G130" s="18" t="s">
        <v>529</v>
      </c>
      <c r="H130" s="18" t="s">
        <v>171</v>
      </c>
      <c r="I130" s="18"/>
      <c r="J130" s="16">
        <v>2026</v>
      </c>
      <c r="K130" s="18" t="s">
        <v>530</v>
      </c>
      <c r="L130" s="16">
        <v>9785961484830</v>
      </c>
      <c r="M130" s="18" t="s">
        <v>531</v>
      </c>
      <c r="N130" s="16">
        <v>254</v>
      </c>
      <c r="O130" s="19">
        <v>0.48</v>
      </c>
      <c r="P130" s="16">
        <v>170</v>
      </c>
      <c r="Q130" s="16">
        <v>220</v>
      </c>
      <c r="R130" s="16">
        <v>26</v>
      </c>
      <c r="S130" s="18" t="s">
        <v>52</v>
      </c>
      <c r="T130" s="18" t="s">
        <v>509</v>
      </c>
      <c r="U130" s="17">
        <v>2002</v>
      </c>
      <c r="V130" s="18" t="s">
        <v>54</v>
      </c>
      <c r="W130" s="18" t="s">
        <v>91</v>
      </c>
      <c r="X130" s="16">
        <v>10</v>
      </c>
      <c r="Y130" s="43" t="str">
        <f>HYPERLINK("https://api-enni.alpina.ru/FilePrivilegesApproval/200","https://api-enni.alpina.ru/FilePrivilegesApproval/200")</f>
        <v>https://api-enni.alpina.ru/FilePrivilegesApproval/200</v>
      </c>
      <c r="Z130" s="18"/>
      <c r="AS130" s="1">
        <f>IF($A130&lt;&gt;0,1,0)</f>
        <v>0</v>
      </c>
      <c r="AT130" s="1">
        <f>$A130*$B130</f>
        <v>0</v>
      </c>
      <c r="AU130" s="1">
        <f>$A130*$O130</f>
        <v>0</v>
      </c>
      <c r="AV130" s="1">
        <f>IF($R130=0,0,INT($A130/$R130))</f>
        <v>0</v>
      </c>
      <c r="AW130" s="1">
        <f>$A130-$AV130*$R130</f>
        <v>0</v>
      </c>
    </row>
    <row r="131" ht="24.95" customHeight="1" outlineLevel="1" s="1" customFormat="1">
      <c r="A131" s="15"/>
      <c r="B131" s="17">
        <v>1090</v>
      </c>
      <c r="C131" s="17">
        <v>1472</v>
      </c>
      <c r="D131" s="16">
        <v>29205</v>
      </c>
      <c r="E131" s="18"/>
      <c r="F131" s="18" t="s">
        <v>309</v>
      </c>
      <c r="G131" s="18" t="s">
        <v>532</v>
      </c>
      <c r="H131" s="18" t="s">
        <v>171</v>
      </c>
      <c r="I131" s="18"/>
      <c r="J131" s="16">
        <v>2026</v>
      </c>
      <c r="K131" s="18" t="s">
        <v>533</v>
      </c>
      <c r="L131" s="16">
        <v>9785961491746</v>
      </c>
      <c r="M131" s="18" t="s">
        <v>534</v>
      </c>
      <c r="N131" s="16">
        <v>848</v>
      </c>
      <c r="O131" s="19">
        <v>1.27</v>
      </c>
      <c r="P131" s="16">
        <v>180</v>
      </c>
      <c r="Q131" s="16">
        <v>220</v>
      </c>
      <c r="R131" s="16">
        <v>10</v>
      </c>
      <c r="S131" s="18" t="s">
        <v>52</v>
      </c>
      <c r="T131" s="18" t="s">
        <v>509</v>
      </c>
      <c r="U131" s="17">
        <v>5000</v>
      </c>
      <c r="V131" s="18" t="s">
        <v>54</v>
      </c>
      <c r="W131" s="18" t="s">
        <v>91</v>
      </c>
      <c r="X131" s="16">
        <v>10</v>
      </c>
      <c r="Y131" s="43" t="str">
        <f>HYPERLINK("https://api-enni.alpina.ru/FilePrivilegesApproval/352","https://api-enni.alpina.ru/FilePrivilegesApproval/352")</f>
        <v>https://api-enni.alpina.ru/FilePrivilegesApproval/352</v>
      </c>
      <c r="Z131" s="18"/>
      <c r="AS131" s="1">
        <f>IF($A131&lt;&gt;0,1,0)</f>
        <v>0</v>
      </c>
      <c r="AT131" s="1">
        <f>$A131*$B131</f>
        <v>0</v>
      </c>
      <c r="AU131" s="1">
        <f>$A131*$O131</f>
        <v>0</v>
      </c>
      <c r="AV131" s="1">
        <f>IF($R131=0,0,INT($A131/$R131))</f>
        <v>0</v>
      </c>
      <c r="AW131" s="1">
        <f>$A131-$AV131*$R131</f>
        <v>0</v>
      </c>
    </row>
    <row r="132" ht="24.95" customHeight="1" outlineLevel="1" s="1" customFormat="1">
      <c r="A132" s="15"/>
      <c r="B132" s="16">
        <v>530</v>
      </c>
      <c r="C132" s="16">
        <v>822</v>
      </c>
      <c r="D132" s="16">
        <v>31572</v>
      </c>
      <c r="E132" s="18"/>
      <c r="F132" s="18" t="s">
        <v>535</v>
      </c>
      <c r="G132" s="18" t="s">
        <v>536</v>
      </c>
      <c r="H132" s="18" t="s">
        <v>49</v>
      </c>
      <c r="I132" s="18" t="s">
        <v>160</v>
      </c>
      <c r="J132" s="16">
        <v>2025</v>
      </c>
      <c r="K132" s="18" t="s">
        <v>537</v>
      </c>
      <c r="L132" s="16">
        <v>9785961499285</v>
      </c>
      <c r="M132" s="18" t="s">
        <v>538</v>
      </c>
      <c r="N132" s="16">
        <v>32</v>
      </c>
      <c r="O132" s="19">
        <v>0.23</v>
      </c>
      <c r="P132" s="16">
        <v>180</v>
      </c>
      <c r="Q132" s="16">
        <v>220</v>
      </c>
      <c r="R132" s="16">
        <v>16</v>
      </c>
      <c r="S132" s="18" t="s">
        <v>52</v>
      </c>
      <c r="T132" s="18" t="s">
        <v>539</v>
      </c>
      <c r="U132" s="17">
        <v>2000</v>
      </c>
      <c r="V132" s="18" t="s">
        <v>77</v>
      </c>
      <c r="W132" s="18" t="s">
        <v>184</v>
      </c>
      <c r="X132" s="16">
        <v>10</v>
      </c>
      <c r="Y132" s="18" t="s">
        <v>540</v>
      </c>
      <c r="Z132" s="18"/>
      <c r="AS132" s="1">
        <f>IF($A132&lt;&gt;0,1,0)</f>
        <v>0</v>
      </c>
      <c r="AT132" s="1">
        <f>$A132*$B132</f>
        <v>0</v>
      </c>
      <c r="AU132" s="1">
        <f>$A132*$O132</f>
        <v>0</v>
      </c>
      <c r="AV132" s="1">
        <f>IF($R132=0,0,INT($A132/$R132))</f>
        <v>0</v>
      </c>
      <c r="AW132" s="1">
        <f>$A132-$AV132*$R132</f>
        <v>0</v>
      </c>
    </row>
    <row r="133" ht="24.95" customHeight="1" outlineLevel="1" s="1" customFormat="1">
      <c r="A133" s="15"/>
      <c r="B133" s="17">
        <v>1490</v>
      </c>
      <c r="C133" s="17">
        <v>2012</v>
      </c>
      <c r="D133" s="16">
        <v>26796</v>
      </c>
      <c r="E133" s="18"/>
      <c r="F133" s="18" t="s">
        <v>541</v>
      </c>
      <c r="G133" s="18" t="s">
        <v>542</v>
      </c>
      <c r="H133" s="18" t="s">
        <v>171</v>
      </c>
      <c r="I133" s="18"/>
      <c r="J133" s="16">
        <v>2026</v>
      </c>
      <c r="K133" s="18" t="s">
        <v>543</v>
      </c>
      <c r="L133" s="16">
        <v>9785001398394</v>
      </c>
      <c r="M133" s="18" t="s">
        <v>544</v>
      </c>
      <c r="N133" s="16">
        <v>872</v>
      </c>
      <c r="O133" s="19">
        <v>1.1</v>
      </c>
      <c r="P133" s="16">
        <v>150</v>
      </c>
      <c r="Q133" s="16">
        <v>220</v>
      </c>
      <c r="R133" s="16">
        <v>6</v>
      </c>
      <c r="S133" s="18" t="s">
        <v>43</v>
      </c>
      <c r="T133" s="18"/>
      <c r="U133" s="17">
        <v>3000</v>
      </c>
      <c r="V133" s="18" t="s">
        <v>77</v>
      </c>
      <c r="W133" s="18" t="s">
        <v>45</v>
      </c>
      <c r="X133" s="16">
        <v>10</v>
      </c>
      <c r="Y133" s="43" t="str">
        <f>HYPERLINK("https://api-enni.alpina.ru/FilePrivilegesApproval/147","https://api-enni.alpina.ru/FilePrivilegesApproval/147")</f>
        <v>https://api-enni.alpina.ru/FilePrivilegesApproval/147</v>
      </c>
      <c r="Z133" s="18" t="s">
        <v>545</v>
      </c>
      <c r="AS133" s="1">
        <f>IF($A133&lt;&gt;0,1,0)</f>
        <v>0</v>
      </c>
      <c r="AT133" s="1">
        <f>$A133*$B133</f>
        <v>0</v>
      </c>
      <c r="AU133" s="1">
        <f>$A133*$O133</f>
        <v>0</v>
      </c>
      <c r="AV133" s="1">
        <f>IF($R133=0,0,INT($A133/$R133))</f>
        <v>0</v>
      </c>
      <c r="AW133" s="1">
        <f>$A133-$AV133*$R133</f>
        <v>0</v>
      </c>
    </row>
    <row r="134" ht="21.95" customHeight="1" outlineLevel="1" s="1" customFormat="1">
      <c r="A134" s="15"/>
      <c r="B134" s="16">
        <v>890</v>
      </c>
      <c r="C134" s="17">
        <v>1246</v>
      </c>
      <c r="D134" s="16">
        <v>20570</v>
      </c>
      <c r="E134" s="18"/>
      <c r="F134" s="18" t="s">
        <v>546</v>
      </c>
      <c r="G134" s="18" t="s">
        <v>547</v>
      </c>
      <c r="H134" s="18" t="s">
        <v>86</v>
      </c>
      <c r="I134" s="18" t="s">
        <v>74</v>
      </c>
      <c r="J134" s="16">
        <v>2026</v>
      </c>
      <c r="K134" s="18" t="s">
        <v>548</v>
      </c>
      <c r="L134" s="16">
        <v>9785961440454</v>
      </c>
      <c r="M134" s="18" t="s">
        <v>549</v>
      </c>
      <c r="N134" s="16">
        <v>324</v>
      </c>
      <c r="O134" s="19">
        <v>0.49</v>
      </c>
      <c r="P134" s="16">
        <v>150</v>
      </c>
      <c r="Q134" s="16">
        <v>220</v>
      </c>
      <c r="R134" s="16">
        <v>10</v>
      </c>
      <c r="S134" s="18" t="s">
        <v>43</v>
      </c>
      <c r="T134" s="18"/>
      <c r="U134" s="17">
        <v>1000</v>
      </c>
      <c r="V134" s="18" t="s">
        <v>77</v>
      </c>
      <c r="W134" s="18" t="s">
        <v>91</v>
      </c>
      <c r="X134" s="16">
        <v>10</v>
      </c>
      <c r="Y134" s="43" t="str">
        <f>HYPERLINK("","")</f>
      </c>
      <c r="Z134" s="18" t="s">
        <v>246</v>
      </c>
      <c r="AS134" s="1">
        <f>IF($A134&lt;&gt;0,1,0)</f>
        <v>0</v>
      </c>
      <c r="AT134" s="1">
        <f>$A134*$B134</f>
        <v>0</v>
      </c>
      <c r="AU134" s="1">
        <f>$A134*$O134</f>
        <v>0</v>
      </c>
      <c r="AV134" s="1">
        <f>IF($R134=0,0,INT($A134/$R134))</f>
        <v>0</v>
      </c>
      <c r="AW134" s="1">
        <f>$A134-$AV134*$R134</f>
        <v>0</v>
      </c>
    </row>
    <row r="135" ht="24.95" customHeight="1" outlineLevel="1" s="1" customFormat="1">
      <c r="A135" s="15"/>
      <c r="B135" s="16">
        <v>990</v>
      </c>
      <c r="C135" s="17">
        <v>1386</v>
      </c>
      <c r="D135" s="16">
        <v>11572</v>
      </c>
      <c r="E135" s="18"/>
      <c r="F135" s="18" t="s">
        <v>517</v>
      </c>
      <c r="G135" s="18" t="s">
        <v>550</v>
      </c>
      <c r="H135" s="18" t="s">
        <v>73</v>
      </c>
      <c r="I135" s="18" t="s">
        <v>74</v>
      </c>
      <c r="J135" s="16">
        <v>2025</v>
      </c>
      <c r="K135" s="18" t="s">
        <v>551</v>
      </c>
      <c r="L135" s="16">
        <v>9785002231584</v>
      </c>
      <c r="M135" s="18" t="s">
        <v>552</v>
      </c>
      <c r="N135" s="16">
        <v>536</v>
      </c>
      <c r="O135" s="19">
        <v>0.8</v>
      </c>
      <c r="P135" s="16">
        <v>170</v>
      </c>
      <c r="Q135" s="16">
        <v>240</v>
      </c>
      <c r="R135" s="16">
        <v>4</v>
      </c>
      <c r="S135" s="18" t="s">
        <v>123</v>
      </c>
      <c r="T135" s="18"/>
      <c r="U135" s="17">
        <v>10000</v>
      </c>
      <c r="V135" s="18" t="s">
        <v>77</v>
      </c>
      <c r="W135" s="18" t="s">
        <v>45</v>
      </c>
      <c r="X135" s="16">
        <v>10</v>
      </c>
      <c r="Y135" s="43" t="str">
        <f>HYPERLINK("https://api-enni.alpina.ru/FilePrivilegesApproval/813","https://api-enni.alpina.ru/FilePrivilegesApproval/813")</f>
        <v>https://api-enni.alpina.ru/FilePrivilegesApproval/813</v>
      </c>
      <c r="Z135" s="18"/>
      <c r="AS135" s="1">
        <f>IF($A135&lt;&gt;0,1,0)</f>
        <v>0</v>
      </c>
      <c r="AT135" s="1">
        <f>$A135*$B135</f>
        <v>0</v>
      </c>
      <c r="AU135" s="1">
        <f>$A135*$O135</f>
        <v>0</v>
      </c>
      <c r="AV135" s="1">
        <f>IF($R135=0,0,INT($A135/$R135))</f>
        <v>0</v>
      </c>
      <c r="AW135" s="1">
        <f>$A135-$AV135*$R135</f>
        <v>0</v>
      </c>
    </row>
    <row r="136" ht="24.95" customHeight="1" outlineLevel="1" s="1" customFormat="1">
      <c r="A136" s="15"/>
      <c r="B136" s="17">
        <v>1990</v>
      </c>
      <c r="C136" s="17">
        <v>2587</v>
      </c>
      <c r="D136" s="16">
        <v>23546</v>
      </c>
      <c r="E136" s="18"/>
      <c r="F136" s="18" t="s">
        <v>553</v>
      </c>
      <c r="G136" s="18" t="s">
        <v>554</v>
      </c>
      <c r="H136" s="18" t="s">
        <v>73</v>
      </c>
      <c r="I136" s="18"/>
      <c r="J136" s="16">
        <v>2026</v>
      </c>
      <c r="K136" s="18" t="s">
        <v>555</v>
      </c>
      <c r="L136" s="16">
        <v>9785001397496</v>
      </c>
      <c r="M136" s="18" t="s">
        <v>556</v>
      </c>
      <c r="N136" s="16">
        <v>627</v>
      </c>
      <c r="O136" s="19">
        <v>1.26</v>
      </c>
      <c r="P136" s="16">
        <v>200</v>
      </c>
      <c r="Q136" s="16">
        <v>250</v>
      </c>
      <c r="R136" s="16">
        <v>4</v>
      </c>
      <c r="S136" s="18" t="s">
        <v>328</v>
      </c>
      <c r="T136" s="18"/>
      <c r="U136" s="17">
        <v>5000</v>
      </c>
      <c r="V136" s="18" t="s">
        <v>77</v>
      </c>
      <c r="W136" s="18" t="s">
        <v>91</v>
      </c>
      <c r="X136" s="16">
        <v>10</v>
      </c>
      <c r="Y136" s="43" t="str">
        <f>HYPERLINK("https://api-enni.alpina.ru/FilePrivilegesApproval/185","https://api-enni.alpina.ru/FilePrivilegesApproval/185")</f>
        <v>https://api-enni.alpina.ru/FilePrivilegesApproval/185</v>
      </c>
      <c r="Z136" s="18"/>
      <c r="AS136" s="1">
        <f>IF($A136&lt;&gt;0,1,0)</f>
        <v>0</v>
      </c>
      <c r="AT136" s="1">
        <f>$A136*$B136</f>
        <v>0</v>
      </c>
      <c r="AU136" s="1">
        <f>$A136*$O136</f>
        <v>0</v>
      </c>
      <c r="AV136" s="1">
        <f>IF($R136=0,0,INT($A136/$R136))</f>
        <v>0</v>
      </c>
      <c r="AW136" s="1">
        <f>$A136-$AV136*$R136</f>
        <v>0</v>
      </c>
    </row>
    <row r="137" ht="24.95" customHeight="1" outlineLevel="1" s="1" customFormat="1">
      <c r="A137" s="15"/>
      <c r="B137" s="16">
        <v>990</v>
      </c>
      <c r="C137" s="17">
        <v>1386</v>
      </c>
      <c r="D137" s="16">
        <v>3322</v>
      </c>
      <c r="E137" s="18"/>
      <c r="F137" s="18" t="s">
        <v>557</v>
      </c>
      <c r="G137" s="18" t="s">
        <v>558</v>
      </c>
      <c r="H137" s="18" t="s">
        <v>73</v>
      </c>
      <c r="I137" s="18" t="s">
        <v>74</v>
      </c>
      <c r="J137" s="16">
        <v>2026</v>
      </c>
      <c r="K137" s="18" t="s">
        <v>559</v>
      </c>
      <c r="L137" s="16">
        <v>9785001390350</v>
      </c>
      <c r="M137" s="18" t="s">
        <v>560</v>
      </c>
      <c r="N137" s="16">
        <v>502</v>
      </c>
      <c r="O137" s="19">
        <v>0.7</v>
      </c>
      <c r="P137" s="16">
        <v>147</v>
      </c>
      <c r="Q137" s="16">
        <v>216</v>
      </c>
      <c r="R137" s="16">
        <v>6</v>
      </c>
      <c r="S137" s="18" t="s">
        <v>43</v>
      </c>
      <c r="T137" s="18"/>
      <c r="U137" s="17">
        <v>2000</v>
      </c>
      <c r="V137" s="18" t="s">
        <v>77</v>
      </c>
      <c r="W137" s="18" t="s">
        <v>91</v>
      </c>
      <c r="X137" s="16">
        <v>10</v>
      </c>
      <c r="Y137" s="43" t="str">
        <f>HYPERLINK("https://api-enni.alpina.ru/FilePrivilegesApproval/145","https://api-enni.alpina.ru/FilePrivilegesApproval/145")</f>
        <v>https://api-enni.alpina.ru/FilePrivilegesApproval/145</v>
      </c>
      <c r="Z137" s="18" t="s">
        <v>108</v>
      </c>
      <c r="AS137" s="1">
        <f>IF($A137&lt;&gt;0,1,0)</f>
        <v>0</v>
      </c>
      <c r="AT137" s="1">
        <f>$A137*$B137</f>
        <v>0</v>
      </c>
      <c r="AU137" s="1">
        <f>$A137*$O137</f>
        <v>0</v>
      </c>
      <c r="AV137" s="1">
        <f>IF($R137=0,0,INT($A137/$R137))</f>
        <v>0</v>
      </c>
      <c r="AW137" s="1">
        <f>$A137-$AV137*$R137</f>
        <v>0</v>
      </c>
    </row>
    <row r="138" ht="24.95" customHeight="1" outlineLevel="1" s="1" customFormat="1">
      <c r="A138" s="15"/>
      <c r="B138" s="16">
        <v>340</v>
      </c>
      <c r="C138" s="16">
        <v>544</v>
      </c>
      <c r="D138" s="16">
        <v>24077</v>
      </c>
      <c r="E138" s="18"/>
      <c r="F138" s="18" t="s">
        <v>561</v>
      </c>
      <c r="G138" s="18" t="s">
        <v>562</v>
      </c>
      <c r="H138" s="18" t="s">
        <v>86</v>
      </c>
      <c r="I138" s="18"/>
      <c r="J138" s="16">
        <v>2025</v>
      </c>
      <c r="K138" s="18" t="s">
        <v>563</v>
      </c>
      <c r="L138" s="16">
        <v>9785961426229</v>
      </c>
      <c r="M138" s="18" t="s">
        <v>564</v>
      </c>
      <c r="N138" s="16">
        <v>203</v>
      </c>
      <c r="O138" s="19">
        <v>0.1</v>
      </c>
      <c r="P138" s="16">
        <v>115</v>
      </c>
      <c r="Q138" s="16">
        <v>165</v>
      </c>
      <c r="R138" s="16">
        <v>18</v>
      </c>
      <c r="S138" s="18" t="s">
        <v>190</v>
      </c>
      <c r="T138" s="18" t="s">
        <v>565</v>
      </c>
      <c r="U138" s="17">
        <v>2000</v>
      </c>
      <c r="V138" s="18" t="s">
        <v>44</v>
      </c>
      <c r="W138" s="18" t="s">
        <v>184</v>
      </c>
      <c r="X138" s="16">
        <v>10</v>
      </c>
      <c r="Y138" s="43" t="str">
        <f>HYPERLINK("https://api-enni.alpina.ru/FilePrivilegesApproval/119","https://api-enni.alpina.ru/FilePrivilegesApproval/119")</f>
        <v>https://api-enni.alpina.ru/FilePrivilegesApproval/119</v>
      </c>
      <c r="Z138" s="18"/>
      <c r="AS138" s="1">
        <f>IF($A138&lt;&gt;0,1,0)</f>
        <v>0</v>
      </c>
      <c r="AT138" s="1">
        <f>$A138*$B138</f>
        <v>0</v>
      </c>
      <c r="AU138" s="1">
        <f>$A138*$O138</f>
        <v>0</v>
      </c>
      <c r="AV138" s="1">
        <f>IF($R138=0,0,INT($A138/$R138))</f>
        <v>0</v>
      </c>
      <c r="AW138" s="1">
        <f>$A138-$AV138*$R138</f>
        <v>0</v>
      </c>
    </row>
    <row r="139" ht="24.95" customHeight="1" outlineLevel="1" s="1" customFormat="1">
      <c r="A139" s="15"/>
      <c r="B139" s="16">
        <v>730</v>
      </c>
      <c r="C139" s="17">
        <v>1058</v>
      </c>
      <c r="D139" s="16">
        <v>27444</v>
      </c>
      <c r="E139" s="18"/>
      <c r="F139" s="18" t="s">
        <v>566</v>
      </c>
      <c r="G139" s="18" t="s">
        <v>567</v>
      </c>
      <c r="H139" s="18" t="s">
        <v>171</v>
      </c>
      <c r="I139" s="18"/>
      <c r="J139" s="16">
        <v>2026</v>
      </c>
      <c r="K139" s="18" t="s">
        <v>568</v>
      </c>
      <c r="L139" s="16">
        <v>9785961485103</v>
      </c>
      <c r="M139" s="18" t="s">
        <v>569</v>
      </c>
      <c r="N139" s="16">
        <v>320</v>
      </c>
      <c r="O139" s="19">
        <v>0.56</v>
      </c>
      <c r="P139" s="16">
        <v>170</v>
      </c>
      <c r="Q139" s="16">
        <v>220</v>
      </c>
      <c r="R139" s="16">
        <v>22</v>
      </c>
      <c r="S139" s="18" t="s">
        <v>52</v>
      </c>
      <c r="T139" s="18" t="s">
        <v>509</v>
      </c>
      <c r="U139" s="17">
        <v>2002</v>
      </c>
      <c r="V139" s="18" t="s">
        <v>54</v>
      </c>
      <c r="W139" s="18" t="s">
        <v>91</v>
      </c>
      <c r="X139" s="16">
        <v>10</v>
      </c>
      <c r="Y139" s="43" t="str">
        <f>HYPERLINK("https://api-enni.alpina.ru/FilePrivilegesApproval/221","https://api-enni.alpina.ru/FilePrivilegesApproval/221")</f>
        <v>https://api-enni.alpina.ru/FilePrivilegesApproval/221</v>
      </c>
      <c r="Z139" s="18"/>
      <c r="AS139" s="1">
        <f>IF($A139&lt;&gt;0,1,0)</f>
        <v>0</v>
      </c>
      <c r="AT139" s="1">
        <f>$A139*$B139</f>
        <v>0</v>
      </c>
      <c r="AU139" s="1">
        <f>$A139*$O139</f>
        <v>0</v>
      </c>
      <c r="AV139" s="1">
        <f>IF($R139=0,0,INT($A139/$R139))</f>
        <v>0</v>
      </c>
      <c r="AW139" s="1">
        <f>$A139-$AV139*$R139</f>
        <v>0</v>
      </c>
    </row>
    <row r="140" ht="24.95" customHeight="1" outlineLevel="1" s="1" customFormat="1">
      <c r="A140" s="15"/>
      <c r="B140" s="16">
        <v>730</v>
      </c>
      <c r="C140" s="17">
        <v>1058</v>
      </c>
      <c r="D140" s="16">
        <v>26964</v>
      </c>
      <c r="E140" s="18"/>
      <c r="F140" s="18" t="s">
        <v>280</v>
      </c>
      <c r="G140" s="18" t="s">
        <v>570</v>
      </c>
      <c r="H140" s="18" t="s">
        <v>171</v>
      </c>
      <c r="I140" s="18"/>
      <c r="J140" s="16">
        <v>2026</v>
      </c>
      <c r="K140" s="18" t="s">
        <v>571</v>
      </c>
      <c r="L140" s="16">
        <v>9785961483543</v>
      </c>
      <c r="M140" s="18" t="s">
        <v>572</v>
      </c>
      <c r="N140" s="16">
        <v>184</v>
      </c>
      <c r="O140" s="19">
        <v>0.38</v>
      </c>
      <c r="P140" s="16">
        <v>180</v>
      </c>
      <c r="Q140" s="16">
        <v>220</v>
      </c>
      <c r="R140" s="16">
        <v>34</v>
      </c>
      <c r="S140" s="18" t="s">
        <v>52</v>
      </c>
      <c r="T140" s="18" t="s">
        <v>509</v>
      </c>
      <c r="U140" s="17">
        <v>2006</v>
      </c>
      <c r="V140" s="18" t="s">
        <v>54</v>
      </c>
      <c r="W140" s="18" t="s">
        <v>91</v>
      </c>
      <c r="X140" s="16">
        <v>10</v>
      </c>
      <c r="Y140" s="43" t="str">
        <f>HYPERLINK("https://api-enni.alpina.ru/FilePrivilegesApproval/177","https://api-enni.alpina.ru/FilePrivilegesApproval/177")</f>
        <v>https://api-enni.alpina.ru/FilePrivilegesApproval/177</v>
      </c>
      <c r="Z140" s="18"/>
      <c r="AS140" s="1">
        <f>IF($A140&lt;&gt;0,1,0)</f>
        <v>0</v>
      </c>
      <c r="AT140" s="1">
        <f>$A140*$B140</f>
        <v>0</v>
      </c>
      <c r="AU140" s="1">
        <f>$A140*$O140</f>
        <v>0</v>
      </c>
      <c r="AV140" s="1">
        <f>IF($R140=0,0,INT($A140/$R140))</f>
        <v>0</v>
      </c>
      <c r="AW140" s="1">
        <f>$A140-$AV140*$R140</f>
        <v>0</v>
      </c>
    </row>
    <row r="141" ht="24.95" customHeight="1" outlineLevel="1" s="1" customFormat="1">
      <c r="A141" s="15"/>
      <c r="B141" s="17">
        <v>1090</v>
      </c>
      <c r="C141" s="17">
        <v>1472</v>
      </c>
      <c r="D141" s="16">
        <v>25768</v>
      </c>
      <c r="E141" s="18"/>
      <c r="F141" s="18" t="s">
        <v>573</v>
      </c>
      <c r="G141" s="18" t="s">
        <v>574</v>
      </c>
      <c r="H141" s="18" t="s">
        <v>73</v>
      </c>
      <c r="I141" s="18"/>
      <c r="J141" s="16">
        <v>2026</v>
      </c>
      <c r="K141" s="18" t="s">
        <v>575</v>
      </c>
      <c r="L141" s="16">
        <v>9785001397090</v>
      </c>
      <c r="M141" s="18" t="s">
        <v>576</v>
      </c>
      <c r="N141" s="16">
        <v>338</v>
      </c>
      <c r="O141" s="19">
        <v>0.6</v>
      </c>
      <c r="P141" s="16">
        <v>170</v>
      </c>
      <c r="Q141" s="16">
        <v>230</v>
      </c>
      <c r="R141" s="16">
        <v>10</v>
      </c>
      <c r="S141" s="18" t="s">
        <v>52</v>
      </c>
      <c r="T141" s="18"/>
      <c r="U141" s="17">
        <v>1000</v>
      </c>
      <c r="V141" s="18" t="s">
        <v>77</v>
      </c>
      <c r="W141" s="18" t="s">
        <v>69</v>
      </c>
      <c r="X141" s="16">
        <v>10</v>
      </c>
      <c r="Y141" s="43" t="str">
        <f>HYPERLINK("https://api-enni.alpina.ru/FilePrivilegesApproval/179","https://api-enni.alpina.ru/FilePrivilegesApproval/179")</f>
        <v>https://api-enni.alpina.ru/FilePrivilegesApproval/179</v>
      </c>
      <c r="Z141" s="18" t="s">
        <v>144</v>
      </c>
      <c r="AS141" s="1">
        <f>IF($A141&lt;&gt;0,1,0)</f>
        <v>0</v>
      </c>
      <c r="AT141" s="1">
        <f>$A141*$B141</f>
        <v>0</v>
      </c>
      <c r="AU141" s="1">
        <f>$A141*$O141</f>
        <v>0</v>
      </c>
      <c r="AV141" s="1">
        <f>IF($R141=0,0,INT($A141/$R141))</f>
        <v>0</v>
      </c>
      <c r="AW141" s="1">
        <f>$A141-$AV141*$R141</f>
        <v>0</v>
      </c>
    </row>
    <row r="142" ht="21.95" customHeight="1" outlineLevel="1" s="1" customFormat="1">
      <c r="A142" s="15"/>
      <c r="B142" s="16">
        <v>854</v>
      </c>
      <c r="C142" s="17">
        <v>1100</v>
      </c>
      <c r="D142" s="16">
        <v>26961</v>
      </c>
      <c r="E142" s="18"/>
      <c r="F142" s="18"/>
      <c r="G142" s="18" t="s">
        <v>577</v>
      </c>
      <c r="H142" s="18" t="s">
        <v>86</v>
      </c>
      <c r="I142" s="18"/>
      <c r="J142" s="16">
        <v>2022</v>
      </c>
      <c r="K142" s="18" t="s">
        <v>578</v>
      </c>
      <c r="L142" s="16">
        <v>9785961483529</v>
      </c>
      <c r="M142" s="18" t="s">
        <v>579</v>
      </c>
      <c r="N142" s="15"/>
      <c r="O142" s="15"/>
      <c r="P142" s="15"/>
      <c r="Q142" s="15"/>
      <c r="R142" s="15"/>
      <c r="S142" s="18"/>
      <c r="T142" s="18"/>
      <c r="U142" s="17">
        <v>1000</v>
      </c>
      <c r="V142" s="18"/>
      <c r="W142" s="18" t="s">
        <v>69</v>
      </c>
      <c r="X142" s="16">
        <v>22</v>
      </c>
      <c r="Y142" s="43" t="str">
        <f>HYPERLINK("","")</f>
      </c>
      <c r="Z142" s="18"/>
      <c r="AS142" s="1">
        <f>IF($A142&lt;&gt;0,1,0)</f>
        <v>0</v>
      </c>
      <c r="AT142" s="1">
        <f>$A142*$B142</f>
        <v>0</v>
      </c>
      <c r="AU142" s="1">
        <f>$A142*$O142</f>
        <v>0</v>
      </c>
      <c r="AV142" s="1">
        <f>IF($R142=0,0,INT($A142/$R142))</f>
        <v>0</v>
      </c>
      <c r="AW142" s="1">
        <f>$A142-$AV142*$R142</f>
        <v>0</v>
      </c>
    </row>
    <row r="143" ht="24.95" customHeight="1" outlineLevel="1" s="1" customFormat="1">
      <c r="A143" s="15"/>
      <c r="B143" s="16">
        <v>790</v>
      </c>
      <c r="C143" s="17">
        <v>1146</v>
      </c>
      <c r="D143" s="16">
        <v>17739</v>
      </c>
      <c r="E143" s="18"/>
      <c r="F143" s="18" t="s">
        <v>104</v>
      </c>
      <c r="G143" s="18" t="s">
        <v>105</v>
      </c>
      <c r="H143" s="18" t="s">
        <v>86</v>
      </c>
      <c r="I143" s="18"/>
      <c r="J143" s="16">
        <v>2025</v>
      </c>
      <c r="K143" s="18" t="s">
        <v>580</v>
      </c>
      <c r="L143" s="16">
        <v>9785961433180</v>
      </c>
      <c r="M143" s="18" t="s">
        <v>581</v>
      </c>
      <c r="N143" s="16">
        <v>240</v>
      </c>
      <c r="O143" s="19">
        <v>0.4</v>
      </c>
      <c r="P143" s="16">
        <v>146</v>
      </c>
      <c r="Q143" s="16">
        <v>216</v>
      </c>
      <c r="R143" s="16">
        <v>16</v>
      </c>
      <c r="S143" s="18" t="s">
        <v>43</v>
      </c>
      <c r="T143" s="18"/>
      <c r="U143" s="17">
        <v>6000</v>
      </c>
      <c r="V143" s="18" t="s">
        <v>77</v>
      </c>
      <c r="W143" s="18" t="s">
        <v>55</v>
      </c>
      <c r="X143" s="16">
        <v>10</v>
      </c>
      <c r="Y143" s="43" t="str">
        <f>HYPERLINK("https://api-enni.alpina.ru/FilePrivilegesApproval/77","https://api-enni.alpina.ru/FilePrivilegesApproval/77")</f>
        <v>https://api-enni.alpina.ru/FilePrivilegesApproval/77</v>
      </c>
      <c r="Z143" s="18"/>
      <c r="AS143" s="1">
        <f>IF($A143&lt;&gt;0,1,0)</f>
        <v>0</v>
      </c>
      <c r="AT143" s="1">
        <f>$A143*$B143</f>
        <v>0</v>
      </c>
      <c r="AU143" s="1">
        <f>$A143*$O143</f>
        <v>0</v>
      </c>
      <c r="AV143" s="1">
        <f>IF($R143=0,0,INT($A143/$R143))</f>
        <v>0</v>
      </c>
      <c r="AW143" s="1">
        <f>$A143-$AV143*$R143</f>
        <v>0</v>
      </c>
    </row>
    <row r="144" ht="24.95" customHeight="1" outlineLevel="1" s="1" customFormat="1">
      <c r="A144" s="15"/>
      <c r="B144" s="16">
        <v>790</v>
      </c>
      <c r="C144" s="17">
        <v>1146</v>
      </c>
      <c r="D144" s="16">
        <v>24349</v>
      </c>
      <c r="E144" s="18"/>
      <c r="F144" s="18" t="s">
        <v>582</v>
      </c>
      <c r="G144" s="18" t="s">
        <v>583</v>
      </c>
      <c r="H144" s="18" t="s">
        <v>95</v>
      </c>
      <c r="I144" s="18"/>
      <c r="J144" s="16">
        <v>2026</v>
      </c>
      <c r="K144" s="18" t="s">
        <v>584</v>
      </c>
      <c r="L144" s="16">
        <v>9785907470729</v>
      </c>
      <c r="M144" s="18" t="s">
        <v>585</v>
      </c>
      <c r="N144" s="16">
        <v>152</v>
      </c>
      <c r="O144" s="19">
        <v>0.29</v>
      </c>
      <c r="P144" s="16">
        <v>160</v>
      </c>
      <c r="Q144" s="16">
        <v>220</v>
      </c>
      <c r="R144" s="16">
        <v>12</v>
      </c>
      <c r="S144" s="18" t="s">
        <v>43</v>
      </c>
      <c r="T144" s="18"/>
      <c r="U144" s="17">
        <v>3000</v>
      </c>
      <c r="V144" s="18" t="s">
        <v>77</v>
      </c>
      <c r="W144" s="18" t="s">
        <v>91</v>
      </c>
      <c r="X144" s="16">
        <v>10</v>
      </c>
      <c r="Y144" s="43" t="str">
        <f>HYPERLINK("https://api-enni.alpina.ru/FilePrivilegesApproval/414","https://api-enni.alpina.ru/FilePrivilegesApproval/414")</f>
        <v>https://api-enni.alpina.ru/FilePrivilegesApproval/414</v>
      </c>
      <c r="Z144" s="18"/>
      <c r="AS144" s="1">
        <f>IF($A144&lt;&gt;0,1,0)</f>
        <v>0</v>
      </c>
      <c r="AT144" s="1">
        <f>$A144*$B144</f>
        <v>0</v>
      </c>
      <c r="AU144" s="1">
        <f>$A144*$O144</f>
        <v>0</v>
      </c>
      <c r="AV144" s="1">
        <f>IF($R144=0,0,INT($A144/$R144))</f>
        <v>0</v>
      </c>
      <c r="AW144" s="1">
        <f>$A144-$AV144*$R144</f>
        <v>0</v>
      </c>
    </row>
    <row r="145" ht="24.95" customHeight="1" outlineLevel="1" s="1" customFormat="1">
      <c r="A145" s="15"/>
      <c r="B145" s="16">
        <v>790</v>
      </c>
      <c r="C145" s="17">
        <v>1146</v>
      </c>
      <c r="D145" s="16">
        <v>27023</v>
      </c>
      <c r="E145" s="18"/>
      <c r="F145" s="18" t="s">
        <v>586</v>
      </c>
      <c r="G145" s="18" t="s">
        <v>587</v>
      </c>
      <c r="H145" s="18" t="s">
        <v>171</v>
      </c>
      <c r="I145" s="18"/>
      <c r="J145" s="16">
        <v>2026</v>
      </c>
      <c r="K145" s="18" t="s">
        <v>588</v>
      </c>
      <c r="L145" s="16">
        <v>9785961483765</v>
      </c>
      <c r="M145" s="18" t="s">
        <v>589</v>
      </c>
      <c r="N145" s="16">
        <v>368</v>
      </c>
      <c r="O145" s="19">
        <v>0.63</v>
      </c>
      <c r="P145" s="16">
        <v>180</v>
      </c>
      <c r="Q145" s="16">
        <v>220</v>
      </c>
      <c r="R145" s="16">
        <v>20</v>
      </c>
      <c r="S145" s="18" t="s">
        <v>52</v>
      </c>
      <c r="T145" s="18" t="s">
        <v>509</v>
      </c>
      <c r="U145" s="17">
        <v>2000</v>
      </c>
      <c r="V145" s="18" t="s">
        <v>54</v>
      </c>
      <c r="W145" s="18" t="s">
        <v>91</v>
      </c>
      <c r="X145" s="16">
        <v>10</v>
      </c>
      <c r="Y145" s="43" t="str">
        <f>HYPERLINK("https://api-enni.alpina.ru/FilePrivilegesApproval/184","https://api-enni.alpina.ru/FilePrivilegesApproval/184")</f>
        <v>https://api-enni.alpina.ru/FilePrivilegesApproval/184</v>
      </c>
      <c r="Z145" s="18"/>
      <c r="AS145" s="1">
        <f>IF($A145&lt;&gt;0,1,0)</f>
        <v>0</v>
      </c>
      <c r="AT145" s="1">
        <f>$A145*$B145</f>
        <v>0</v>
      </c>
      <c r="AU145" s="1">
        <f>$A145*$O145</f>
        <v>0</v>
      </c>
      <c r="AV145" s="1">
        <f>IF($R145=0,0,INT($A145/$R145))</f>
        <v>0</v>
      </c>
      <c r="AW145" s="1">
        <f>$A145-$AV145*$R145</f>
        <v>0</v>
      </c>
    </row>
    <row r="146" ht="21.95" customHeight="1" outlineLevel="1" s="1" customFormat="1">
      <c r="A146" s="15"/>
      <c r="B146" s="16">
        <v>990</v>
      </c>
      <c r="C146" s="17">
        <v>1386</v>
      </c>
      <c r="D146" s="16">
        <v>35690</v>
      </c>
      <c r="E146" s="18"/>
      <c r="F146" s="18" t="s">
        <v>590</v>
      </c>
      <c r="G146" s="18" t="s">
        <v>591</v>
      </c>
      <c r="H146" s="18" t="s">
        <v>592</v>
      </c>
      <c r="I146" s="18"/>
      <c r="J146" s="16">
        <v>2026</v>
      </c>
      <c r="K146" s="18" t="s">
        <v>593</v>
      </c>
      <c r="L146" s="16">
        <v>9786018243554</v>
      </c>
      <c r="M146" s="18" t="s">
        <v>594</v>
      </c>
      <c r="N146" s="16">
        <v>512</v>
      </c>
      <c r="O146" s="19">
        <v>0.71</v>
      </c>
      <c r="P146" s="16">
        <v>150</v>
      </c>
      <c r="Q146" s="16">
        <v>220</v>
      </c>
      <c r="R146" s="16">
        <v>10</v>
      </c>
      <c r="S146" s="18" t="s">
        <v>43</v>
      </c>
      <c r="T146" s="18"/>
      <c r="U146" s="17">
        <v>1000</v>
      </c>
      <c r="V146" s="18" t="s">
        <v>77</v>
      </c>
      <c r="W146" s="18" t="s">
        <v>45</v>
      </c>
      <c r="X146" s="16">
        <v>22</v>
      </c>
      <c r="Y146" s="43" t="str">
        <f>HYPERLINK("","")</f>
      </c>
      <c r="Z146" s="18" t="s">
        <v>246</v>
      </c>
      <c r="AS146" s="1">
        <f>IF($A146&lt;&gt;0,1,0)</f>
        <v>0</v>
      </c>
      <c r="AT146" s="1">
        <f>$A146*$B146</f>
        <v>0</v>
      </c>
      <c r="AU146" s="1">
        <f>$A146*$O146</f>
        <v>0</v>
      </c>
      <c r="AV146" s="1">
        <f>IF($R146=0,0,INT($A146/$R146))</f>
        <v>0</v>
      </c>
      <c r="AW146" s="1">
        <f>$A146-$AV146*$R146</f>
        <v>0</v>
      </c>
    </row>
    <row r="147" ht="21.95" customHeight="1" outlineLevel="1" s="1" customFormat="1">
      <c r="A147" s="15"/>
      <c r="B147" s="16">
        <v>990</v>
      </c>
      <c r="C147" s="17">
        <v>1386</v>
      </c>
      <c r="D147" s="16">
        <v>35691</v>
      </c>
      <c r="E147" s="18"/>
      <c r="F147" s="18" t="s">
        <v>590</v>
      </c>
      <c r="G147" s="18" t="s">
        <v>595</v>
      </c>
      <c r="H147" s="18" t="s">
        <v>592</v>
      </c>
      <c r="I147" s="18"/>
      <c r="J147" s="16">
        <v>2026</v>
      </c>
      <c r="K147" s="18" t="s">
        <v>596</v>
      </c>
      <c r="L147" s="16">
        <v>9786018243523</v>
      </c>
      <c r="M147" s="18" t="s">
        <v>597</v>
      </c>
      <c r="N147" s="16">
        <v>672</v>
      </c>
      <c r="O147" s="19">
        <v>0.89</v>
      </c>
      <c r="P147" s="16">
        <v>150</v>
      </c>
      <c r="Q147" s="16">
        <v>220</v>
      </c>
      <c r="R147" s="16">
        <v>4</v>
      </c>
      <c r="S147" s="18" t="s">
        <v>43</v>
      </c>
      <c r="T147" s="18"/>
      <c r="U147" s="17">
        <v>1000</v>
      </c>
      <c r="V147" s="18" t="s">
        <v>77</v>
      </c>
      <c r="W147" s="18" t="s">
        <v>45</v>
      </c>
      <c r="X147" s="16">
        <v>22</v>
      </c>
      <c r="Y147" s="43" t="str">
        <f>HYPERLINK("","")</f>
      </c>
      <c r="Z147" s="18" t="s">
        <v>46</v>
      </c>
      <c r="AS147" s="1">
        <f>IF($A147&lt;&gt;0,1,0)</f>
        <v>0</v>
      </c>
      <c r="AT147" s="1">
        <f>$A147*$B147</f>
        <v>0</v>
      </c>
      <c r="AU147" s="1">
        <f>$A147*$O147</f>
        <v>0</v>
      </c>
      <c r="AV147" s="1">
        <f>IF($R147=0,0,INT($A147/$R147))</f>
        <v>0</v>
      </c>
      <c r="AW147" s="1">
        <f>$A147-$AV147*$R147</f>
        <v>0</v>
      </c>
    </row>
    <row r="148" ht="21.95" customHeight="1" outlineLevel="1" s="1" customFormat="1">
      <c r="A148" s="15"/>
      <c r="B148" s="16">
        <v>540</v>
      </c>
      <c r="C148" s="17">
        <v>1146</v>
      </c>
      <c r="D148" s="16">
        <v>11689</v>
      </c>
      <c r="E148" s="18"/>
      <c r="F148" s="18" t="s">
        <v>598</v>
      </c>
      <c r="G148" s="18" t="s">
        <v>599</v>
      </c>
      <c r="H148" s="18" t="s">
        <v>73</v>
      </c>
      <c r="I148" s="18"/>
      <c r="J148" s="16">
        <v>2026</v>
      </c>
      <c r="K148" s="18" t="s">
        <v>600</v>
      </c>
      <c r="L148" s="16">
        <v>9785001391203</v>
      </c>
      <c r="M148" s="18" t="s">
        <v>601</v>
      </c>
      <c r="N148" s="16">
        <v>314</v>
      </c>
      <c r="O148" s="19">
        <v>0.47</v>
      </c>
      <c r="P148" s="16">
        <v>140</v>
      </c>
      <c r="Q148" s="16">
        <v>210</v>
      </c>
      <c r="R148" s="16">
        <v>10</v>
      </c>
      <c r="S148" s="18" t="s">
        <v>43</v>
      </c>
      <c r="T148" s="18"/>
      <c r="U148" s="17">
        <v>1000</v>
      </c>
      <c r="V148" s="18" t="s">
        <v>77</v>
      </c>
      <c r="W148" s="18" t="s">
        <v>69</v>
      </c>
      <c r="X148" s="16">
        <v>10</v>
      </c>
      <c r="Y148" s="43" t="str">
        <f>HYPERLINK("","")</f>
      </c>
      <c r="Z148" s="18" t="s">
        <v>119</v>
      </c>
      <c r="AS148" s="1">
        <f>IF($A148&lt;&gt;0,1,0)</f>
        <v>0</v>
      </c>
      <c r="AT148" s="1">
        <f>$A148*$B148</f>
        <v>0</v>
      </c>
      <c r="AU148" s="1">
        <f>$A148*$O148</f>
        <v>0</v>
      </c>
      <c r="AV148" s="1">
        <f>IF($R148=0,0,INT($A148/$R148))</f>
        <v>0</v>
      </c>
      <c r="AW148" s="1">
        <f>$A148-$AV148*$R148</f>
        <v>0</v>
      </c>
    </row>
    <row r="149" ht="24.95" customHeight="1" outlineLevel="1" s="1" customFormat="1">
      <c r="A149" s="15"/>
      <c r="B149" s="17">
        <v>1990</v>
      </c>
      <c r="C149" s="17">
        <v>2587</v>
      </c>
      <c r="D149" s="16">
        <v>4681</v>
      </c>
      <c r="E149" s="18"/>
      <c r="F149" s="18" t="s">
        <v>602</v>
      </c>
      <c r="G149" s="18" t="s">
        <v>603</v>
      </c>
      <c r="H149" s="18" t="s">
        <v>95</v>
      </c>
      <c r="I149" s="18" t="s">
        <v>74</v>
      </c>
      <c r="J149" s="16">
        <v>2022</v>
      </c>
      <c r="K149" s="18" t="s">
        <v>604</v>
      </c>
      <c r="L149" s="16">
        <v>9785961437881</v>
      </c>
      <c r="M149" s="18" t="s">
        <v>605</v>
      </c>
      <c r="N149" s="16">
        <v>960</v>
      </c>
      <c r="O149" s="19">
        <v>1.44</v>
      </c>
      <c r="P149" s="16">
        <v>168</v>
      </c>
      <c r="Q149" s="16">
        <v>241</v>
      </c>
      <c r="R149" s="16">
        <v>2</v>
      </c>
      <c r="S149" s="18" t="s">
        <v>123</v>
      </c>
      <c r="T149" s="18"/>
      <c r="U149" s="17">
        <v>3000</v>
      </c>
      <c r="V149" s="18" t="s">
        <v>77</v>
      </c>
      <c r="W149" s="18" t="s">
        <v>184</v>
      </c>
      <c r="X149" s="16">
        <v>10</v>
      </c>
      <c r="Y149" s="43" t="str">
        <f>HYPERLINK("https://api-enni.alpina.ru/FilePrivilegesApproval/2","https://api-enni.alpina.ru/FilePrivilegesApproval/2")</f>
        <v>https://api-enni.alpina.ru/FilePrivilegesApproval/2</v>
      </c>
      <c r="Z149" s="18"/>
      <c r="AS149" s="1">
        <f>IF($A149&lt;&gt;0,1,0)</f>
        <v>0</v>
      </c>
      <c r="AT149" s="1">
        <f>$A149*$B149</f>
        <v>0</v>
      </c>
      <c r="AU149" s="1">
        <f>$A149*$O149</f>
        <v>0</v>
      </c>
      <c r="AV149" s="1">
        <f>IF($R149=0,0,INT($A149/$R149))</f>
        <v>0</v>
      </c>
      <c r="AW149" s="1">
        <f>$A149-$AV149*$R149</f>
        <v>0</v>
      </c>
    </row>
    <row r="150" ht="21.95" customHeight="1" outlineLevel="1" s="1" customFormat="1">
      <c r="A150" s="15"/>
      <c r="B150" s="16">
        <v>956</v>
      </c>
      <c r="C150" s="17">
        <v>1338</v>
      </c>
      <c r="D150" s="16">
        <v>26652</v>
      </c>
      <c r="E150" s="18"/>
      <c r="F150" s="18" t="s">
        <v>606</v>
      </c>
      <c r="G150" s="18" t="s">
        <v>607</v>
      </c>
      <c r="H150" s="18" t="s">
        <v>73</v>
      </c>
      <c r="I150" s="18" t="s">
        <v>74</v>
      </c>
      <c r="J150" s="16">
        <v>2026</v>
      </c>
      <c r="K150" s="18" t="s">
        <v>608</v>
      </c>
      <c r="L150" s="16">
        <v>9785001398080</v>
      </c>
      <c r="M150" s="18" t="s">
        <v>609</v>
      </c>
      <c r="N150" s="16">
        <v>398</v>
      </c>
      <c r="O150" s="19">
        <v>0.5</v>
      </c>
      <c r="P150" s="16">
        <v>140</v>
      </c>
      <c r="Q150" s="16">
        <v>210</v>
      </c>
      <c r="R150" s="16">
        <v>10</v>
      </c>
      <c r="S150" s="18" t="s">
        <v>43</v>
      </c>
      <c r="T150" s="18"/>
      <c r="U150" s="17">
        <v>1000</v>
      </c>
      <c r="V150" s="18" t="s">
        <v>44</v>
      </c>
      <c r="W150" s="18" t="s">
        <v>45</v>
      </c>
      <c r="X150" s="16">
        <v>22</v>
      </c>
      <c r="Y150" s="43" t="str">
        <f>HYPERLINK("","")</f>
      </c>
      <c r="Z150" s="18" t="s">
        <v>410</v>
      </c>
      <c r="AS150" s="1">
        <f>IF($A150&lt;&gt;0,1,0)</f>
        <v>0</v>
      </c>
      <c r="AT150" s="1">
        <f>$A150*$B150</f>
        <v>0</v>
      </c>
      <c r="AU150" s="1">
        <f>$A150*$O150</f>
        <v>0</v>
      </c>
      <c r="AV150" s="1">
        <f>IF($R150=0,0,INT($A150/$R150))</f>
        <v>0</v>
      </c>
      <c r="AW150" s="1">
        <f>$A150-$AV150*$R150</f>
        <v>0</v>
      </c>
    </row>
    <row r="151" ht="24.95" customHeight="1" outlineLevel="1" s="1" customFormat="1">
      <c r="A151" s="15"/>
      <c r="B151" s="17">
        <v>1290</v>
      </c>
      <c r="C151" s="17">
        <v>1742</v>
      </c>
      <c r="D151" s="16">
        <v>17911</v>
      </c>
      <c r="E151" s="18"/>
      <c r="F151" s="18" t="s">
        <v>610</v>
      </c>
      <c r="G151" s="18" t="s">
        <v>611</v>
      </c>
      <c r="H151" s="18" t="s">
        <v>86</v>
      </c>
      <c r="I151" s="18" t="s">
        <v>74</v>
      </c>
      <c r="J151" s="16">
        <v>2025</v>
      </c>
      <c r="K151" s="18" t="s">
        <v>612</v>
      </c>
      <c r="L151" s="16">
        <v>9785961440157</v>
      </c>
      <c r="M151" s="18" t="s">
        <v>613</v>
      </c>
      <c r="N151" s="16">
        <v>935</v>
      </c>
      <c r="O151" s="19">
        <v>1.02</v>
      </c>
      <c r="P151" s="16">
        <v>146</v>
      </c>
      <c r="Q151" s="16">
        <v>216</v>
      </c>
      <c r="R151" s="16">
        <v>4</v>
      </c>
      <c r="S151" s="18" t="s">
        <v>43</v>
      </c>
      <c r="T151" s="18"/>
      <c r="U151" s="17">
        <v>5000</v>
      </c>
      <c r="V151" s="18" t="s">
        <v>77</v>
      </c>
      <c r="W151" s="18" t="s">
        <v>69</v>
      </c>
      <c r="X151" s="16">
        <v>10</v>
      </c>
      <c r="Y151" s="43" t="str">
        <f>HYPERLINK("https://api-enni.alpina.ru/FilePrivilegesApproval/128","https://api-enni.alpina.ru/FilePrivilegesApproval/128")</f>
        <v>https://api-enni.alpina.ru/FilePrivilegesApproval/128</v>
      </c>
      <c r="Z151" s="18"/>
      <c r="AS151" s="1">
        <f>IF($A151&lt;&gt;0,1,0)</f>
        <v>0</v>
      </c>
      <c r="AT151" s="1">
        <f>$A151*$B151</f>
        <v>0</v>
      </c>
      <c r="AU151" s="1">
        <f>$A151*$O151</f>
        <v>0</v>
      </c>
      <c r="AV151" s="1">
        <f>IF($R151=0,0,INT($A151/$R151))</f>
        <v>0</v>
      </c>
      <c r="AW151" s="1">
        <f>$A151-$AV151*$R151</f>
        <v>0</v>
      </c>
    </row>
    <row r="152" ht="21.95" customHeight="1" outlineLevel="1" s="1" customFormat="1">
      <c r="A152" s="15"/>
      <c r="B152" s="17">
        <v>1140</v>
      </c>
      <c r="C152" s="17">
        <v>1539</v>
      </c>
      <c r="D152" s="16">
        <v>17629</v>
      </c>
      <c r="E152" s="18"/>
      <c r="F152" s="18" t="s">
        <v>614</v>
      </c>
      <c r="G152" s="18" t="s">
        <v>615</v>
      </c>
      <c r="H152" s="18" t="s">
        <v>95</v>
      </c>
      <c r="I152" s="18" t="s">
        <v>74</v>
      </c>
      <c r="J152" s="16">
        <v>2025</v>
      </c>
      <c r="K152" s="18" t="s">
        <v>616</v>
      </c>
      <c r="L152" s="16">
        <v>9785907274815</v>
      </c>
      <c r="M152" s="18" t="s">
        <v>617</v>
      </c>
      <c r="N152" s="16">
        <v>231</v>
      </c>
      <c r="O152" s="19">
        <v>0.5</v>
      </c>
      <c r="P152" s="16">
        <v>170</v>
      </c>
      <c r="Q152" s="16">
        <v>240</v>
      </c>
      <c r="R152" s="16">
        <v>10</v>
      </c>
      <c r="S152" s="18" t="s">
        <v>123</v>
      </c>
      <c r="T152" s="18"/>
      <c r="U152" s="17">
        <v>1000</v>
      </c>
      <c r="V152" s="18" t="s">
        <v>77</v>
      </c>
      <c r="W152" s="18" t="s">
        <v>91</v>
      </c>
      <c r="X152" s="16">
        <v>10</v>
      </c>
      <c r="Y152" s="43" t="str">
        <f>HYPERLINK("","")</f>
      </c>
      <c r="Z152" s="18" t="s">
        <v>46</v>
      </c>
      <c r="AS152" s="1">
        <f>IF($A152&lt;&gt;0,1,0)</f>
        <v>0</v>
      </c>
      <c r="AT152" s="1">
        <f>$A152*$B152</f>
        <v>0</v>
      </c>
      <c r="AU152" s="1">
        <f>$A152*$O152</f>
        <v>0</v>
      </c>
      <c r="AV152" s="1">
        <f>IF($R152=0,0,INT($A152/$R152))</f>
        <v>0</v>
      </c>
      <c r="AW152" s="1">
        <f>$A152-$AV152*$R152</f>
        <v>0</v>
      </c>
    </row>
    <row r="153" ht="21.95" customHeight="1" outlineLevel="1" s="1" customFormat="1">
      <c r="A153" s="15"/>
      <c r="B153" s="17">
        <v>1000</v>
      </c>
      <c r="C153" s="17">
        <v>1400</v>
      </c>
      <c r="D153" s="16">
        <v>17169</v>
      </c>
      <c r="E153" s="18"/>
      <c r="F153" s="18" t="s">
        <v>618</v>
      </c>
      <c r="G153" s="18" t="s">
        <v>619</v>
      </c>
      <c r="H153" s="18" t="s">
        <v>73</v>
      </c>
      <c r="I153" s="18" t="s">
        <v>74</v>
      </c>
      <c r="J153" s="16">
        <v>2026</v>
      </c>
      <c r="K153" s="18" t="s">
        <v>620</v>
      </c>
      <c r="L153" s="16">
        <v>9785001392279</v>
      </c>
      <c r="M153" s="18" t="s">
        <v>621</v>
      </c>
      <c r="N153" s="16">
        <v>430</v>
      </c>
      <c r="O153" s="19">
        <v>0.6</v>
      </c>
      <c r="P153" s="16">
        <v>146</v>
      </c>
      <c r="Q153" s="16">
        <v>216</v>
      </c>
      <c r="R153" s="16">
        <v>5</v>
      </c>
      <c r="S153" s="18" t="s">
        <v>43</v>
      </c>
      <c r="T153" s="18"/>
      <c r="U153" s="17">
        <v>1000</v>
      </c>
      <c r="V153" s="18" t="s">
        <v>77</v>
      </c>
      <c r="W153" s="18" t="s">
        <v>69</v>
      </c>
      <c r="X153" s="16">
        <v>10</v>
      </c>
      <c r="Y153" s="43" t="str">
        <f>HYPERLINK("","")</f>
      </c>
      <c r="Z153" s="18" t="s">
        <v>119</v>
      </c>
      <c r="AS153" s="1">
        <f>IF($A153&lt;&gt;0,1,0)</f>
        <v>0</v>
      </c>
      <c r="AT153" s="1">
        <f>$A153*$B153</f>
        <v>0</v>
      </c>
      <c r="AU153" s="1">
        <f>$A153*$O153</f>
        <v>0</v>
      </c>
      <c r="AV153" s="1">
        <f>IF($R153=0,0,INT($A153/$R153))</f>
        <v>0</v>
      </c>
      <c r="AW153" s="1">
        <f>$A153-$AV153*$R153</f>
        <v>0</v>
      </c>
    </row>
    <row r="154" ht="24.95" customHeight="1" outlineLevel="1" s="1" customFormat="1">
      <c r="A154" s="15"/>
      <c r="B154" s="16">
        <v>340</v>
      </c>
      <c r="C154" s="16">
        <v>544</v>
      </c>
      <c r="D154" s="16">
        <v>12585</v>
      </c>
      <c r="E154" s="18"/>
      <c r="F154" s="18" t="s">
        <v>622</v>
      </c>
      <c r="G154" s="18" t="s">
        <v>623</v>
      </c>
      <c r="H154" s="18" t="s">
        <v>86</v>
      </c>
      <c r="I154" s="18" t="s">
        <v>87</v>
      </c>
      <c r="J154" s="16">
        <v>2026</v>
      </c>
      <c r="K154" s="18" t="s">
        <v>624</v>
      </c>
      <c r="L154" s="16">
        <v>9785961426151</v>
      </c>
      <c r="M154" s="18" t="s">
        <v>625</v>
      </c>
      <c r="N154" s="16">
        <v>218</v>
      </c>
      <c r="O154" s="19">
        <v>0.13</v>
      </c>
      <c r="P154" s="16">
        <v>120</v>
      </c>
      <c r="Q154" s="16">
        <v>170</v>
      </c>
      <c r="R154" s="16">
        <v>16</v>
      </c>
      <c r="S154" s="18" t="s">
        <v>190</v>
      </c>
      <c r="T154" s="18" t="s">
        <v>565</v>
      </c>
      <c r="U154" s="17">
        <v>10000</v>
      </c>
      <c r="V154" s="18" t="s">
        <v>44</v>
      </c>
      <c r="W154" s="18" t="s">
        <v>184</v>
      </c>
      <c r="X154" s="16">
        <v>10</v>
      </c>
      <c r="Y154" s="43" t="str">
        <f>HYPERLINK("https://api-enni.alpina.ru/FilePrivilegesApproval/156","https://api-enni.alpina.ru/FilePrivilegesApproval/156")</f>
        <v>https://api-enni.alpina.ru/FilePrivilegesApproval/156</v>
      </c>
      <c r="Z154" s="18" t="s">
        <v>251</v>
      </c>
      <c r="AS154" s="1">
        <f>IF($A154&lt;&gt;0,1,0)</f>
        <v>0</v>
      </c>
      <c r="AT154" s="1">
        <f>$A154*$B154</f>
        <v>0</v>
      </c>
      <c r="AU154" s="1">
        <f>$A154*$O154</f>
        <v>0</v>
      </c>
      <c r="AV154" s="1">
        <f>IF($R154=0,0,INT($A154/$R154))</f>
        <v>0</v>
      </c>
      <c r="AW154" s="1">
        <f>$A154-$AV154*$R154</f>
        <v>0</v>
      </c>
    </row>
    <row r="155" ht="24.95" customHeight="1" outlineLevel="1" s="1" customFormat="1">
      <c r="A155" s="15"/>
      <c r="B155" s="17">
        <v>1140</v>
      </c>
      <c r="C155" s="17">
        <v>1539</v>
      </c>
      <c r="D155" s="16">
        <v>1747</v>
      </c>
      <c r="E155" s="18"/>
      <c r="F155" s="18" t="s">
        <v>496</v>
      </c>
      <c r="G155" s="18" t="s">
        <v>626</v>
      </c>
      <c r="H155" s="18" t="s">
        <v>86</v>
      </c>
      <c r="I155" s="18" t="s">
        <v>74</v>
      </c>
      <c r="J155" s="16">
        <v>2026</v>
      </c>
      <c r="K155" s="18" t="s">
        <v>627</v>
      </c>
      <c r="L155" s="16">
        <v>9785961465372</v>
      </c>
      <c r="M155" s="18" t="s">
        <v>628</v>
      </c>
      <c r="N155" s="16">
        <v>808</v>
      </c>
      <c r="O155" s="19">
        <v>0.99</v>
      </c>
      <c r="P155" s="16">
        <v>150</v>
      </c>
      <c r="Q155" s="16">
        <v>210</v>
      </c>
      <c r="R155" s="16">
        <v>4</v>
      </c>
      <c r="S155" s="18" t="s">
        <v>43</v>
      </c>
      <c r="T155" s="18"/>
      <c r="U155" s="17">
        <v>6000</v>
      </c>
      <c r="V155" s="18" t="s">
        <v>77</v>
      </c>
      <c r="W155" s="18" t="s">
        <v>69</v>
      </c>
      <c r="X155" s="16">
        <v>10</v>
      </c>
      <c r="Y155" s="43" t="str">
        <f>HYPERLINK("https://api-enni.alpina.ru/FilePrivilegesApproval/2","https://api-enni.alpina.ru/FilePrivilegesApproval/2")</f>
        <v>https://api-enni.alpina.ru/FilePrivilegesApproval/2</v>
      </c>
      <c r="Z155" s="18" t="s">
        <v>629</v>
      </c>
      <c r="AS155" s="1">
        <f>IF($A155&lt;&gt;0,1,0)</f>
        <v>0</v>
      </c>
      <c r="AT155" s="1">
        <f>$A155*$B155</f>
        <v>0</v>
      </c>
      <c r="AU155" s="1">
        <f>$A155*$O155</f>
        <v>0</v>
      </c>
      <c r="AV155" s="1">
        <f>IF($R155=0,0,INT($A155/$R155))</f>
        <v>0</v>
      </c>
      <c r="AW155" s="1">
        <f>$A155-$AV155*$R155</f>
        <v>0</v>
      </c>
    </row>
    <row r="156" ht="24.95" customHeight="1" outlineLevel="1" s="1" customFormat="1">
      <c r="A156" s="15"/>
      <c r="B156" s="16">
        <v>890</v>
      </c>
      <c r="C156" s="17">
        <v>2012</v>
      </c>
      <c r="D156" s="16">
        <v>35879</v>
      </c>
      <c r="E156" s="18"/>
      <c r="F156" s="18" t="s">
        <v>630</v>
      </c>
      <c r="G156" s="18" t="s">
        <v>631</v>
      </c>
      <c r="H156" s="18" t="s">
        <v>95</v>
      </c>
      <c r="I156" s="18"/>
      <c r="J156" s="16">
        <v>2026</v>
      </c>
      <c r="K156" s="18" t="s">
        <v>632</v>
      </c>
      <c r="L156" s="16">
        <v>9785206006094</v>
      </c>
      <c r="M156" s="18" t="s">
        <v>633</v>
      </c>
      <c r="N156" s="16">
        <v>352</v>
      </c>
      <c r="O156" s="19">
        <v>0.62</v>
      </c>
      <c r="P156" s="16">
        <v>150</v>
      </c>
      <c r="Q156" s="16">
        <v>220</v>
      </c>
      <c r="R156" s="16">
        <v>8</v>
      </c>
      <c r="S156" s="18" t="s">
        <v>43</v>
      </c>
      <c r="T156" s="18"/>
      <c r="U156" s="17">
        <v>1005</v>
      </c>
      <c r="V156" s="18" t="s">
        <v>77</v>
      </c>
      <c r="W156" s="18" t="s">
        <v>69</v>
      </c>
      <c r="X156" s="16">
        <v>10</v>
      </c>
      <c r="Y156" s="43" t="str">
        <f>HYPERLINK("https://api-enni.alpina.ru/FilePrivilegesApproval/1181","https://api-enni.alpina.ru/FilePrivilegesApproval/1181")</f>
        <v>https://api-enni.alpina.ru/FilePrivilegesApproval/1181</v>
      </c>
      <c r="Z156" s="18"/>
      <c r="AS156" s="1">
        <f>IF($A156&lt;&gt;0,1,0)</f>
        <v>0</v>
      </c>
      <c r="AT156" s="1">
        <f>$A156*$B156</f>
        <v>0</v>
      </c>
      <c r="AU156" s="1">
        <f>$A156*$O156</f>
        <v>0</v>
      </c>
      <c r="AV156" s="1">
        <f>IF($R156=0,0,INT($A156/$R156))</f>
        <v>0</v>
      </c>
      <c r="AW156" s="1">
        <f>$A156-$AV156*$R156</f>
        <v>0</v>
      </c>
    </row>
    <row r="157" ht="21.95" customHeight="1" outlineLevel="1" s="1" customFormat="1">
      <c r="A157" s="15"/>
      <c r="B157" s="16">
        <v>490</v>
      </c>
      <c r="C157" s="16">
        <v>760</v>
      </c>
      <c r="D157" s="16">
        <v>32509</v>
      </c>
      <c r="E157" s="18"/>
      <c r="F157" s="18" t="s">
        <v>634</v>
      </c>
      <c r="G157" s="18" t="s">
        <v>635</v>
      </c>
      <c r="H157" s="18" t="s">
        <v>86</v>
      </c>
      <c r="I157" s="18" t="s">
        <v>636</v>
      </c>
      <c r="J157" s="16">
        <v>2026</v>
      </c>
      <c r="K157" s="18" t="s">
        <v>637</v>
      </c>
      <c r="L157" s="16">
        <v>9785006302419</v>
      </c>
      <c r="M157" s="18" t="s">
        <v>638</v>
      </c>
      <c r="N157" s="16">
        <v>198</v>
      </c>
      <c r="O157" s="19">
        <v>0.34</v>
      </c>
      <c r="P157" s="16">
        <v>150</v>
      </c>
      <c r="Q157" s="16">
        <v>220</v>
      </c>
      <c r="R157" s="16">
        <v>10</v>
      </c>
      <c r="S157" s="18" t="s">
        <v>43</v>
      </c>
      <c r="T157" s="18"/>
      <c r="U157" s="17">
        <v>1000</v>
      </c>
      <c r="V157" s="18" t="s">
        <v>77</v>
      </c>
      <c r="W157" s="18" t="s">
        <v>184</v>
      </c>
      <c r="X157" s="16">
        <v>10</v>
      </c>
      <c r="Y157" s="43" t="str">
        <f>HYPERLINK("","")</f>
      </c>
      <c r="Z157" s="18" t="s">
        <v>119</v>
      </c>
      <c r="AS157" s="1">
        <f>IF($A157&lt;&gt;0,1,0)</f>
        <v>0</v>
      </c>
      <c r="AT157" s="1">
        <f>$A157*$B157</f>
        <v>0</v>
      </c>
      <c r="AU157" s="1">
        <f>$A157*$O157</f>
        <v>0</v>
      </c>
      <c r="AV157" s="1">
        <f>IF($R157=0,0,INT($A157/$R157))</f>
        <v>0</v>
      </c>
      <c r="AW157" s="1">
        <f>$A157-$AV157*$R157</f>
        <v>0</v>
      </c>
    </row>
    <row r="158" ht="24.95" customHeight="1" outlineLevel="1" s="1" customFormat="1">
      <c r="A158" s="15"/>
      <c r="B158" s="16">
        <v>790</v>
      </c>
      <c r="C158" s="17">
        <v>1146</v>
      </c>
      <c r="D158" s="16">
        <v>17422</v>
      </c>
      <c r="E158" s="18"/>
      <c r="F158" s="18" t="s">
        <v>639</v>
      </c>
      <c r="G158" s="18" t="s">
        <v>640</v>
      </c>
      <c r="H158" s="18" t="s">
        <v>86</v>
      </c>
      <c r="I158" s="18"/>
      <c r="J158" s="16">
        <v>2026</v>
      </c>
      <c r="K158" s="18" t="s">
        <v>641</v>
      </c>
      <c r="L158" s="16">
        <v>9785961481365</v>
      </c>
      <c r="M158" s="18" t="s">
        <v>642</v>
      </c>
      <c r="N158" s="16">
        <v>413</v>
      </c>
      <c r="O158" s="19">
        <v>0.43</v>
      </c>
      <c r="P158" s="16">
        <v>130</v>
      </c>
      <c r="Q158" s="16">
        <v>200</v>
      </c>
      <c r="R158" s="16">
        <v>10</v>
      </c>
      <c r="S158" s="18" t="s">
        <v>90</v>
      </c>
      <c r="T158" s="18"/>
      <c r="U158" s="17">
        <v>1000</v>
      </c>
      <c r="V158" s="18" t="s">
        <v>44</v>
      </c>
      <c r="W158" s="18" t="s">
        <v>69</v>
      </c>
      <c r="X158" s="16">
        <v>10</v>
      </c>
      <c r="Y158" s="43" t="str">
        <f>HYPERLINK("https://api-enni.alpina.ru/FilePrivilegesApproval/205","https://api-enni.alpina.ru/FilePrivilegesApproval/205")</f>
        <v>https://api-enni.alpina.ru/FilePrivilegesApproval/205</v>
      </c>
      <c r="Z158" s="18" t="s">
        <v>119</v>
      </c>
      <c r="AS158" s="1">
        <f>IF($A158&lt;&gt;0,1,0)</f>
        <v>0</v>
      </c>
      <c r="AT158" s="1">
        <f>$A158*$B158</f>
        <v>0</v>
      </c>
      <c r="AU158" s="1">
        <f>$A158*$O158</f>
        <v>0</v>
      </c>
      <c r="AV158" s="1">
        <f>IF($R158=0,0,INT($A158/$R158))</f>
        <v>0</v>
      </c>
      <c r="AW158" s="1">
        <f>$A158-$AV158*$R158</f>
        <v>0</v>
      </c>
    </row>
    <row r="159" ht="24.95" customHeight="1" outlineLevel="1" s="1" customFormat="1">
      <c r="A159" s="15"/>
      <c r="B159" s="16">
        <v>340</v>
      </c>
      <c r="C159" s="16">
        <v>544</v>
      </c>
      <c r="D159" s="16">
        <v>11082</v>
      </c>
      <c r="E159" s="18"/>
      <c r="F159" s="18" t="s">
        <v>643</v>
      </c>
      <c r="G159" s="18" t="s">
        <v>644</v>
      </c>
      <c r="H159" s="18" t="s">
        <v>86</v>
      </c>
      <c r="I159" s="18" t="s">
        <v>74</v>
      </c>
      <c r="J159" s="16">
        <v>2025</v>
      </c>
      <c r="K159" s="18" t="s">
        <v>645</v>
      </c>
      <c r="L159" s="16">
        <v>9785961411799</v>
      </c>
      <c r="M159" s="18" t="s">
        <v>646</v>
      </c>
      <c r="N159" s="16">
        <v>224</v>
      </c>
      <c r="O159" s="19">
        <v>0.15</v>
      </c>
      <c r="P159" s="16">
        <v>115</v>
      </c>
      <c r="Q159" s="16">
        <v>165</v>
      </c>
      <c r="R159" s="16">
        <v>14</v>
      </c>
      <c r="S159" s="18" t="s">
        <v>190</v>
      </c>
      <c r="T159" s="18" t="s">
        <v>451</v>
      </c>
      <c r="U159" s="17">
        <v>20000</v>
      </c>
      <c r="V159" s="18" t="s">
        <v>44</v>
      </c>
      <c r="W159" s="18" t="s">
        <v>184</v>
      </c>
      <c r="X159" s="16">
        <v>10</v>
      </c>
      <c r="Y159" s="43" t="str">
        <f>HYPERLINK("https://api-enni.alpina.ru/FilePrivilegesApproval/152","https://api-enni.alpina.ru/FilePrivilegesApproval/152")</f>
        <v>https://api-enni.alpina.ru/FilePrivilegesApproval/152</v>
      </c>
      <c r="Z159" s="18"/>
      <c r="AS159" s="1">
        <f>IF($A159&lt;&gt;0,1,0)</f>
        <v>0</v>
      </c>
      <c r="AT159" s="1">
        <f>$A159*$B159</f>
        <v>0</v>
      </c>
      <c r="AU159" s="1">
        <f>$A159*$O159</f>
        <v>0</v>
      </c>
      <c r="AV159" s="1">
        <f>IF($R159=0,0,INT($A159/$R159))</f>
        <v>0</v>
      </c>
      <c r="AW159" s="1">
        <f>$A159-$AV159*$R159</f>
        <v>0</v>
      </c>
    </row>
    <row r="160" ht="21.95" customHeight="1" outlineLevel="1" s="1" customFormat="1">
      <c r="A160" s="15"/>
      <c r="B160" s="16">
        <v>690</v>
      </c>
      <c r="C160" s="17">
        <v>1035</v>
      </c>
      <c r="D160" s="16">
        <v>32336</v>
      </c>
      <c r="E160" s="18"/>
      <c r="F160" s="18" t="s">
        <v>643</v>
      </c>
      <c r="G160" s="18" t="s">
        <v>647</v>
      </c>
      <c r="H160" s="18" t="s">
        <v>86</v>
      </c>
      <c r="I160" s="18" t="s">
        <v>74</v>
      </c>
      <c r="J160" s="16">
        <v>2026</v>
      </c>
      <c r="K160" s="18" t="s">
        <v>648</v>
      </c>
      <c r="L160" s="16">
        <v>9785006301924</v>
      </c>
      <c r="M160" s="18" t="s">
        <v>649</v>
      </c>
      <c r="N160" s="16">
        <v>208</v>
      </c>
      <c r="O160" s="19">
        <v>0.36</v>
      </c>
      <c r="P160" s="16">
        <v>150</v>
      </c>
      <c r="Q160" s="16">
        <v>220</v>
      </c>
      <c r="R160" s="16">
        <v>16</v>
      </c>
      <c r="S160" s="18" t="s">
        <v>43</v>
      </c>
      <c r="T160" s="18"/>
      <c r="U160" s="17">
        <v>2000</v>
      </c>
      <c r="V160" s="18" t="s">
        <v>77</v>
      </c>
      <c r="W160" s="18" t="s">
        <v>184</v>
      </c>
      <c r="X160" s="16">
        <v>10</v>
      </c>
      <c r="Y160" s="43" t="str">
        <f>HYPERLINK("","")</f>
      </c>
      <c r="Z160" s="18" t="s">
        <v>98</v>
      </c>
      <c r="AS160" s="1">
        <f>IF($A160&lt;&gt;0,1,0)</f>
        <v>0</v>
      </c>
      <c r="AT160" s="1">
        <f>$A160*$B160</f>
        <v>0</v>
      </c>
      <c r="AU160" s="1">
        <f>$A160*$O160</f>
        <v>0</v>
      </c>
      <c r="AV160" s="1">
        <f>IF($R160=0,0,INT($A160/$R160))</f>
        <v>0</v>
      </c>
      <c r="AW160" s="1">
        <f>$A160-$AV160*$R160</f>
        <v>0</v>
      </c>
    </row>
    <row r="161" ht="21.95" customHeight="1" outlineLevel="1" s="1" customFormat="1">
      <c r="A161" s="15"/>
      <c r="B161" s="16">
        <v>750</v>
      </c>
      <c r="C161" s="17">
        <v>1088</v>
      </c>
      <c r="D161" s="16">
        <v>32430</v>
      </c>
      <c r="E161" s="18"/>
      <c r="F161" s="18" t="s">
        <v>650</v>
      </c>
      <c r="G161" s="18" t="s">
        <v>651</v>
      </c>
      <c r="H161" s="18" t="s">
        <v>49</v>
      </c>
      <c r="I161" s="18"/>
      <c r="J161" s="16">
        <v>2025</v>
      </c>
      <c r="K161" s="18" t="s">
        <v>652</v>
      </c>
      <c r="L161" s="16">
        <v>9785006302259</v>
      </c>
      <c r="M161" s="18" t="s">
        <v>653</v>
      </c>
      <c r="N161" s="16">
        <v>152</v>
      </c>
      <c r="O161" s="19">
        <v>0.29</v>
      </c>
      <c r="P161" s="16">
        <v>150</v>
      </c>
      <c r="Q161" s="16">
        <v>220</v>
      </c>
      <c r="R161" s="16">
        <v>10</v>
      </c>
      <c r="S161" s="18" t="s">
        <v>43</v>
      </c>
      <c r="T161" s="18"/>
      <c r="U161" s="17">
        <v>1500</v>
      </c>
      <c r="V161" s="18" t="s">
        <v>77</v>
      </c>
      <c r="W161" s="18" t="s">
        <v>45</v>
      </c>
      <c r="X161" s="16">
        <v>22</v>
      </c>
      <c r="Y161" s="43" t="str">
        <f>HYPERLINK("","")</f>
      </c>
      <c r="Z161" s="18"/>
      <c r="AS161" s="1">
        <f>IF($A161&lt;&gt;0,1,0)</f>
        <v>0</v>
      </c>
      <c r="AT161" s="1">
        <f>$A161*$B161</f>
        <v>0</v>
      </c>
      <c r="AU161" s="1">
        <f>$A161*$O161</f>
        <v>0</v>
      </c>
      <c r="AV161" s="1">
        <f>IF($R161=0,0,INT($A161/$R161))</f>
        <v>0</v>
      </c>
      <c r="AW161" s="1">
        <f>$A161-$AV161*$R161</f>
        <v>0</v>
      </c>
    </row>
    <row r="162" ht="24.95" customHeight="1" outlineLevel="1" s="1" customFormat="1">
      <c r="A162" s="15"/>
      <c r="B162" s="16">
        <v>690</v>
      </c>
      <c r="C162" s="17">
        <v>1035</v>
      </c>
      <c r="D162" s="16">
        <v>17910</v>
      </c>
      <c r="E162" s="18"/>
      <c r="F162" s="18" t="s">
        <v>654</v>
      </c>
      <c r="G162" s="18" t="s">
        <v>655</v>
      </c>
      <c r="H162" s="18" t="s">
        <v>86</v>
      </c>
      <c r="I162" s="18"/>
      <c r="J162" s="16">
        <v>2026</v>
      </c>
      <c r="K162" s="18" t="s">
        <v>656</v>
      </c>
      <c r="L162" s="16">
        <v>9785961434187</v>
      </c>
      <c r="M162" s="18" t="s">
        <v>657</v>
      </c>
      <c r="N162" s="16">
        <v>185</v>
      </c>
      <c r="O162" s="19">
        <v>0.32</v>
      </c>
      <c r="P162" s="16">
        <v>146</v>
      </c>
      <c r="Q162" s="16">
        <v>216</v>
      </c>
      <c r="R162" s="16">
        <v>10</v>
      </c>
      <c r="S162" s="18" t="s">
        <v>43</v>
      </c>
      <c r="T162" s="18"/>
      <c r="U162" s="17">
        <v>1000</v>
      </c>
      <c r="V162" s="18" t="s">
        <v>77</v>
      </c>
      <c r="W162" s="18" t="s">
        <v>55</v>
      </c>
      <c r="X162" s="16">
        <v>10</v>
      </c>
      <c r="Y162" s="43" t="str">
        <f>HYPERLINK("https://api-enni.alpina.ru/FilePrivilegesApproval/68","https://api-enni.alpina.ru/FilePrivilegesApproval/68")</f>
        <v>https://api-enni.alpina.ru/FilePrivilegesApproval/68</v>
      </c>
      <c r="Z162" s="18" t="s">
        <v>46</v>
      </c>
      <c r="AS162" s="1">
        <f>IF($A162&lt;&gt;0,1,0)</f>
        <v>0</v>
      </c>
      <c r="AT162" s="1">
        <f>$A162*$B162</f>
        <v>0</v>
      </c>
      <c r="AU162" s="1">
        <f>$A162*$O162</f>
        <v>0</v>
      </c>
      <c r="AV162" s="1">
        <f>IF($R162=0,0,INT($A162/$R162))</f>
        <v>0</v>
      </c>
      <c r="AW162" s="1">
        <f>$A162-$AV162*$R162</f>
        <v>0</v>
      </c>
    </row>
    <row r="163" ht="24.95" customHeight="1" outlineLevel="1" s="1" customFormat="1">
      <c r="A163" s="15"/>
      <c r="B163" s="16">
        <v>790</v>
      </c>
      <c r="C163" s="17">
        <v>1146</v>
      </c>
      <c r="D163" s="16">
        <v>5188</v>
      </c>
      <c r="E163" s="18"/>
      <c r="F163" s="18" t="s">
        <v>496</v>
      </c>
      <c r="G163" s="18" t="s">
        <v>658</v>
      </c>
      <c r="H163" s="18" t="s">
        <v>86</v>
      </c>
      <c r="I163" s="18" t="s">
        <v>74</v>
      </c>
      <c r="J163" s="16">
        <v>2026</v>
      </c>
      <c r="K163" s="18" t="s">
        <v>659</v>
      </c>
      <c r="L163" s="16">
        <v>9785961466935</v>
      </c>
      <c r="M163" s="18" t="s">
        <v>660</v>
      </c>
      <c r="N163" s="16">
        <v>422</v>
      </c>
      <c r="O163" s="19">
        <v>0.64</v>
      </c>
      <c r="P163" s="16">
        <v>160</v>
      </c>
      <c r="Q163" s="16">
        <v>220</v>
      </c>
      <c r="R163" s="16">
        <v>10</v>
      </c>
      <c r="S163" s="18" t="s">
        <v>43</v>
      </c>
      <c r="T163" s="18"/>
      <c r="U163" s="17">
        <v>1000</v>
      </c>
      <c r="V163" s="18" t="s">
        <v>77</v>
      </c>
      <c r="W163" s="18" t="s">
        <v>184</v>
      </c>
      <c r="X163" s="16">
        <v>10</v>
      </c>
      <c r="Y163" s="43" t="str">
        <f>HYPERLINK("https://api-enni.alpina.ru/FilePrivilegesApproval/2","https://api-enni.alpina.ru/FilePrivilegesApproval/2")</f>
        <v>https://api-enni.alpina.ru/FilePrivilegesApproval/2</v>
      </c>
      <c r="Z163" s="18" t="s">
        <v>46</v>
      </c>
      <c r="AS163" s="1">
        <f>IF($A163&lt;&gt;0,1,0)</f>
        <v>0</v>
      </c>
      <c r="AT163" s="1">
        <f>$A163*$B163</f>
        <v>0</v>
      </c>
      <c r="AU163" s="1">
        <f>$A163*$O163</f>
        <v>0</v>
      </c>
      <c r="AV163" s="1">
        <f>IF($R163=0,0,INT($A163/$R163))</f>
        <v>0</v>
      </c>
      <c r="AW163" s="1">
        <f>$A163-$AV163*$R163</f>
        <v>0</v>
      </c>
    </row>
    <row r="164" ht="24.95" customHeight="1" outlineLevel="1" s="1" customFormat="1">
      <c r="A164" s="15"/>
      <c r="B164" s="16">
        <v>990</v>
      </c>
      <c r="C164" s="17">
        <v>1386</v>
      </c>
      <c r="D164" s="16">
        <v>32043</v>
      </c>
      <c r="E164" s="18"/>
      <c r="F164" s="18" t="s">
        <v>661</v>
      </c>
      <c r="G164" s="18" t="s">
        <v>662</v>
      </c>
      <c r="H164" s="18" t="s">
        <v>86</v>
      </c>
      <c r="I164" s="18" t="s">
        <v>74</v>
      </c>
      <c r="J164" s="16">
        <v>2026</v>
      </c>
      <c r="K164" s="18" t="s">
        <v>663</v>
      </c>
      <c r="L164" s="16">
        <v>9785006300989</v>
      </c>
      <c r="M164" s="18" t="s">
        <v>664</v>
      </c>
      <c r="N164" s="16">
        <v>216</v>
      </c>
      <c r="O164" s="19">
        <v>0.39</v>
      </c>
      <c r="P164" s="16">
        <v>150</v>
      </c>
      <c r="Q164" s="16">
        <v>220</v>
      </c>
      <c r="R164" s="16">
        <v>16</v>
      </c>
      <c r="S164" s="18" t="s">
        <v>43</v>
      </c>
      <c r="T164" s="18"/>
      <c r="U164" s="17">
        <v>2000</v>
      </c>
      <c r="V164" s="18" t="s">
        <v>54</v>
      </c>
      <c r="W164" s="18" t="s">
        <v>184</v>
      </c>
      <c r="X164" s="16">
        <v>22</v>
      </c>
      <c r="Y164" s="43" t="str">
        <f>HYPERLINK("","")</f>
      </c>
      <c r="Z164" s="18" t="s">
        <v>98</v>
      </c>
      <c r="AS164" s="1">
        <f>IF($A164&lt;&gt;0,1,0)</f>
        <v>0</v>
      </c>
      <c r="AT164" s="1">
        <f>$A164*$B164</f>
        <v>0</v>
      </c>
      <c r="AU164" s="1">
        <f>$A164*$O164</f>
        <v>0</v>
      </c>
      <c r="AV164" s="1">
        <f>IF($R164=0,0,INT($A164/$R164))</f>
        <v>0</v>
      </c>
      <c r="AW164" s="1">
        <f>$A164-$AV164*$R164</f>
        <v>0</v>
      </c>
    </row>
    <row r="165" ht="24.95" customHeight="1" outlineLevel="1" s="1" customFormat="1">
      <c r="A165" s="15"/>
      <c r="B165" s="16">
        <v>990</v>
      </c>
      <c r="C165" s="17">
        <v>1386</v>
      </c>
      <c r="D165" s="16">
        <v>32044</v>
      </c>
      <c r="E165" s="18"/>
      <c r="F165" s="18" t="s">
        <v>661</v>
      </c>
      <c r="G165" s="18" t="s">
        <v>665</v>
      </c>
      <c r="H165" s="18" t="s">
        <v>86</v>
      </c>
      <c r="I165" s="18" t="s">
        <v>74</v>
      </c>
      <c r="J165" s="16">
        <v>2026</v>
      </c>
      <c r="K165" s="18" t="s">
        <v>666</v>
      </c>
      <c r="L165" s="16">
        <v>9785006300996</v>
      </c>
      <c r="M165" s="18" t="s">
        <v>667</v>
      </c>
      <c r="N165" s="16">
        <v>216</v>
      </c>
      <c r="O165" s="19">
        <v>0.39</v>
      </c>
      <c r="P165" s="16">
        <v>150</v>
      </c>
      <c r="Q165" s="16">
        <v>220</v>
      </c>
      <c r="R165" s="16">
        <v>16</v>
      </c>
      <c r="S165" s="18" t="s">
        <v>43</v>
      </c>
      <c r="T165" s="18"/>
      <c r="U165" s="17">
        <v>3000</v>
      </c>
      <c r="V165" s="18" t="s">
        <v>54</v>
      </c>
      <c r="W165" s="18" t="s">
        <v>184</v>
      </c>
      <c r="X165" s="16">
        <v>22</v>
      </c>
      <c r="Y165" s="43" t="str">
        <f>HYPERLINK("","")</f>
      </c>
      <c r="Z165" s="18" t="s">
        <v>98</v>
      </c>
      <c r="AS165" s="1">
        <f>IF($A165&lt;&gt;0,1,0)</f>
        <v>0</v>
      </c>
      <c r="AT165" s="1">
        <f>$A165*$B165</f>
        <v>0</v>
      </c>
      <c r="AU165" s="1">
        <f>$A165*$O165</f>
        <v>0</v>
      </c>
      <c r="AV165" s="1">
        <f>IF($R165=0,0,INT($A165/$R165))</f>
        <v>0</v>
      </c>
      <c r="AW165" s="1">
        <f>$A165-$AV165*$R165</f>
        <v>0</v>
      </c>
    </row>
    <row r="166" ht="21.95" customHeight="1" outlineLevel="1" s="1" customFormat="1">
      <c r="A166" s="15"/>
      <c r="B166" s="17">
        <v>1180</v>
      </c>
      <c r="C166" s="17">
        <v>1593</v>
      </c>
      <c r="D166" s="16">
        <v>34967</v>
      </c>
      <c r="E166" s="18"/>
      <c r="F166" s="18" t="s">
        <v>668</v>
      </c>
      <c r="G166" s="18" t="s">
        <v>669</v>
      </c>
      <c r="H166" s="18" t="s">
        <v>73</v>
      </c>
      <c r="I166" s="18"/>
      <c r="J166" s="16">
        <v>2026</v>
      </c>
      <c r="K166" s="18" t="s">
        <v>670</v>
      </c>
      <c r="L166" s="16">
        <v>9785002237227</v>
      </c>
      <c r="M166" s="18" t="s">
        <v>671</v>
      </c>
      <c r="N166" s="16">
        <v>664</v>
      </c>
      <c r="O166" s="19">
        <v>1.16</v>
      </c>
      <c r="P166" s="16">
        <v>170</v>
      </c>
      <c r="Q166" s="16">
        <v>240</v>
      </c>
      <c r="R166" s="16">
        <v>4</v>
      </c>
      <c r="S166" s="18" t="s">
        <v>123</v>
      </c>
      <c r="T166" s="18"/>
      <c r="U166" s="17">
        <v>15000</v>
      </c>
      <c r="V166" s="18" t="s">
        <v>77</v>
      </c>
      <c r="W166" s="18" t="s">
        <v>45</v>
      </c>
      <c r="X166" s="16">
        <v>22</v>
      </c>
      <c r="Y166" s="43" t="str">
        <f>HYPERLINK("","")</f>
      </c>
      <c r="Z166" s="18" t="s">
        <v>211</v>
      </c>
      <c r="AS166" s="1">
        <f>IF($A166&lt;&gt;0,1,0)</f>
        <v>0</v>
      </c>
      <c r="AT166" s="1">
        <f>$A166*$B166</f>
        <v>0</v>
      </c>
      <c r="AU166" s="1">
        <f>$A166*$O166</f>
        <v>0</v>
      </c>
      <c r="AV166" s="1">
        <f>IF($R166=0,0,INT($A166/$R166))</f>
        <v>0</v>
      </c>
      <c r="AW166" s="1">
        <f>$A166-$AV166*$R166</f>
        <v>0</v>
      </c>
    </row>
    <row r="167" ht="24.95" customHeight="1" outlineLevel="1" s="1" customFormat="1">
      <c r="A167" s="15"/>
      <c r="B167" s="16">
        <v>890</v>
      </c>
      <c r="C167" s="17">
        <v>1470</v>
      </c>
      <c r="D167" s="16">
        <v>27118</v>
      </c>
      <c r="E167" s="18"/>
      <c r="F167" s="18"/>
      <c r="G167" s="18" t="s">
        <v>672</v>
      </c>
      <c r="H167" s="18" t="s">
        <v>86</v>
      </c>
      <c r="I167" s="18"/>
      <c r="J167" s="16">
        <v>2022</v>
      </c>
      <c r="K167" s="18" t="s">
        <v>673</v>
      </c>
      <c r="L167" s="16">
        <v>9785961484021</v>
      </c>
      <c r="M167" s="18" t="s">
        <v>674</v>
      </c>
      <c r="N167" s="15"/>
      <c r="O167" s="15"/>
      <c r="P167" s="15"/>
      <c r="Q167" s="15"/>
      <c r="R167" s="15"/>
      <c r="S167" s="18"/>
      <c r="T167" s="18"/>
      <c r="U167" s="17">
        <v>1000</v>
      </c>
      <c r="V167" s="18"/>
      <c r="W167" s="18" t="s">
        <v>69</v>
      </c>
      <c r="X167" s="16">
        <v>10</v>
      </c>
      <c r="Y167" s="43" t="str">
        <f>HYPERLINK("","")</f>
      </c>
      <c r="Z167" s="18"/>
      <c r="AS167" s="1">
        <f>IF($A167&lt;&gt;0,1,0)</f>
        <v>0</v>
      </c>
      <c r="AT167" s="1">
        <f>$A167*$B167</f>
        <v>0</v>
      </c>
      <c r="AU167" s="1">
        <f>$A167*$O167</f>
        <v>0</v>
      </c>
      <c r="AV167" s="1">
        <f>IF($R167=0,0,INT($A167/$R167))</f>
        <v>0</v>
      </c>
      <c r="AW167" s="1">
        <f>$A167-$AV167*$R167</f>
        <v>0</v>
      </c>
    </row>
    <row r="168" ht="24.95" customHeight="1" outlineLevel="1" s="1" customFormat="1">
      <c r="A168" s="15"/>
      <c r="B168" s="16">
        <v>540</v>
      </c>
      <c r="C168" s="16">
        <v>837</v>
      </c>
      <c r="D168" s="16">
        <v>34910</v>
      </c>
      <c r="E168" s="18" t="s">
        <v>675</v>
      </c>
      <c r="F168" s="18" t="s">
        <v>179</v>
      </c>
      <c r="G168" s="18" t="s">
        <v>676</v>
      </c>
      <c r="H168" s="18" t="s">
        <v>49</v>
      </c>
      <c r="I168" s="18" t="s">
        <v>87</v>
      </c>
      <c r="J168" s="16">
        <v>2026</v>
      </c>
      <c r="K168" s="18" t="s">
        <v>677</v>
      </c>
      <c r="L168" s="16">
        <v>9785002830497</v>
      </c>
      <c r="M168" s="18" t="s">
        <v>678</v>
      </c>
      <c r="N168" s="16">
        <v>32</v>
      </c>
      <c r="O168" s="19">
        <v>0.18</v>
      </c>
      <c r="P168" s="16">
        <v>180</v>
      </c>
      <c r="Q168" s="16">
        <v>190</v>
      </c>
      <c r="R168" s="16">
        <v>20</v>
      </c>
      <c r="S168" s="18" t="s">
        <v>52</v>
      </c>
      <c r="T168" s="18" t="s">
        <v>183</v>
      </c>
      <c r="U168" s="17">
        <v>3000</v>
      </c>
      <c r="V168" s="18" t="s">
        <v>77</v>
      </c>
      <c r="W168" s="18" t="s">
        <v>184</v>
      </c>
      <c r="X168" s="16">
        <v>10</v>
      </c>
      <c r="Y168" s="43" t="str">
        <f>HYPERLINK("","")</f>
      </c>
      <c r="Z168" s="18" t="s">
        <v>185</v>
      </c>
      <c r="AS168" s="1">
        <f>IF($A168&lt;&gt;0,1,0)</f>
        <v>0</v>
      </c>
      <c r="AT168" s="1">
        <f>$A168*$B168</f>
        <v>0</v>
      </c>
      <c r="AU168" s="1">
        <f>$A168*$O168</f>
        <v>0</v>
      </c>
      <c r="AV168" s="1">
        <f>IF($R168=0,0,INT($A168/$R168))</f>
        <v>0</v>
      </c>
      <c r="AW168" s="1">
        <f>$A168-$AV168*$R168</f>
        <v>0</v>
      </c>
    </row>
    <row r="169" ht="24.95" customHeight="1" outlineLevel="1" s="1" customFormat="1">
      <c r="A169" s="15"/>
      <c r="B169" s="16">
        <v>590</v>
      </c>
      <c r="C169" s="16">
        <v>885</v>
      </c>
      <c r="D169" s="16">
        <v>30137</v>
      </c>
      <c r="E169" s="18"/>
      <c r="F169" s="18" t="s">
        <v>524</v>
      </c>
      <c r="G169" s="18" t="s">
        <v>679</v>
      </c>
      <c r="H169" s="18" t="s">
        <v>49</v>
      </c>
      <c r="I169" s="18" t="s">
        <v>87</v>
      </c>
      <c r="J169" s="16">
        <v>2026</v>
      </c>
      <c r="K169" s="18" t="s">
        <v>680</v>
      </c>
      <c r="L169" s="16">
        <v>9785961494839</v>
      </c>
      <c r="M169" s="18" t="s">
        <v>681</v>
      </c>
      <c r="N169" s="16">
        <v>32</v>
      </c>
      <c r="O169" s="19">
        <v>0.19</v>
      </c>
      <c r="P169" s="16">
        <v>180</v>
      </c>
      <c r="Q169" s="16">
        <v>180</v>
      </c>
      <c r="R169" s="16">
        <v>20</v>
      </c>
      <c r="S169" s="18" t="s">
        <v>52</v>
      </c>
      <c r="T169" s="18" t="s">
        <v>183</v>
      </c>
      <c r="U169" s="17">
        <v>1500</v>
      </c>
      <c r="V169" s="18" t="s">
        <v>77</v>
      </c>
      <c r="W169" s="18" t="s">
        <v>184</v>
      </c>
      <c r="X169" s="16">
        <v>10</v>
      </c>
      <c r="Y169" s="18" t="s">
        <v>528</v>
      </c>
      <c r="Z169" s="18" t="s">
        <v>178</v>
      </c>
      <c r="AS169" s="1">
        <f>IF($A169&lt;&gt;0,1,0)</f>
        <v>0</v>
      </c>
      <c r="AT169" s="1">
        <f>$A169*$B169</f>
        <v>0</v>
      </c>
      <c r="AU169" s="1">
        <f>$A169*$O169</f>
        <v>0</v>
      </c>
      <c r="AV169" s="1">
        <f>IF($R169=0,0,INT($A169/$R169))</f>
        <v>0</v>
      </c>
      <c r="AW169" s="1">
        <f>$A169-$AV169*$R169</f>
        <v>0</v>
      </c>
    </row>
    <row r="170" ht="24.95" customHeight="1" outlineLevel="1" s="1" customFormat="1">
      <c r="A170" s="15"/>
      <c r="B170" s="16">
        <v>690</v>
      </c>
      <c r="C170" s="17">
        <v>1035</v>
      </c>
      <c r="D170" s="16">
        <v>12845</v>
      </c>
      <c r="E170" s="18"/>
      <c r="F170" s="18" t="s">
        <v>682</v>
      </c>
      <c r="G170" s="18" t="s">
        <v>683</v>
      </c>
      <c r="H170" s="18" t="s">
        <v>86</v>
      </c>
      <c r="I170" s="18"/>
      <c r="J170" s="16">
        <v>2026</v>
      </c>
      <c r="K170" s="18" t="s">
        <v>684</v>
      </c>
      <c r="L170" s="16">
        <v>9785961436198</v>
      </c>
      <c r="M170" s="18" t="s">
        <v>685</v>
      </c>
      <c r="N170" s="16">
        <v>164</v>
      </c>
      <c r="O170" s="19">
        <v>0.36</v>
      </c>
      <c r="P170" s="16">
        <v>141</v>
      </c>
      <c r="Q170" s="16">
        <v>210</v>
      </c>
      <c r="R170" s="16">
        <v>10</v>
      </c>
      <c r="S170" s="18" t="s">
        <v>43</v>
      </c>
      <c r="T170" s="18"/>
      <c r="U170" s="17">
        <v>1000</v>
      </c>
      <c r="V170" s="18" t="s">
        <v>77</v>
      </c>
      <c r="W170" s="18" t="s">
        <v>184</v>
      </c>
      <c r="X170" s="16">
        <v>10</v>
      </c>
      <c r="Y170" s="43" t="str">
        <f>HYPERLINK("https://api-enni.alpina.ru/FilePrivilegesApproval/128","https://api-enni.alpina.ru/FilePrivilegesApproval/128")</f>
        <v>https://api-enni.alpina.ru/FilePrivilegesApproval/128</v>
      </c>
      <c r="Z170" s="18" t="s">
        <v>46</v>
      </c>
      <c r="AS170" s="1">
        <f>IF($A170&lt;&gt;0,1,0)</f>
        <v>0</v>
      </c>
      <c r="AT170" s="1">
        <f>$A170*$B170</f>
        <v>0</v>
      </c>
      <c r="AU170" s="1">
        <f>$A170*$O170</f>
        <v>0</v>
      </c>
      <c r="AV170" s="1">
        <f>IF($R170=0,0,INT($A170/$R170))</f>
        <v>0</v>
      </c>
      <c r="AW170" s="1">
        <f>$A170-$AV170*$R170</f>
        <v>0</v>
      </c>
    </row>
    <row r="171" ht="24.95" customHeight="1" outlineLevel="1" s="1" customFormat="1">
      <c r="A171" s="15"/>
      <c r="B171" s="17">
        <v>2300</v>
      </c>
      <c r="C171" s="17">
        <v>2990</v>
      </c>
      <c r="D171" s="16">
        <v>7726</v>
      </c>
      <c r="E171" s="18"/>
      <c r="F171" s="18" t="s">
        <v>686</v>
      </c>
      <c r="G171" s="18" t="s">
        <v>687</v>
      </c>
      <c r="H171" s="18" t="s">
        <v>73</v>
      </c>
      <c r="I171" s="18" t="s">
        <v>74</v>
      </c>
      <c r="J171" s="16">
        <v>2026</v>
      </c>
      <c r="K171" s="18" t="s">
        <v>688</v>
      </c>
      <c r="L171" s="16">
        <v>9785916710007</v>
      </c>
      <c r="M171" s="18" t="s">
        <v>689</v>
      </c>
      <c r="N171" s="16">
        <v>558</v>
      </c>
      <c r="O171" s="19">
        <v>1.46</v>
      </c>
      <c r="P171" s="16">
        <v>200</v>
      </c>
      <c r="Q171" s="16">
        <v>240</v>
      </c>
      <c r="R171" s="16">
        <v>3</v>
      </c>
      <c r="S171" s="18" t="s">
        <v>328</v>
      </c>
      <c r="T171" s="18"/>
      <c r="U171" s="17">
        <v>3000</v>
      </c>
      <c r="V171" s="18" t="s">
        <v>77</v>
      </c>
      <c r="W171" s="18" t="s">
        <v>69</v>
      </c>
      <c r="X171" s="16">
        <v>10</v>
      </c>
      <c r="Y171" s="43" t="str">
        <f>HYPERLINK("https://api-enni.alpina.ru/FilePrivilegesApproval/131","https://api-enni.alpina.ru/FilePrivilegesApproval/131")</f>
        <v>https://api-enni.alpina.ru/FilePrivilegesApproval/131</v>
      </c>
      <c r="Z171" s="18" t="s">
        <v>690</v>
      </c>
      <c r="AS171" s="1">
        <f>IF($A171&lt;&gt;0,1,0)</f>
        <v>0</v>
      </c>
      <c r="AT171" s="1">
        <f>$A171*$B171</f>
        <v>0</v>
      </c>
      <c r="AU171" s="1">
        <f>$A171*$O171</f>
        <v>0</v>
      </c>
      <c r="AV171" s="1">
        <f>IF($R171=0,0,INT($A171/$R171))</f>
        <v>0</v>
      </c>
      <c r="AW171" s="1">
        <f>$A171-$AV171*$R171</f>
        <v>0</v>
      </c>
    </row>
    <row r="172" ht="24.95" customHeight="1" outlineLevel="1" s="1" customFormat="1">
      <c r="A172" s="15"/>
      <c r="B172" s="17">
        <v>1490</v>
      </c>
      <c r="C172" s="17">
        <v>2012</v>
      </c>
      <c r="D172" s="16">
        <v>8429</v>
      </c>
      <c r="E172" s="18"/>
      <c r="F172" s="18" t="s">
        <v>691</v>
      </c>
      <c r="G172" s="18" t="s">
        <v>692</v>
      </c>
      <c r="H172" s="18" t="s">
        <v>86</v>
      </c>
      <c r="I172" s="18" t="s">
        <v>74</v>
      </c>
      <c r="J172" s="16">
        <v>2026</v>
      </c>
      <c r="K172" s="18" t="s">
        <v>693</v>
      </c>
      <c r="L172" s="16">
        <v>9785961420814</v>
      </c>
      <c r="M172" s="18" t="s">
        <v>694</v>
      </c>
      <c r="N172" s="16">
        <v>328</v>
      </c>
      <c r="O172" s="19">
        <v>0.95</v>
      </c>
      <c r="P172" s="16">
        <v>190</v>
      </c>
      <c r="Q172" s="16">
        <v>250</v>
      </c>
      <c r="R172" s="16">
        <v>5</v>
      </c>
      <c r="S172" s="18" t="s">
        <v>328</v>
      </c>
      <c r="T172" s="18"/>
      <c r="U172" s="17">
        <v>3000</v>
      </c>
      <c r="V172" s="18" t="s">
        <v>44</v>
      </c>
      <c r="W172" s="18" t="s">
        <v>91</v>
      </c>
      <c r="X172" s="16">
        <v>10</v>
      </c>
      <c r="Y172" s="43" t="str">
        <f>HYPERLINK("https://api-enni.alpina.ru/FilePrivilegesApproval/141","https://api-enni.alpina.ru/FilePrivilegesApproval/141")</f>
        <v>https://api-enni.alpina.ru/FilePrivilegesApproval/141</v>
      </c>
      <c r="Z172" s="18" t="s">
        <v>695</v>
      </c>
      <c r="AS172" s="1">
        <f>IF($A172&lt;&gt;0,1,0)</f>
        <v>0</v>
      </c>
      <c r="AT172" s="1">
        <f>$A172*$B172</f>
        <v>0</v>
      </c>
      <c r="AU172" s="1">
        <f>$A172*$O172</f>
        <v>0</v>
      </c>
      <c r="AV172" s="1">
        <f>IF($R172=0,0,INT($A172/$R172))</f>
        <v>0</v>
      </c>
      <c r="AW172" s="1">
        <f>$A172-$AV172*$R172</f>
        <v>0</v>
      </c>
    </row>
    <row r="173" ht="24.95" customHeight="1" outlineLevel="1" s="1" customFormat="1">
      <c r="A173" s="15"/>
      <c r="B173" s="16">
        <v>390</v>
      </c>
      <c r="C173" s="16">
        <v>624</v>
      </c>
      <c r="D173" s="16">
        <v>28410</v>
      </c>
      <c r="E173" s="18"/>
      <c r="F173" s="18" t="s">
        <v>696</v>
      </c>
      <c r="G173" s="18" t="s">
        <v>697</v>
      </c>
      <c r="H173" s="18" t="s">
        <v>39</v>
      </c>
      <c r="I173" s="18"/>
      <c r="J173" s="16">
        <v>2026</v>
      </c>
      <c r="K173" s="18" t="s">
        <v>698</v>
      </c>
      <c r="L173" s="16">
        <v>9785961488814</v>
      </c>
      <c r="M173" s="18" t="s">
        <v>699</v>
      </c>
      <c r="N173" s="16">
        <v>144</v>
      </c>
      <c r="O173" s="19">
        <v>0.15</v>
      </c>
      <c r="P173" s="16">
        <v>140</v>
      </c>
      <c r="Q173" s="16">
        <v>210</v>
      </c>
      <c r="R173" s="16">
        <v>12</v>
      </c>
      <c r="S173" s="18" t="s">
        <v>43</v>
      </c>
      <c r="T173" s="18" t="s">
        <v>381</v>
      </c>
      <c r="U173" s="17">
        <v>5000</v>
      </c>
      <c r="V173" s="18" t="s">
        <v>44</v>
      </c>
      <c r="W173" s="18" t="s">
        <v>69</v>
      </c>
      <c r="X173" s="16">
        <v>10</v>
      </c>
      <c r="Y173" s="43" t="str">
        <f>HYPERLINK("https://api-enni.alpina.ru/FilePrivilegesApproval/335","https://api-enni.alpina.ru/FilePrivilegesApproval/335")</f>
        <v>https://api-enni.alpina.ru/FilePrivilegesApproval/335</v>
      </c>
      <c r="Z173" s="18" t="s">
        <v>700</v>
      </c>
      <c r="AS173" s="1">
        <f>IF($A173&lt;&gt;0,1,0)</f>
        <v>0</v>
      </c>
      <c r="AT173" s="1">
        <f>$A173*$B173</f>
        <v>0</v>
      </c>
      <c r="AU173" s="1">
        <f>$A173*$O173</f>
        <v>0</v>
      </c>
      <c r="AV173" s="1">
        <f>IF($R173=0,0,INT($A173/$R173))</f>
        <v>0</v>
      </c>
      <c r="AW173" s="1">
        <f>$A173-$AV173*$R173</f>
        <v>0</v>
      </c>
    </row>
    <row r="174" ht="24.95" customHeight="1" outlineLevel="1" s="1" customFormat="1">
      <c r="A174" s="15"/>
      <c r="B174" s="17">
        <v>1690</v>
      </c>
      <c r="C174" s="17">
        <v>2197</v>
      </c>
      <c r="D174" s="16">
        <v>11409</v>
      </c>
      <c r="E174" s="18"/>
      <c r="F174" s="18" t="s">
        <v>701</v>
      </c>
      <c r="G174" s="18" t="s">
        <v>702</v>
      </c>
      <c r="H174" s="18" t="s">
        <v>86</v>
      </c>
      <c r="I174" s="18"/>
      <c r="J174" s="16">
        <v>2025</v>
      </c>
      <c r="K174" s="18" t="s">
        <v>703</v>
      </c>
      <c r="L174" s="16">
        <v>9785961423747</v>
      </c>
      <c r="M174" s="18" t="s">
        <v>704</v>
      </c>
      <c r="N174" s="16">
        <v>342</v>
      </c>
      <c r="O174" s="19">
        <v>0.65</v>
      </c>
      <c r="P174" s="16">
        <v>170</v>
      </c>
      <c r="Q174" s="16">
        <v>240</v>
      </c>
      <c r="R174" s="16">
        <v>6</v>
      </c>
      <c r="S174" s="18" t="s">
        <v>123</v>
      </c>
      <c r="T174" s="18"/>
      <c r="U174" s="17">
        <v>5000</v>
      </c>
      <c r="V174" s="18" t="s">
        <v>77</v>
      </c>
      <c r="W174" s="18" t="s">
        <v>55</v>
      </c>
      <c r="X174" s="16">
        <v>10</v>
      </c>
      <c r="Y174" s="43" t="str">
        <f>HYPERLINK("https://api-enni.alpina.ru/FilePrivilegesApproval/122","https://api-enni.alpina.ru/FilePrivilegesApproval/122")</f>
        <v>https://api-enni.alpina.ru/FilePrivilegesApproval/122</v>
      </c>
      <c r="Z174" s="18"/>
      <c r="AS174" s="1">
        <f>IF($A174&lt;&gt;0,1,0)</f>
        <v>0</v>
      </c>
      <c r="AT174" s="1">
        <f>$A174*$B174</f>
        <v>0</v>
      </c>
      <c r="AU174" s="1">
        <f>$A174*$O174</f>
        <v>0</v>
      </c>
      <c r="AV174" s="1">
        <f>IF($R174=0,0,INT($A174/$R174))</f>
        <v>0</v>
      </c>
      <c r="AW174" s="1">
        <f>$A174-$AV174*$R174</f>
        <v>0</v>
      </c>
    </row>
    <row r="175" ht="24.95" customHeight="1" outlineLevel="1" s="1" customFormat="1">
      <c r="A175" s="15"/>
      <c r="B175" s="16">
        <v>610</v>
      </c>
      <c r="C175" s="16">
        <v>915</v>
      </c>
      <c r="D175" s="16">
        <v>34598</v>
      </c>
      <c r="E175" s="18"/>
      <c r="F175" s="18" t="s">
        <v>705</v>
      </c>
      <c r="G175" s="18" t="s">
        <v>706</v>
      </c>
      <c r="H175" s="18" t="s">
        <v>64</v>
      </c>
      <c r="I175" s="18" t="s">
        <v>160</v>
      </c>
      <c r="J175" s="16">
        <v>2026</v>
      </c>
      <c r="K175" s="18" t="s">
        <v>707</v>
      </c>
      <c r="L175" s="16">
        <v>9785006308237</v>
      </c>
      <c r="M175" s="18" t="s">
        <v>708</v>
      </c>
      <c r="N175" s="16">
        <v>252</v>
      </c>
      <c r="O175" s="19">
        <v>0.23</v>
      </c>
      <c r="P175" s="16">
        <v>140</v>
      </c>
      <c r="Q175" s="16">
        <v>200</v>
      </c>
      <c r="R175" s="16">
        <v>8</v>
      </c>
      <c r="S175" s="18" t="s">
        <v>43</v>
      </c>
      <c r="T175" s="18" t="s">
        <v>68</v>
      </c>
      <c r="U175" s="17">
        <v>3000</v>
      </c>
      <c r="V175" s="18" t="s">
        <v>44</v>
      </c>
      <c r="W175" s="18" t="s">
        <v>45</v>
      </c>
      <c r="X175" s="16">
        <v>10</v>
      </c>
      <c r="Y175" s="43" t="str">
        <f>HYPERLINK("https://api-enni.alpina.ru/FilePrivilegesApproval/1178","https://api-enni.alpina.ru/FilePrivilegesApproval/1178")</f>
        <v>https://api-enni.alpina.ru/FilePrivilegesApproval/1178</v>
      </c>
      <c r="Z175" s="18" t="s">
        <v>92</v>
      </c>
      <c r="AS175" s="1">
        <f>IF($A175&lt;&gt;0,1,0)</f>
        <v>0</v>
      </c>
      <c r="AT175" s="1">
        <f>$A175*$B175</f>
        <v>0</v>
      </c>
      <c r="AU175" s="1">
        <f>$A175*$O175</f>
        <v>0</v>
      </c>
      <c r="AV175" s="1">
        <f>IF($R175=0,0,INT($A175/$R175))</f>
        <v>0</v>
      </c>
      <c r="AW175" s="1">
        <f>$A175-$AV175*$R175</f>
        <v>0</v>
      </c>
    </row>
    <row r="176" ht="24.95" customHeight="1" outlineLevel="1" s="1" customFormat="1">
      <c r="A176" s="15"/>
      <c r="B176" s="17">
        <v>1190</v>
      </c>
      <c r="C176" s="17">
        <v>1606</v>
      </c>
      <c r="D176" s="16">
        <v>7904</v>
      </c>
      <c r="E176" s="18"/>
      <c r="F176" s="18" t="s">
        <v>709</v>
      </c>
      <c r="G176" s="18" t="s">
        <v>710</v>
      </c>
      <c r="H176" s="18" t="s">
        <v>86</v>
      </c>
      <c r="I176" s="18" t="s">
        <v>74</v>
      </c>
      <c r="J176" s="16">
        <v>2026</v>
      </c>
      <c r="K176" s="18" t="s">
        <v>711</v>
      </c>
      <c r="L176" s="16">
        <v>9785961468588</v>
      </c>
      <c r="M176" s="18" t="s">
        <v>712</v>
      </c>
      <c r="N176" s="16">
        <v>336</v>
      </c>
      <c r="O176" s="19">
        <v>0.64</v>
      </c>
      <c r="P176" s="16">
        <v>171</v>
      </c>
      <c r="Q176" s="16">
        <v>241</v>
      </c>
      <c r="R176" s="16">
        <v>10</v>
      </c>
      <c r="S176" s="18" t="s">
        <v>123</v>
      </c>
      <c r="T176" s="18"/>
      <c r="U176" s="17">
        <v>1000</v>
      </c>
      <c r="V176" s="18" t="s">
        <v>77</v>
      </c>
      <c r="W176" s="18" t="s">
        <v>184</v>
      </c>
      <c r="X176" s="16">
        <v>10</v>
      </c>
      <c r="Y176" s="43" t="str">
        <f>HYPERLINK("https://api-enni.alpina.ru/FilePrivilegesApproval/152","https://api-enni.alpina.ru/FilePrivilegesApproval/152")</f>
        <v>https://api-enni.alpina.ru/FilePrivilegesApproval/152</v>
      </c>
      <c r="Z176" s="18" t="s">
        <v>144</v>
      </c>
      <c r="AS176" s="1">
        <f>IF($A176&lt;&gt;0,1,0)</f>
        <v>0</v>
      </c>
      <c r="AT176" s="1">
        <f>$A176*$B176</f>
        <v>0</v>
      </c>
      <c r="AU176" s="1">
        <f>$A176*$O176</f>
        <v>0</v>
      </c>
      <c r="AV176" s="1">
        <f>IF($R176=0,0,INT($A176/$R176))</f>
        <v>0</v>
      </c>
      <c r="AW176" s="1">
        <f>$A176-$AV176*$R176</f>
        <v>0</v>
      </c>
    </row>
    <row r="177" ht="24.95" customHeight="1" outlineLevel="1" s="1" customFormat="1">
      <c r="A177" s="15"/>
      <c r="B177" s="16">
        <v>340</v>
      </c>
      <c r="C177" s="16">
        <v>544</v>
      </c>
      <c r="D177" s="16">
        <v>27601</v>
      </c>
      <c r="E177" s="18"/>
      <c r="F177" s="18" t="s">
        <v>713</v>
      </c>
      <c r="G177" s="18" t="s">
        <v>714</v>
      </c>
      <c r="H177" s="18" t="s">
        <v>86</v>
      </c>
      <c r="I177" s="18"/>
      <c r="J177" s="16">
        <v>2026</v>
      </c>
      <c r="K177" s="18" t="s">
        <v>715</v>
      </c>
      <c r="L177" s="16">
        <v>9785961485820</v>
      </c>
      <c r="M177" s="18" t="s">
        <v>716</v>
      </c>
      <c r="N177" s="16">
        <v>316</v>
      </c>
      <c r="O177" s="19">
        <v>0.21</v>
      </c>
      <c r="P177" s="16">
        <v>120</v>
      </c>
      <c r="Q177" s="16">
        <v>170</v>
      </c>
      <c r="R177" s="16">
        <v>12</v>
      </c>
      <c r="S177" s="18" t="s">
        <v>190</v>
      </c>
      <c r="T177" s="18"/>
      <c r="U177" s="17">
        <v>6000</v>
      </c>
      <c r="V177" s="18" t="s">
        <v>44</v>
      </c>
      <c r="W177" s="18" t="s">
        <v>69</v>
      </c>
      <c r="X177" s="16">
        <v>10</v>
      </c>
      <c r="Y177" s="43" t="str">
        <f>HYPERLINK("https://api-enni.alpina.ru/FilePrivilegesApproval/205","https://api-enni.alpina.ru/FilePrivilegesApproval/205")</f>
        <v>https://api-enni.alpina.ru/FilePrivilegesApproval/205</v>
      </c>
      <c r="Z177" s="18" t="s">
        <v>717</v>
      </c>
      <c r="AS177" s="1">
        <f>IF($A177&lt;&gt;0,1,0)</f>
        <v>0</v>
      </c>
      <c r="AT177" s="1">
        <f>$A177*$B177</f>
        <v>0</v>
      </c>
      <c r="AU177" s="1">
        <f>$A177*$O177</f>
        <v>0</v>
      </c>
      <c r="AV177" s="1">
        <f>IF($R177=0,0,INT($A177/$R177))</f>
        <v>0</v>
      </c>
      <c r="AW177" s="1">
        <f>$A177-$AV177*$R177</f>
        <v>0</v>
      </c>
    </row>
    <row r="178" ht="24.95" customHeight="1" outlineLevel="1" s="1" customFormat="1">
      <c r="A178" s="15"/>
      <c r="B178" s="17">
        <v>1490</v>
      </c>
      <c r="C178" s="17">
        <v>2012</v>
      </c>
      <c r="D178" s="16">
        <v>6246</v>
      </c>
      <c r="E178" s="18"/>
      <c r="F178" s="18" t="s">
        <v>718</v>
      </c>
      <c r="G178" s="18" t="s">
        <v>719</v>
      </c>
      <c r="H178" s="18" t="s">
        <v>86</v>
      </c>
      <c r="I178" s="18"/>
      <c r="J178" s="16">
        <v>2026</v>
      </c>
      <c r="K178" s="18" t="s">
        <v>720</v>
      </c>
      <c r="L178" s="16">
        <v>9785961470338</v>
      </c>
      <c r="M178" s="18" t="s">
        <v>721</v>
      </c>
      <c r="N178" s="16">
        <v>312</v>
      </c>
      <c r="O178" s="19">
        <v>0.63</v>
      </c>
      <c r="P178" s="16">
        <v>171</v>
      </c>
      <c r="Q178" s="16">
        <v>241</v>
      </c>
      <c r="R178" s="16">
        <v>10</v>
      </c>
      <c r="S178" s="18" t="s">
        <v>123</v>
      </c>
      <c r="T178" s="18"/>
      <c r="U178" s="17">
        <v>1000</v>
      </c>
      <c r="V178" s="18" t="s">
        <v>77</v>
      </c>
      <c r="W178" s="18" t="s">
        <v>184</v>
      </c>
      <c r="X178" s="16">
        <v>10</v>
      </c>
      <c r="Y178" s="43" t="str">
        <f>HYPERLINK("https://api-enni.alpina.ru/FilePrivilegesApproval/2","https://api-enni.alpina.ru/FilePrivilegesApproval/2")</f>
        <v>https://api-enni.alpina.ru/FilePrivilegesApproval/2</v>
      </c>
      <c r="Z178" s="18" t="s">
        <v>410</v>
      </c>
      <c r="AS178" s="1">
        <f>IF($A178&lt;&gt;0,1,0)</f>
        <v>0</v>
      </c>
      <c r="AT178" s="1">
        <f>$A178*$B178</f>
        <v>0</v>
      </c>
      <c r="AU178" s="1">
        <f>$A178*$O178</f>
        <v>0</v>
      </c>
      <c r="AV178" s="1">
        <f>IF($R178=0,0,INT($A178/$R178))</f>
        <v>0</v>
      </c>
      <c r="AW178" s="1">
        <f>$A178-$AV178*$R178</f>
        <v>0</v>
      </c>
    </row>
    <row r="179" ht="24.95" customHeight="1" outlineLevel="1" s="1" customFormat="1">
      <c r="A179" s="15"/>
      <c r="B179" s="16">
        <v>390</v>
      </c>
      <c r="C179" s="16">
        <v>624</v>
      </c>
      <c r="D179" s="16">
        <v>18065</v>
      </c>
      <c r="E179" s="18"/>
      <c r="F179" s="18" t="s">
        <v>722</v>
      </c>
      <c r="G179" s="18" t="s">
        <v>723</v>
      </c>
      <c r="H179" s="18" t="s">
        <v>49</v>
      </c>
      <c r="I179" s="18" t="s">
        <v>87</v>
      </c>
      <c r="J179" s="16">
        <v>2020</v>
      </c>
      <c r="K179" s="18" t="s">
        <v>724</v>
      </c>
      <c r="L179" s="16">
        <v>9785961433043</v>
      </c>
      <c r="M179" s="18" t="s">
        <v>725</v>
      </c>
      <c r="N179" s="16">
        <v>32</v>
      </c>
      <c r="O179" s="19">
        <v>0.3</v>
      </c>
      <c r="P179" s="16">
        <v>226</v>
      </c>
      <c r="Q179" s="16">
        <v>225</v>
      </c>
      <c r="R179" s="16">
        <v>20</v>
      </c>
      <c r="S179" s="18" t="s">
        <v>83</v>
      </c>
      <c r="T179" s="18" t="s">
        <v>726</v>
      </c>
      <c r="U179" s="17">
        <v>3000</v>
      </c>
      <c r="V179" s="18" t="s">
        <v>77</v>
      </c>
      <c r="W179" s="18" t="s">
        <v>55</v>
      </c>
      <c r="X179" s="16">
        <v>10</v>
      </c>
      <c r="Y179" s="18" t="s">
        <v>727</v>
      </c>
      <c r="Z179" s="18"/>
      <c r="AS179" s="1">
        <f>IF($A179&lt;&gt;0,1,0)</f>
        <v>0</v>
      </c>
      <c r="AT179" s="1">
        <f>$A179*$B179</f>
        <v>0</v>
      </c>
      <c r="AU179" s="1">
        <f>$A179*$O179</f>
        <v>0</v>
      </c>
      <c r="AV179" s="1">
        <f>IF($R179=0,0,INT($A179/$R179))</f>
        <v>0</v>
      </c>
      <c r="AW179" s="1">
        <f>$A179-$AV179*$R179</f>
        <v>0</v>
      </c>
    </row>
    <row r="180" ht="24.95" customHeight="1" outlineLevel="1" s="1" customFormat="1">
      <c r="A180" s="15"/>
      <c r="B180" s="16">
        <v>640</v>
      </c>
      <c r="C180" s="16">
        <v>960</v>
      </c>
      <c r="D180" s="16">
        <v>1629</v>
      </c>
      <c r="E180" s="18"/>
      <c r="F180" s="18" t="s">
        <v>728</v>
      </c>
      <c r="G180" s="18" t="s">
        <v>729</v>
      </c>
      <c r="H180" s="18" t="s">
        <v>86</v>
      </c>
      <c r="I180" s="18" t="s">
        <v>74</v>
      </c>
      <c r="J180" s="16">
        <v>2025</v>
      </c>
      <c r="K180" s="18" t="s">
        <v>730</v>
      </c>
      <c r="L180" s="16">
        <v>9785961467451</v>
      </c>
      <c r="M180" s="18" t="s">
        <v>731</v>
      </c>
      <c r="N180" s="16">
        <v>216</v>
      </c>
      <c r="O180" s="19">
        <v>0.36</v>
      </c>
      <c r="P180" s="16">
        <v>146</v>
      </c>
      <c r="Q180" s="16">
        <v>216</v>
      </c>
      <c r="R180" s="16">
        <v>18</v>
      </c>
      <c r="S180" s="18" t="s">
        <v>43</v>
      </c>
      <c r="T180" s="18"/>
      <c r="U180" s="17">
        <v>10000</v>
      </c>
      <c r="V180" s="18" t="s">
        <v>77</v>
      </c>
      <c r="W180" s="18" t="s">
        <v>184</v>
      </c>
      <c r="X180" s="16">
        <v>10</v>
      </c>
      <c r="Y180" s="43" t="str">
        <f>HYPERLINK("https://api-enni.alpina.ru/FilePrivilegesApproval/2","https://api-enni.alpina.ru/FilePrivilegesApproval/2")</f>
        <v>https://api-enni.alpina.ru/FilePrivilegesApproval/2</v>
      </c>
      <c r="Z180" s="18"/>
      <c r="AS180" s="1">
        <f>IF($A180&lt;&gt;0,1,0)</f>
        <v>0</v>
      </c>
      <c r="AT180" s="1">
        <f>$A180*$B180</f>
        <v>0</v>
      </c>
      <c r="AU180" s="1">
        <f>$A180*$O180</f>
        <v>0</v>
      </c>
      <c r="AV180" s="1">
        <f>IF($R180=0,0,INT($A180/$R180))</f>
        <v>0</v>
      </c>
      <c r="AW180" s="1">
        <f>$A180-$AV180*$R180</f>
        <v>0</v>
      </c>
    </row>
    <row r="181" ht="24.95" customHeight="1" outlineLevel="1" s="1" customFormat="1">
      <c r="A181" s="15"/>
      <c r="B181" s="16">
        <v>730</v>
      </c>
      <c r="C181" s="17">
        <v>1058</v>
      </c>
      <c r="D181" s="16">
        <v>27455</v>
      </c>
      <c r="E181" s="18"/>
      <c r="F181" s="18" t="s">
        <v>732</v>
      </c>
      <c r="G181" s="18" t="s">
        <v>733</v>
      </c>
      <c r="H181" s="18" t="s">
        <v>171</v>
      </c>
      <c r="I181" s="18"/>
      <c r="J181" s="16">
        <v>2026</v>
      </c>
      <c r="K181" s="18" t="s">
        <v>734</v>
      </c>
      <c r="L181" s="16">
        <v>9785961485202</v>
      </c>
      <c r="M181" s="18" t="s">
        <v>735</v>
      </c>
      <c r="N181" s="16">
        <v>302</v>
      </c>
      <c r="O181" s="19">
        <v>0.54</v>
      </c>
      <c r="P181" s="16">
        <v>170</v>
      </c>
      <c r="Q181" s="16">
        <v>220</v>
      </c>
      <c r="R181" s="16">
        <v>24</v>
      </c>
      <c r="S181" s="18" t="s">
        <v>52</v>
      </c>
      <c r="T181" s="18" t="s">
        <v>509</v>
      </c>
      <c r="U181" s="17">
        <v>2016</v>
      </c>
      <c r="V181" s="18" t="s">
        <v>54</v>
      </c>
      <c r="W181" s="18" t="s">
        <v>91</v>
      </c>
      <c r="X181" s="16">
        <v>10</v>
      </c>
      <c r="Y181" s="43" t="str">
        <f>HYPERLINK("https://api-enni.alpina.ru/FilePrivilegesApproval/210","https://api-enni.alpina.ru/FilePrivilegesApproval/210")</f>
        <v>https://api-enni.alpina.ru/FilePrivilegesApproval/210</v>
      </c>
      <c r="Z181" s="18"/>
      <c r="AS181" s="1">
        <f>IF($A181&lt;&gt;0,1,0)</f>
        <v>0</v>
      </c>
      <c r="AT181" s="1">
        <f>$A181*$B181</f>
        <v>0</v>
      </c>
      <c r="AU181" s="1">
        <f>$A181*$O181</f>
        <v>0</v>
      </c>
      <c r="AV181" s="1">
        <f>IF($R181=0,0,INT($A181/$R181))</f>
        <v>0</v>
      </c>
      <c r="AW181" s="1">
        <f>$A181-$AV181*$R181</f>
        <v>0</v>
      </c>
    </row>
    <row r="182" ht="24.95" customHeight="1" outlineLevel="1" s="1" customFormat="1">
      <c r="A182" s="15"/>
      <c r="B182" s="16">
        <v>590</v>
      </c>
      <c r="C182" s="16">
        <v>885</v>
      </c>
      <c r="D182" s="16">
        <v>34927</v>
      </c>
      <c r="E182" s="18"/>
      <c r="F182" s="18" t="s">
        <v>736</v>
      </c>
      <c r="G182" s="18" t="s">
        <v>737</v>
      </c>
      <c r="H182" s="18" t="s">
        <v>86</v>
      </c>
      <c r="I182" s="18" t="s">
        <v>74</v>
      </c>
      <c r="J182" s="16">
        <v>2026</v>
      </c>
      <c r="K182" s="18" t="s">
        <v>738</v>
      </c>
      <c r="L182" s="16">
        <v>9785006309524</v>
      </c>
      <c r="M182" s="18" t="s">
        <v>739</v>
      </c>
      <c r="N182" s="16">
        <v>192</v>
      </c>
      <c r="O182" s="19">
        <v>0.3</v>
      </c>
      <c r="P182" s="16">
        <v>140</v>
      </c>
      <c r="Q182" s="16">
        <v>210</v>
      </c>
      <c r="R182" s="16">
        <v>10</v>
      </c>
      <c r="S182" s="18" t="s">
        <v>90</v>
      </c>
      <c r="T182" s="18"/>
      <c r="U182" s="17">
        <v>1000</v>
      </c>
      <c r="V182" s="18" t="s">
        <v>77</v>
      </c>
      <c r="W182" s="18" t="s">
        <v>184</v>
      </c>
      <c r="X182" s="16">
        <v>10</v>
      </c>
      <c r="Y182" s="43" t="str">
        <f>HYPERLINK("https://api-enni.alpina.ru/FilePrivilegesApproval/993","https://api-enni.alpina.ru/FilePrivilegesApproval/993")</f>
        <v>https://api-enni.alpina.ru/FilePrivilegesApproval/993</v>
      </c>
      <c r="Z182" s="18" t="s">
        <v>144</v>
      </c>
      <c r="AS182" s="1">
        <f>IF($A182&lt;&gt;0,1,0)</f>
        <v>0</v>
      </c>
      <c r="AT182" s="1">
        <f>$A182*$B182</f>
        <v>0</v>
      </c>
      <c r="AU182" s="1">
        <f>$A182*$O182</f>
        <v>0</v>
      </c>
      <c r="AV182" s="1">
        <f>IF($R182=0,0,INT($A182/$R182))</f>
        <v>0</v>
      </c>
      <c r="AW182" s="1">
        <f>$A182-$AV182*$R182</f>
        <v>0</v>
      </c>
    </row>
    <row r="183" ht="24.95" customHeight="1" outlineLevel="1" s="1" customFormat="1">
      <c r="A183" s="15"/>
      <c r="B183" s="16">
        <v>990</v>
      </c>
      <c r="C183" s="17">
        <v>1690</v>
      </c>
      <c r="D183" s="16">
        <v>32325</v>
      </c>
      <c r="E183" s="18"/>
      <c r="F183" s="18" t="s">
        <v>740</v>
      </c>
      <c r="G183" s="18" t="s">
        <v>741</v>
      </c>
      <c r="H183" s="18" t="s">
        <v>95</v>
      </c>
      <c r="I183" s="18"/>
      <c r="J183" s="16">
        <v>2026</v>
      </c>
      <c r="K183" s="18" t="s">
        <v>742</v>
      </c>
      <c r="L183" s="16">
        <v>9785206004236</v>
      </c>
      <c r="M183" s="18" t="s">
        <v>743</v>
      </c>
      <c r="N183" s="16">
        <v>448</v>
      </c>
      <c r="O183" s="19">
        <v>0.62</v>
      </c>
      <c r="P183" s="16">
        <v>150</v>
      </c>
      <c r="Q183" s="16">
        <v>220</v>
      </c>
      <c r="R183" s="16">
        <v>8</v>
      </c>
      <c r="S183" s="18" t="s">
        <v>43</v>
      </c>
      <c r="T183" s="18"/>
      <c r="U183" s="17">
        <v>2000</v>
      </c>
      <c r="V183" s="18" t="s">
        <v>77</v>
      </c>
      <c r="W183" s="18" t="s">
        <v>69</v>
      </c>
      <c r="X183" s="16">
        <v>10</v>
      </c>
      <c r="Y183" s="43" t="str">
        <f>HYPERLINK("https://api-enni.alpina.ru/FilePrivilegesApproval/1034","https://api-enni.alpina.ru/FilePrivilegesApproval/1034")</f>
        <v>https://api-enni.alpina.ru/FilePrivilegesApproval/1034</v>
      </c>
      <c r="Z183" s="18" t="s">
        <v>744</v>
      </c>
      <c r="AS183" s="1">
        <f>IF($A183&lt;&gt;0,1,0)</f>
        <v>0</v>
      </c>
      <c r="AT183" s="1">
        <f>$A183*$B183</f>
        <v>0</v>
      </c>
      <c r="AU183" s="1">
        <f>$A183*$O183</f>
        <v>0</v>
      </c>
      <c r="AV183" s="1">
        <f>IF($R183=0,0,INT($A183/$R183))</f>
        <v>0</v>
      </c>
      <c r="AW183" s="1">
        <f>$A183-$AV183*$R183</f>
        <v>0</v>
      </c>
    </row>
    <row r="184" ht="24.95" customHeight="1" outlineLevel="1" s="1" customFormat="1">
      <c r="A184" s="15"/>
      <c r="B184" s="16">
        <v>460</v>
      </c>
      <c r="C184" s="16">
        <v>713</v>
      </c>
      <c r="D184" s="16">
        <v>11185</v>
      </c>
      <c r="E184" s="18"/>
      <c r="F184" s="18" t="s">
        <v>745</v>
      </c>
      <c r="G184" s="18" t="s">
        <v>746</v>
      </c>
      <c r="H184" s="18" t="s">
        <v>73</v>
      </c>
      <c r="I184" s="18" t="s">
        <v>74</v>
      </c>
      <c r="J184" s="16">
        <v>2022</v>
      </c>
      <c r="K184" s="18" t="s">
        <v>747</v>
      </c>
      <c r="L184" s="16">
        <v>9785001390244</v>
      </c>
      <c r="M184" s="18" t="s">
        <v>748</v>
      </c>
      <c r="N184" s="16">
        <v>576</v>
      </c>
      <c r="O184" s="19">
        <v>0.37</v>
      </c>
      <c r="P184" s="16">
        <v>110</v>
      </c>
      <c r="Q184" s="16">
        <v>170</v>
      </c>
      <c r="R184" s="16">
        <v>6</v>
      </c>
      <c r="S184" s="18" t="s">
        <v>190</v>
      </c>
      <c r="T184" s="18" t="s">
        <v>491</v>
      </c>
      <c r="U184" s="17">
        <v>6000</v>
      </c>
      <c r="V184" s="18" t="s">
        <v>44</v>
      </c>
      <c r="W184" s="18" t="s">
        <v>69</v>
      </c>
      <c r="X184" s="16">
        <v>10</v>
      </c>
      <c r="Y184" s="43" t="str">
        <f>HYPERLINK("https://api-enni.alpina.ru/FilePrivilegesApproval/149","https://api-enni.alpina.ru/FilePrivilegesApproval/149")</f>
        <v>https://api-enni.alpina.ru/FilePrivilegesApproval/149</v>
      </c>
      <c r="Z184" s="18"/>
      <c r="AS184" s="1">
        <f>IF($A184&lt;&gt;0,1,0)</f>
        <v>0</v>
      </c>
      <c r="AT184" s="1">
        <f>$A184*$B184</f>
        <v>0</v>
      </c>
      <c r="AU184" s="1">
        <f>$A184*$O184</f>
        <v>0</v>
      </c>
      <c r="AV184" s="1">
        <f>IF($R184=0,0,INT($A184/$R184))</f>
        <v>0</v>
      </c>
      <c r="AW184" s="1">
        <f>$A184-$AV184*$R184</f>
        <v>0</v>
      </c>
    </row>
    <row r="185" ht="24.95" customHeight="1" outlineLevel="1" s="1" customFormat="1">
      <c r="A185" s="15"/>
      <c r="B185" s="16">
        <v>630</v>
      </c>
      <c r="C185" s="16">
        <v>945</v>
      </c>
      <c r="D185" s="16">
        <v>34979</v>
      </c>
      <c r="E185" s="18"/>
      <c r="F185" s="18" t="s">
        <v>749</v>
      </c>
      <c r="G185" s="18" t="s">
        <v>750</v>
      </c>
      <c r="H185" s="18" t="s">
        <v>64</v>
      </c>
      <c r="I185" s="18" t="s">
        <v>160</v>
      </c>
      <c r="J185" s="16">
        <v>2026</v>
      </c>
      <c r="K185" s="18" t="s">
        <v>751</v>
      </c>
      <c r="L185" s="16">
        <v>9785006309708</v>
      </c>
      <c r="M185" s="18" t="s">
        <v>752</v>
      </c>
      <c r="N185" s="16">
        <v>372</v>
      </c>
      <c r="O185" s="19">
        <v>0.33</v>
      </c>
      <c r="P185" s="16">
        <v>140</v>
      </c>
      <c r="Q185" s="16">
        <v>200</v>
      </c>
      <c r="R185" s="16">
        <v>6</v>
      </c>
      <c r="S185" s="18" t="s">
        <v>43</v>
      </c>
      <c r="T185" s="18"/>
      <c r="U185" s="17">
        <v>4000</v>
      </c>
      <c r="V185" s="18" t="s">
        <v>44</v>
      </c>
      <c r="W185" s="18" t="s">
        <v>69</v>
      </c>
      <c r="X185" s="16">
        <v>10</v>
      </c>
      <c r="Y185" s="43" t="str">
        <f>HYPERLINK("https://api-enni.alpina.ru/FilePrivilegesApproval/1178","https://api-enni.alpina.ru/FilePrivilegesApproval/1178")</f>
        <v>https://api-enni.alpina.ru/FilePrivilegesApproval/1178</v>
      </c>
      <c r="Z185" s="18" t="s">
        <v>753</v>
      </c>
      <c r="AS185" s="1">
        <f>IF($A185&lt;&gt;0,1,0)</f>
        <v>0</v>
      </c>
      <c r="AT185" s="1">
        <f>$A185*$B185</f>
        <v>0</v>
      </c>
      <c r="AU185" s="1">
        <f>$A185*$O185</f>
        <v>0</v>
      </c>
      <c r="AV185" s="1">
        <f>IF($R185=0,0,INT($A185/$R185))</f>
        <v>0</v>
      </c>
      <c r="AW185" s="1">
        <f>$A185-$AV185*$R185</f>
        <v>0</v>
      </c>
    </row>
    <row r="186" ht="24.95" customHeight="1" outlineLevel="1" s="1" customFormat="1">
      <c r="A186" s="15"/>
      <c r="B186" s="16">
        <v>940</v>
      </c>
      <c r="C186" s="17">
        <v>1316</v>
      </c>
      <c r="D186" s="16">
        <v>23124</v>
      </c>
      <c r="E186" s="18"/>
      <c r="F186" s="18" t="s">
        <v>754</v>
      </c>
      <c r="G186" s="18" t="s">
        <v>755</v>
      </c>
      <c r="H186" s="18" t="s">
        <v>171</v>
      </c>
      <c r="I186" s="18"/>
      <c r="J186" s="16">
        <v>2026</v>
      </c>
      <c r="K186" s="18" t="s">
        <v>756</v>
      </c>
      <c r="L186" s="16">
        <v>9785001395256</v>
      </c>
      <c r="M186" s="18" t="s">
        <v>757</v>
      </c>
      <c r="N186" s="16">
        <v>320</v>
      </c>
      <c r="O186" s="19">
        <v>0.42</v>
      </c>
      <c r="P186" s="16">
        <v>150</v>
      </c>
      <c r="Q186" s="16">
        <v>220</v>
      </c>
      <c r="R186" s="16">
        <v>10</v>
      </c>
      <c r="S186" s="18" t="s">
        <v>43</v>
      </c>
      <c r="T186" s="18"/>
      <c r="U186" s="17">
        <v>1000</v>
      </c>
      <c r="V186" s="18" t="s">
        <v>77</v>
      </c>
      <c r="W186" s="18" t="s">
        <v>45</v>
      </c>
      <c r="X186" s="16">
        <v>10</v>
      </c>
      <c r="Y186" s="43" t="str">
        <f>HYPERLINK("https://api-enni.alpina.ru/FilePrivilegesApproval/149","https://api-enni.alpina.ru/FilePrivilegesApproval/149")</f>
        <v>https://api-enni.alpina.ru/FilePrivilegesApproval/149</v>
      </c>
      <c r="Z186" s="18" t="s">
        <v>144</v>
      </c>
      <c r="AS186" s="1">
        <f>IF($A186&lt;&gt;0,1,0)</f>
        <v>0</v>
      </c>
      <c r="AT186" s="1">
        <f>$A186*$B186</f>
        <v>0</v>
      </c>
      <c r="AU186" s="1">
        <f>$A186*$O186</f>
        <v>0</v>
      </c>
      <c r="AV186" s="1">
        <f>IF($R186=0,0,INT($A186/$R186))</f>
        <v>0</v>
      </c>
      <c r="AW186" s="1">
        <f>$A186-$AV186*$R186</f>
        <v>0</v>
      </c>
    </row>
    <row r="187" ht="24.95" customHeight="1" outlineLevel="1" s="1" customFormat="1">
      <c r="A187" s="15"/>
      <c r="B187" s="16">
        <v>590</v>
      </c>
      <c r="C187" s="16">
        <v>885</v>
      </c>
      <c r="D187" s="16">
        <v>11456</v>
      </c>
      <c r="E187" s="18"/>
      <c r="F187" s="18" t="s">
        <v>758</v>
      </c>
      <c r="G187" s="18" t="s">
        <v>759</v>
      </c>
      <c r="H187" s="18" t="s">
        <v>86</v>
      </c>
      <c r="I187" s="18" t="s">
        <v>74</v>
      </c>
      <c r="J187" s="16">
        <v>2025</v>
      </c>
      <c r="K187" s="18" t="s">
        <v>760</v>
      </c>
      <c r="L187" s="16">
        <v>9785961432121</v>
      </c>
      <c r="M187" s="18" t="s">
        <v>761</v>
      </c>
      <c r="N187" s="16">
        <v>300</v>
      </c>
      <c r="O187" s="19">
        <v>0.44</v>
      </c>
      <c r="P187" s="16">
        <v>140</v>
      </c>
      <c r="Q187" s="16">
        <v>200</v>
      </c>
      <c r="R187" s="16">
        <v>8</v>
      </c>
      <c r="S187" s="18" t="s">
        <v>43</v>
      </c>
      <c r="T187" s="18"/>
      <c r="U187" s="17">
        <v>15000</v>
      </c>
      <c r="V187" s="18" t="s">
        <v>44</v>
      </c>
      <c r="W187" s="18" t="s">
        <v>69</v>
      </c>
      <c r="X187" s="16">
        <v>10</v>
      </c>
      <c r="Y187" s="43" t="str">
        <f>HYPERLINK("https://api-enni.alpina.ru/FilePrivilegesApproval/51","https://api-enni.alpina.ru/FilePrivilegesApproval/51")</f>
        <v>https://api-enni.alpina.ru/FilePrivilegesApproval/51</v>
      </c>
      <c r="Z187" s="18"/>
      <c r="AS187" s="1">
        <f>IF($A187&lt;&gt;0,1,0)</f>
        <v>0</v>
      </c>
      <c r="AT187" s="1">
        <f>$A187*$B187</f>
        <v>0</v>
      </c>
      <c r="AU187" s="1">
        <f>$A187*$O187</f>
        <v>0</v>
      </c>
      <c r="AV187" s="1">
        <f>IF($R187=0,0,INT($A187/$R187))</f>
        <v>0</v>
      </c>
      <c r="AW187" s="1">
        <f>$A187-$AV187*$R187</f>
        <v>0</v>
      </c>
    </row>
    <row r="188" ht="24.95" customHeight="1" outlineLevel="1" s="1" customFormat="1">
      <c r="A188" s="15"/>
      <c r="B188" s="16">
        <v>340</v>
      </c>
      <c r="C188" s="16">
        <v>544</v>
      </c>
      <c r="D188" s="16">
        <v>27597</v>
      </c>
      <c r="E188" s="18"/>
      <c r="F188" s="18" t="s">
        <v>762</v>
      </c>
      <c r="G188" s="18" t="s">
        <v>763</v>
      </c>
      <c r="H188" s="18" t="s">
        <v>86</v>
      </c>
      <c r="I188" s="18" t="s">
        <v>764</v>
      </c>
      <c r="J188" s="16">
        <v>2025</v>
      </c>
      <c r="K188" s="18" t="s">
        <v>765</v>
      </c>
      <c r="L188" s="16">
        <v>9785961485813</v>
      </c>
      <c r="M188" s="18" t="s">
        <v>766</v>
      </c>
      <c r="N188" s="16">
        <v>316</v>
      </c>
      <c r="O188" s="19">
        <v>0.21</v>
      </c>
      <c r="P188" s="16">
        <v>120</v>
      </c>
      <c r="Q188" s="16">
        <v>170</v>
      </c>
      <c r="R188" s="16">
        <v>10</v>
      </c>
      <c r="S188" s="18" t="s">
        <v>190</v>
      </c>
      <c r="T188" s="18" t="s">
        <v>491</v>
      </c>
      <c r="U188" s="17">
        <v>8000</v>
      </c>
      <c r="V188" s="18" t="s">
        <v>44</v>
      </c>
      <c r="W188" s="18" t="s">
        <v>184</v>
      </c>
      <c r="X188" s="16">
        <v>10</v>
      </c>
      <c r="Y188" s="43" t="str">
        <f>HYPERLINK("https://api-enni.alpina.ru/FilePrivilegesApproval/205","https://api-enni.alpina.ru/FilePrivilegesApproval/205")</f>
        <v>https://api-enni.alpina.ru/FilePrivilegesApproval/205</v>
      </c>
      <c r="Z188" s="18"/>
      <c r="AS188" s="1">
        <f>IF($A188&lt;&gt;0,1,0)</f>
        <v>0</v>
      </c>
      <c r="AT188" s="1">
        <f>$A188*$B188</f>
        <v>0</v>
      </c>
      <c r="AU188" s="1">
        <f>$A188*$O188</f>
        <v>0</v>
      </c>
      <c r="AV188" s="1">
        <f>IF($R188=0,0,INT($A188/$R188))</f>
        <v>0</v>
      </c>
      <c r="AW188" s="1">
        <f>$A188-$AV188*$R188</f>
        <v>0</v>
      </c>
    </row>
    <row r="189" ht="24.95" customHeight="1" outlineLevel="1" s="1" customFormat="1">
      <c r="A189" s="15"/>
      <c r="B189" s="16">
        <v>790</v>
      </c>
      <c r="C189" s="17">
        <v>1146</v>
      </c>
      <c r="D189" s="16">
        <v>2312</v>
      </c>
      <c r="E189" s="18"/>
      <c r="F189" s="18" t="s">
        <v>496</v>
      </c>
      <c r="G189" s="18" t="s">
        <v>767</v>
      </c>
      <c r="H189" s="18" t="s">
        <v>86</v>
      </c>
      <c r="I189" s="18" t="s">
        <v>74</v>
      </c>
      <c r="J189" s="16">
        <v>2026</v>
      </c>
      <c r="K189" s="18" t="s">
        <v>768</v>
      </c>
      <c r="L189" s="16">
        <v>9785961467468</v>
      </c>
      <c r="M189" s="18" t="s">
        <v>769</v>
      </c>
      <c r="N189" s="16">
        <v>480</v>
      </c>
      <c r="O189" s="19">
        <v>0.57</v>
      </c>
      <c r="P189" s="16">
        <v>150</v>
      </c>
      <c r="Q189" s="16">
        <v>220</v>
      </c>
      <c r="R189" s="16">
        <v>5</v>
      </c>
      <c r="S189" s="18" t="s">
        <v>43</v>
      </c>
      <c r="T189" s="18"/>
      <c r="U189" s="17">
        <v>5000</v>
      </c>
      <c r="V189" s="18" t="s">
        <v>77</v>
      </c>
      <c r="W189" s="18" t="s">
        <v>184</v>
      </c>
      <c r="X189" s="16">
        <v>10</v>
      </c>
      <c r="Y189" s="43" t="str">
        <f>HYPERLINK("https://api-enni.alpina.ru/FilePrivilegesApproval/141","https://api-enni.alpina.ru/FilePrivilegesApproval/141")</f>
        <v>https://api-enni.alpina.ru/FilePrivilegesApproval/141</v>
      </c>
      <c r="Z189" s="18"/>
      <c r="AS189" s="1">
        <f>IF($A189&lt;&gt;0,1,0)</f>
        <v>0</v>
      </c>
      <c r="AT189" s="1">
        <f>$A189*$B189</f>
        <v>0</v>
      </c>
      <c r="AU189" s="1">
        <f>$A189*$O189</f>
        <v>0</v>
      </c>
      <c r="AV189" s="1">
        <f>IF($R189=0,0,INT($A189/$R189))</f>
        <v>0</v>
      </c>
      <c r="AW189" s="1">
        <f>$A189-$AV189*$R189</f>
        <v>0</v>
      </c>
    </row>
    <row r="190" ht="24.95" customHeight="1" outlineLevel="1" s="1" customFormat="1">
      <c r="A190" s="15"/>
      <c r="B190" s="16">
        <v>830</v>
      </c>
      <c r="C190" s="17">
        <v>1890</v>
      </c>
      <c r="D190" s="16">
        <v>35073</v>
      </c>
      <c r="E190" s="18"/>
      <c r="F190" s="18" t="s">
        <v>412</v>
      </c>
      <c r="G190" s="18" t="s">
        <v>770</v>
      </c>
      <c r="H190" s="18" t="s">
        <v>171</v>
      </c>
      <c r="I190" s="18"/>
      <c r="J190" s="16">
        <v>2026</v>
      </c>
      <c r="K190" s="18" t="s">
        <v>771</v>
      </c>
      <c r="L190" s="16">
        <v>9785002237333</v>
      </c>
      <c r="M190" s="18" t="s">
        <v>772</v>
      </c>
      <c r="N190" s="16">
        <v>428</v>
      </c>
      <c r="O190" s="19">
        <v>0.49</v>
      </c>
      <c r="P190" s="16">
        <v>150</v>
      </c>
      <c r="Q190" s="16">
        <v>220</v>
      </c>
      <c r="R190" s="16">
        <v>6</v>
      </c>
      <c r="S190" s="18" t="s">
        <v>43</v>
      </c>
      <c r="T190" s="18"/>
      <c r="U190" s="17">
        <v>20000</v>
      </c>
      <c r="V190" s="18" t="s">
        <v>77</v>
      </c>
      <c r="W190" s="18" t="s">
        <v>69</v>
      </c>
      <c r="X190" s="16">
        <v>10</v>
      </c>
      <c r="Y190" s="43" t="str">
        <f>HYPERLINK("https://api-enni.alpina.ru/FilePrivilegesApproval/1058","https://api-enni.alpina.ru/FilePrivilegesApproval/1058")</f>
        <v>https://api-enni.alpina.ru/FilePrivilegesApproval/1058</v>
      </c>
      <c r="Z190" s="18" t="s">
        <v>773</v>
      </c>
      <c r="AS190" s="1">
        <f>IF($A190&lt;&gt;0,1,0)</f>
        <v>0</v>
      </c>
      <c r="AT190" s="1">
        <f>$A190*$B190</f>
        <v>0</v>
      </c>
      <c r="AU190" s="1">
        <f>$A190*$O190</f>
        <v>0</v>
      </c>
      <c r="AV190" s="1">
        <f>IF($R190=0,0,INT($A190/$R190))</f>
        <v>0</v>
      </c>
      <c r="AW190" s="1">
        <f>$A190-$AV190*$R190</f>
        <v>0</v>
      </c>
    </row>
    <row r="191" ht="24.95" customHeight="1" outlineLevel="1" s="1" customFormat="1">
      <c r="A191" s="15"/>
      <c r="B191" s="16">
        <v>590</v>
      </c>
      <c r="C191" s="16">
        <v>885</v>
      </c>
      <c r="D191" s="16">
        <v>34027</v>
      </c>
      <c r="E191" s="18"/>
      <c r="F191" s="18" t="s">
        <v>256</v>
      </c>
      <c r="G191" s="18" t="s">
        <v>774</v>
      </c>
      <c r="H191" s="18" t="s">
        <v>86</v>
      </c>
      <c r="I191" s="18"/>
      <c r="J191" s="16">
        <v>2026</v>
      </c>
      <c r="K191" s="18" t="s">
        <v>775</v>
      </c>
      <c r="L191" s="16">
        <v>9785006306103</v>
      </c>
      <c r="M191" s="18" t="s">
        <v>776</v>
      </c>
      <c r="N191" s="16">
        <v>392</v>
      </c>
      <c r="O191" s="19">
        <v>0.48</v>
      </c>
      <c r="P191" s="16">
        <v>140</v>
      </c>
      <c r="Q191" s="16">
        <v>210</v>
      </c>
      <c r="R191" s="16">
        <v>12</v>
      </c>
      <c r="S191" s="18" t="s">
        <v>43</v>
      </c>
      <c r="T191" s="18"/>
      <c r="U191" s="17">
        <v>8000</v>
      </c>
      <c r="V191" s="18" t="s">
        <v>44</v>
      </c>
      <c r="W191" s="18" t="s">
        <v>69</v>
      </c>
      <c r="X191" s="16">
        <v>10</v>
      </c>
      <c r="Y191" s="43" t="str">
        <f>HYPERLINK("https://api-enni.alpina.ru/FilePrivilegesApproval/986","https://api-enni.alpina.ru/FilePrivilegesApproval/986")</f>
        <v>https://api-enni.alpina.ru/FilePrivilegesApproval/986</v>
      </c>
      <c r="Z191" s="18" t="s">
        <v>777</v>
      </c>
      <c r="AS191" s="1">
        <f>IF($A191&lt;&gt;0,1,0)</f>
        <v>0</v>
      </c>
      <c r="AT191" s="1">
        <f>$A191*$B191</f>
        <v>0</v>
      </c>
      <c r="AU191" s="1">
        <f>$A191*$O191</f>
        <v>0</v>
      </c>
      <c r="AV191" s="1">
        <f>IF($R191=0,0,INT($A191/$R191))</f>
        <v>0</v>
      </c>
      <c r="AW191" s="1">
        <f>$A191-$AV191*$R191</f>
        <v>0</v>
      </c>
    </row>
    <row r="192" ht="21.95" customHeight="1" outlineLevel="1" s="1" customFormat="1">
      <c r="A192" s="15"/>
      <c r="B192" s="16">
        <v>540</v>
      </c>
      <c r="C192" s="16">
        <v>837</v>
      </c>
      <c r="D192" s="16">
        <v>31630</v>
      </c>
      <c r="E192" s="18"/>
      <c r="F192" s="18" t="s">
        <v>778</v>
      </c>
      <c r="G192" s="18" t="s">
        <v>779</v>
      </c>
      <c r="H192" s="18" t="s">
        <v>86</v>
      </c>
      <c r="I192" s="18"/>
      <c r="J192" s="16">
        <v>2026</v>
      </c>
      <c r="K192" s="18" t="s">
        <v>780</v>
      </c>
      <c r="L192" s="16">
        <v>9785961499636</v>
      </c>
      <c r="M192" s="18" t="s">
        <v>781</v>
      </c>
      <c r="N192" s="16">
        <v>365</v>
      </c>
      <c r="O192" s="19">
        <v>0.55</v>
      </c>
      <c r="P192" s="16">
        <v>150</v>
      </c>
      <c r="Q192" s="16">
        <v>220</v>
      </c>
      <c r="R192" s="16">
        <v>10</v>
      </c>
      <c r="S192" s="18" t="s">
        <v>43</v>
      </c>
      <c r="T192" s="18"/>
      <c r="U192" s="17">
        <v>1000</v>
      </c>
      <c r="V192" s="18" t="s">
        <v>77</v>
      </c>
      <c r="W192" s="18" t="s">
        <v>69</v>
      </c>
      <c r="X192" s="16">
        <v>10</v>
      </c>
      <c r="Y192" s="43" t="str">
        <f>HYPERLINK("","")</f>
      </c>
      <c r="Z192" s="18" t="s">
        <v>119</v>
      </c>
      <c r="AS192" s="1">
        <f>IF($A192&lt;&gt;0,1,0)</f>
        <v>0</v>
      </c>
      <c r="AT192" s="1">
        <f>$A192*$B192</f>
        <v>0</v>
      </c>
      <c r="AU192" s="1">
        <f>$A192*$O192</f>
        <v>0</v>
      </c>
      <c r="AV192" s="1">
        <f>IF($R192=0,0,INT($A192/$R192))</f>
        <v>0</v>
      </c>
      <c r="AW192" s="1">
        <f>$A192-$AV192*$R192</f>
        <v>0</v>
      </c>
    </row>
    <row r="193" ht="21.95" customHeight="1" outlineLevel="1" s="1" customFormat="1">
      <c r="A193" s="15"/>
      <c r="B193" s="16">
        <v>590</v>
      </c>
      <c r="C193" s="16">
        <v>885</v>
      </c>
      <c r="D193" s="16">
        <v>29012</v>
      </c>
      <c r="E193" s="18"/>
      <c r="F193" s="18" t="s">
        <v>57</v>
      </c>
      <c r="G193" s="18" t="s">
        <v>782</v>
      </c>
      <c r="H193" s="18" t="s">
        <v>86</v>
      </c>
      <c r="I193" s="18" t="s">
        <v>74</v>
      </c>
      <c r="J193" s="16">
        <v>2026</v>
      </c>
      <c r="K193" s="18" t="s">
        <v>783</v>
      </c>
      <c r="L193" s="16">
        <v>9785961491043</v>
      </c>
      <c r="M193" s="18" t="s">
        <v>784</v>
      </c>
      <c r="N193" s="16">
        <v>370</v>
      </c>
      <c r="O193" s="19">
        <v>0.54</v>
      </c>
      <c r="P193" s="16">
        <v>150</v>
      </c>
      <c r="Q193" s="16">
        <v>220</v>
      </c>
      <c r="R193" s="16">
        <v>10</v>
      </c>
      <c r="S193" s="18" t="s">
        <v>43</v>
      </c>
      <c r="T193" s="18"/>
      <c r="U193" s="17">
        <v>10000</v>
      </c>
      <c r="V193" s="18" t="s">
        <v>77</v>
      </c>
      <c r="W193" s="18" t="s">
        <v>91</v>
      </c>
      <c r="X193" s="16">
        <v>22</v>
      </c>
      <c r="Y193" s="43" t="str">
        <f>HYPERLINK("","")</f>
      </c>
      <c r="Z193" s="18" t="s">
        <v>545</v>
      </c>
      <c r="AS193" s="1">
        <f>IF($A193&lt;&gt;0,1,0)</f>
        <v>0</v>
      </c>
      <c r="AT193" s="1">
        <f>$A193*$B193</f>
        <v>0</v>
      </c>
      <c r="AU193" s="1">
        <f>$A193*$O193</f>
        <v>0</v>
      </c>
      <c r="AV193" s="1">
        <f>IF($R193=0,0,INT($A193/$R193))</f>
        <v>0</v>
      </c>
      <c r="AW193" s="1">
        <f>$A193-$AV193*$R193</f>
        <v>0</v>
      </c>
    </row>
    <row r="194" ht="24.95" customHeight="1" outlineLevel="1" s="1" customFormat="1">
      <c r="A194" s="15"/>
      <c r="B194" s="16">
        <v>990</v>
      </c>
      <c r="C194" s="17">
        <v>1386</v>
      </c>
      <c r="D194" s="16">
        <v>28842</v>
      </c>
      <c r="E194" s="18"/>
      <c r="F194" s="18" t="s">
        <v>785</v>
      </c>
      <c r="G194" s="18" t="s">
        <v>786</v>
      </c>
      <c r="H194" s="18" t="s">
        <v>86</v>
      </c>
      <c r="I194" s="18"/>
      <c r="J194" s="16">
        <v>2025</v>
      </c>
      <c r="K194" s="18" t="s">
        <v>787</v>
      </c>
      <c r="L194" s="16">
        <v>9785961490268</v>
      </c>
      <c r="M194" s="18" t="s">
        <v>788</v>
      </c>
      <c r="N194" s="16">
        <v>588</v>
      </c>
      <c r="O194" s="19">
        <v>0.93</v>
      </c>
      <c r="P194" s="16">
        <v>170</v>
      </c>
      <c r="Q194" s="16">
        <v>240</v>
      </c>
      <c r="R194" s="16">
        <v>6</v>
      </c>
      <c r="S194" s="18" t="s">
        <v>123</v>
      </c>
      <c r="T194" s="18"/>
      <c r="U194" s="17">
        <v>6000</v>
      </c>
      <c r="V194" s="18" t="s">
        <v>44</v>
      </c>
      <c r="W194" s="18" t="s">
        <v>69</v>
      </c>
      <c r="X194" s="16">
        <v>10</v>
      </c>
      <c r="Y194" s="43" t="str">
        <f>HYPERLINK("https://api-enni.alpina.ru/FilePrivilegesApproval/336","https://api-enni.alpina.ru/FilePrivilegesApproval/336")</f>
        <v>https://api-enni.alpina.ru/FilePrivilegesApproval/336</v>
      </c>
      <c r="Z194" s="18"/>
      <c r="AS194" s="1">
        <f>IF($A194&lt;&gt;0,1,0)</f>
        <v>0</v>
      </c>
      <c r="AT194" s="1">
        <f>$A194*$B194</f>
        <v>0</v>
      </c>
      <c r="AU194" s="1">
        <f>$A194*$O194</f>
        <v>0</v>
      </c>
      <c r="AV194" s="1">
        <f>IF($R194=0,0,INT($A194/$R194))</f>
        <v>0</v>
      </c>
      <c r="AW194" s="1">
        <f>$A194-$AV194*$R194</f>
        <v>0</v>
      </c>
    </row>
    <row r="195" ht="21.95" customHeight="1" outlineLevel="1" s="1" customFormat="1">
      <c r="A195" s="15"/>
      <c r="B195" s="17">
        <v>1190</v>
      </c>
      <c r="C195" s="17">
        <v>1606</v>
      </c>
      <c r="D195" s="16">
        <v>27833</v>
      </c>
      <c r="E195" s="18"/>
      <c r="F195" s="18" t="s">
        <v>789</v>
      </c>
      <c r="G195" s="18" t="s">
        <v>790</v>
      </c>
      <c r="H195" s="18" t="s">
        <v>73</v>
      </c>
      <c r="I195" s="18"/>
      <c r="J195" s="16">
        <v>2026</v>
      </c>
      <c r="K195" s="18" t="s">
        <v>791</v>
      </c>
      <c r="L195" s="16">
        <v>9785001399605</v>
      </c>
      <c r="M195" s="18" t="s">
        <v>792</v>
      </c>
      <c r="N195" s="16">
        <v>702</v>
      </c>
      <c r="O195" s="19">
        <v>0.8</v>
      </c>
      <c r="P195" s="16">
        <v>140</v>
      </c>
      <c r="Q195" s="16">
        <v>210</v>
      </c>
      <c r="R195" s="16">
        <v>5</v>
      </c>
      <c r="S195" s="18" t="s">
        <v>43</v>
      </c>
      <c r="T195" s="18"/>
      <c r="U195" s="17">
        <v>1000</v>
      </c>
      <c r="V195" s="18" t="s">
        <v>44</v>
      </c>
      <c r="W195" s="18" t="s">
        <v>91</v>
      </c>
      <c r="X195" s="16">
        <v>10</v>
      </c>
      <c r="Y195" s="43" t="str">
        <f>HYPERLINK("","")</f>
      </c>
      <c r="Z195" s="18" t="s">
        <v>246</v>
      </c>
      <c r="AS195" s="1">
        <f>IF($A195&lt;&gt;0,1,0)</f>
        <v>0</v>
      </c>
      <c r="AT195" s="1">
        <f>$A195*$B195</f>
        <v>0</v>
      </c>
      <c r="AU195" s="1">
        <f>$A195*$O195</f>
        <v>0</v>
      </c>
      <c r="AV195" s="1">
        <f>IF($R195=0,0,INT($A195/$R195))</f>
        <v>0</v>
      </c>
      <c r="AW195" s="1">
        <f>$A195-$AV195*$R195</f>
        <v>0</v>
      </c>
    </row>
    <row r="196" ht="21.95" customHeight="1" outlineLevel="1" s="1" customFormat="1">
      <c r="A196" s="15"/>
      <c r="B196" s="17">
        <v>1240</v>
      </c>
      <c r="C196" s="17">
        <v>1674</v>
      </c>
      <c r="D196" s="16">
        <v>25906</v>
      </c>
      <c r="E196" s="18"/>
      <c r="F196" s="18" t="s">
        <v>793</v>
      </c>
      <c r="G196" s="18" t="s">
        <v>794</v>
      </c>
      <c r="H196" s="18" t="s">
        <v>73</v>
      </c>
      <c r="I196" s="18" t="s">
        <v>74</v>
      </c>
      <c r="J196" s="16">
        <v>2026</v>
      </c>
      <c r="K196" s="18" t="s">
        <v>795</v>
      </c>
      <c r="L196" s="16">
        <v>9785001396642</v>
      </c>
      <c r="M196" s="18" t="s">
        <v>796</v>
      </c>
      <c r="N196" s="16">
        <v>578</v>
      </c>
      <c r="O196" s="19">
        <v>0.71</v>
      </c>
      <c r="P196" s="16">
        <v>150</v>
      </c>
      <c r="Q196" s="16">
        <v>220</v>
      </c>
      <c r="R196" s="16">
        <v>8</v>
      </c>
      <c r="S196" s="18" t="s">
        <v>43</v>
      </c>
      <c r="T196" s="18"/>
      <c r="U196" s="17">
        <v>3000</v>
      </c>
      <c r="V196" s="18" t="s">
        <v>77</v>
      </c>
      <c r="W196" s="18" t="s">
        <v>91</v>
      </c>
      <c r="X196" s="16">
        <v>10</v>
      </c>
      <c r="Y196" s="43" t="str">
        <f>HYPERLINK("","")</f>
      </c>
      <c r="Z196" s="18" t="s">
        <v>246</v>
      </c>
      <c r="AS196" s="1">
        <f>IF($A196&lt;&gt;0,1,0)</f>
        <v>0</v>
      </c>
      <c r="AT196" s="1">
        <f>$A196*$B196</f>
        <v>0</v>
      </c>
      <c r="AU196" s="1">
        <f>$A196*$O196</f>
        <v>0</v>
      </c>
      <c r="AV196" s="1">
        <f>IF($R196=0,0,INT($A196/$R196))</f>
        <v>0</v>
      </c>
      <c r="AW196" s="1">
        <f>$A196-$AV196*$R196</f>
        <v>0</v>
      </c>
    </row>
    <row r="197" ht="24.95" customHeight="1" outlineLevel="1" s="1" customFormat="1">
      <c r="A197" s="15"/>
      <c r="B197" s="16">
        <v>840</v>
      </c>
      <c r="C197" s="17">
        <v>1218</v>
      </c>
      <c r="D197" s="16">
        <v>28037</v>
      </c>
      <c r="E197" s="18"/>
      <c r="F197" s="18" t="s">
        <v>291</v>
      </c>
      <c r="G197" s="18" t="s">
        <v>292</v>
      </c>
      <c r="H197" s="18" t="s">
        <v>86</v>
      </c>
      <c r="I197" s="18"/>
      <c r="J197" s="16">
        <v>2025</v>
      </c>
      <c r="K197" s="18" t="s">
        <v>797</v>
      </c>
      <c r="L197" s="16">
        <v>9785961487145</v>
      </c>
      <c r="M197" s="18" t="s">
        <v>798</v>
      </c>
      <c r="N197" s="16">
        <v>400</v>
      </c>
      <c r="O197" s="19">
        <v>0.57</v>
      </c>
      <c r="P197" s="16">
        <v>140</v>
      </c>
      <c r="Q197" s="16">
        <v>200</v>
      </c>
      <c r="R197" s="16">
        <v>6</v>
      </c>
      <c r="S197" s="18" t="s">
        <v>43</v>
      </c>
      <c r="T197" s="18"/>
      <c r="U197" s="17">
        <v>15000</v>
      </c>
      <c r="V197" s="18" t="s">
        <v>44</v>
      </c>
      <c r="W197" s="18" t="s">
        <v>91</v>
      </c>
      <c r="X197" s="16">
        <v>10</v>
      </c>
      <c r="Y197" s="43" t="str">
        <f>HYPERLINK("https://api-enni.alpina.ru/FilePrivilegesApproval/339","https://api-enni.alpina.ru/FilePrivilegesApproval/339")</f>
        <v>https://api-enni.alpina.ru/FilePrivilegesApproval/339</v>
      </c>
      <c r="Z197" s="18"/>
      <c r="AS197" s="1">
        <f>IF($A197&lt;&gt;0,1,0)</f>
        <v>0</v>
      </c>
      <c r="AT197" s="1">
        <f>$A197*$B197</f>
        <v>0</v>
      </c>
      <c r="AU197" s="1">
        <f>$A197*$O197</f>
        <v>0</v>
      </c>
      <c r="AV197" s="1">
        <f>IF($R197=0,0,INT($A197/$R197))</f>
        <v>0</v>
      </c>
      <c r="AW197" s="1">
        <f>$A197-$AV197*$R197</f>
        <v>0</v>
      </c>
    </row>
    <row r="198" ht="24.95" customHeight="1" outlineLevel="1" s="1" customFormat="1">
      <c r="A198" s="15"/>
      <c r="B198" s="17">
        <v>1990</v>
      </c>
      <c r="C198" s="17">
        <v>2587</v>
      </c>
      <c r="D198" s="16">
        <v>29550</v>
      </c>
      <c r="E198" s="18"/>
      <c r="F198" s="18" t="s">
        <v>799</v>
      </c>
      <c r="G198" s="18" t="s">
        <v>800</v>
      </c>
      <c r="H198" s="18" t="s">
        <v>73</v>
      </c>
      <c r="I198" s="18"/>
      <c r="J198" s="16">
        <v>2025</v>
      </c>
      <c r="K198" s="18" t="s">
        <v>801</v>
      </c>
      <c r="L198" s="16">
        <v>9785002231508</v>
      </c>
      <c r="M198" s="18" t="s">
        <v>802</v>
      </c>
      <c r="N198" s="16">
        <v>928</v>
      </c>
      <c r="O198" s="19">
        <v>1.08</v>
      </c>
      <c r="P198" s="16">
        <v>170</v>
      </c>
      <c r="Q198" s="16">
        <v>220</v>
      </c>
      <c r="R198" s="16">
        <v>2</v>
      </c>
      <c r="S198" s="18" t="s">
        <v>52</v>
      </c>
      <c r="T198" s="18"/>
      <c r="U198" s="17">
        <v>2000</v>
      </c>
      <c r="V198" s="18" t="s">
        <v>54</v>
      </c>
      <c r="W198" s="18" t="s">
        <v>45</v>
      </c>
      <c r="X198" s="16">
        <v>22</v>
      </c>
      <c r="Y198" s="43" t="str">
        <f>HYPERLINK("","")</f>
      </c>
      <c r="Z198" s="18"/>
      <c r="AS198" s="1">
        <f>IF($A198&lt;&gt;0,1,0)</f>
        <v>0</v>
      </c>
      <c r="AT198" s="1">
        <f>$A198*$B198</f>
        <v>0</v>
      </c>
      <c r="AU198" s="1">
        <f>$A198*$O198</f>
        <v>0</v>
      </c>
      <c r="AV198" s="1">
        <f>IF($R198=0,0,INT($A198/$R198))</f>
        <v>0</v>
      </c>
      <c r="AW198" s="1">
        <f>$A198-$AV198*$R198</f>
        <v>0</v>
      </c>
    </row>
    <row r="199" ht="24.95" customHeight="1" outlineLevel="1" s="1" customFormat="1">
      <c r="A199" s="15"/>
      <c r="B199" s="16">
        <v>790</v>
      </c>
      <c r="C199" s="17">
        <v>1146</v>
      </c>
      <c r="D199" s="16">
        <v>2978</v>
      </c>
      <c r="E199" s="18"/>
      <c r="F199" s="18" t="s">
        <v>803</v>
      </c>
      <c r="G199" s="18" t="s">
        <v>804</v>
      </c>
      <c r="H199" s="18" t="s">
        <v>73</v>
      </c>
      <c r="I199" s="18" t="s">
        <v>74</v>
      </c>
      <c r="J199" s="16">
        <v>2023</v>
      </c>
      <c r="K199" s="18" t="s">
        <v>805</v>
      </c>
      <c r="L199" s="16">
        <v>9785916718263</v>
      </c>
      <c r="M199" s="18" t="s">
        <v>806</v>
      </c>
      <c r="N199" s="16">
        <v>224</v>
      </c>
      <c r="O199" s="19">
        <v>0.26</v>
      </c>
      <c r="P199" s="16">
        <v>120</v>
      </c>
      <c r="Q199" s="16">
        <v>180</v>
      </c>
      <c r="R199" s="16">
        <v>12</v>
      </c>
      <c r="S199" s="18" t="s">
        <v>190</v>
      </c>
      <c r="T199" s="18"/>
      <c r="U199" s="17">
        <v>2000</v>
      </c>
      <c r="V199" s="18" t="s">
        <v>44</v>
      </c>
      <c r="W199" s="18" t="s">
        <v>184</v>
      </c>
      <c r="X199" s="16">
        <v>10</v>
      </c>
      <c r="Y199" s="43" t="str">
        <f>HYPERLINK("https://api-enni.alpina.ru/FilePrivilegesApproval/127","https://api-enni.alpina.ru/FilePrivilegesApproval/127")</f>
        <v>https://api-enni.alpina.ru/FilePrivilegesApproval/127</v>
      </c>
      <c r="Z199" s="18" t="s">
        <v>807</v>
      </c>
      <c r="AS199" s="1">
        <f>IF($A199&lt;&gt;0,1,0)</f>
        <v>0</v>
      </c>
      <c r="AT199" s="1">
        <f>$A199*$B199</f>
        <v>0</v>
      </c>
      <c r="AU199" s="1">
        <f>$A199*$O199</f>
        <v>0</v>
      </c>
      <c r="AV199" s="1">
        <f>IF($R199=0,0,INT($A199/$R199))</f>
        <v>0</v>
      </c>
      <c r="AW199" s="1">
        <f>$A199-$AV199*$R199</f>
        <v>0</v>
      </c>
    </row>
    <row r="200" ht="21.95" customHeight="1" outlineLevel="1" s="1" customFormat="1">
      <c r="A200" s="15"/>
      <c r="B200" s="17">
        <v>1290</v>
      </c>
      <c r="C200" s="17">
        <v>1742</v>
      </c>
      <c r="D200" s="16">
        <v>2885</v>
      </c>
      <c r="E200" s="18"/>
      <c r="F200" s="18" t="s">
        <v>803</v>
      </c>
      <c r="G200" s="18" t="s">
        <v>808</v>
      </c>
      <c r="H200" s="18" t="s">
        <v>73</v>
      </c>
      <c r="I200" s="18" t="s">
        <v>74</v>
      </c>
      <c r="J200" s="16">
        <v>2024</v>
      </c>
      <c r="K200" s="18" t="s">
        <v>809</v>
      </c>
      <c r="L200" s="16">
        <v>9785916717891</v>
      </c>
      <c r="M200" s="18" t="s">
        <v>810</v>
      </c>
      <c r="N200" s="16">
        <v>224</v>
      </c>
      <c r="O200" s="19">
        <v>0.34</v>
      </c>
      <c r="P200" s="16">
        <v>130</v>
      </c>
      <c r="Q200" s="16">
        <v>190</v>
      </c>
      <c r="R200" s="16">
        <v>14</v>
      </c>
      <c r="S200" s="18" t="s">
        <v>190</v>
      </c>
      <c r="T200" s="18" t="s">
        <v>811</v>
      </c>
      <c r="U200" s="17">
        <v>1500</v>
      </c>
      <c r="V200" s="18" t="s">
        <v>54</v>
      </c>
      <c r="W200" s="18" t="s">
        <v>184</v>
      </c>
      <c r="X200" s="16">
        <v>10</v>
      </c>
      <c r="Y200" s="43" t="str">
        <f>HYPERLINK("","")</f>
      </c>
      <c r="Z200" s="18" t="s">
        <v>98</v>
      </c>
      <c r="AS200" s="1">
        <f>IF($A200&lt;&gt;0,1,0)</f>
        <v>0</v>
      </c>
      <c r="AT200" s="1">
        <f>$A200*$B200</f>
        <v>0</v>
      </c>
      <c r="AU200" s="1">
        <f>$A200*$O200</f>
        <v>0</v>
      </c>
      <c r="AV200" s="1">
        <f>IF($R200=0,0,INT($A200/$R200))</f>
        <v>0</v>
      </c>
      <c r="AW200" s="1">
        <f>$A200-$AV200*$R200</f>
        <v>0</v>
      </c>
    </row>
    <row r="201" ht="24.95" customHeight="1" outlineLevel="1" s="1" customFormat="1">
      <c r="A201" s="15"/>
      <c r="B201" s="17">
        <v>1990</v>
      </c>
      <c r="C201" s="17">
        <v>2587</v>
      </c>
      <c r="D201" s="16">
        <v>2431</v>
      </c>
      <c r="E201" s="18"/>
      <c r="F201" s="18" t="s">
        <v>812</v>
      </c>
      <c r="G201" s="18" t="s">
        <v>813</v>
      </c>
      <c r="H201" s="18" t="s">
        <v>86</v>
      </c>
      <c r="I201" s="18" t="s">
        <v>74</v>
      </c>
      <c r="J201" s="16">
        <v>2026</v>
      </c>
      <c r="K201" s="18" t="s">
        <v>814</v>
      </c>
      <c r="L201" s="16">
        <v>9785961470758</v>
      </c>
      <c r="M201" s="18" t="s">
        <v>815</v>
      </c>
      <c r="N201" s="16">
        <v>288</v>
      </c>
      <c r="O201" s="19">
        <v>0.69</v>
      </c>
      <c r="P201" s="16">
        <v>240</v>
      </c>
      <c r="Q201" s="16">
        <v>190</v>
      </c>
      <c r="R201" s="16">
        <v>8</v>
      </c>
      <c r="S201" s="18" t="s">
        <v>328</v>
      </c>
      <c r="T201" s="18" t="s">
        <v>816</v>
      </c>
      <c r="U201" s="17">
        <v>3000</v>
      </c>
      <c r="V201" s="18" t="s">
        <v>44</v>
      </c>
      <c r="W201" s="18" t="s">
        <v>184</v>
      </c>
      <c r="X201" s="16">
        <v>10</v>
      </c>
      <c r="Y201" s="43" t="str">
        <f>HYPERLINK("https://api-enni.alpina.ru/FilePrivilegesApproval/2","https://api-enni.alpina.ru/FilePrivilegesApproval/2")</f>
        <v>https://api-enni.alpina.ru/FilePrivilegesApproval/2</v>
      </c>
      <c r="Z201" s="18"/>
      <c r="AS201" s="1">
        <f>IF($A201&lt;&gt;0,1,0)</f>
        <v>0</v>
      </c>
      <c r="AT201" s="1">
        <f>$A201*$B201</f>
        <v>0</v>
      </c>
      <c r="AU201" s="1">
        <f>$A201*$O201</f>
        <v>0</v>
      </c>
      <c r="AV201" s="1">
        <f>IF($R201=0,0,INT($A201/$R201))</f>
        <v>0</v>
      </c>
      <c r="AW201" s="1">
        <f>$A201-$AV201*$R201</f>
        <v>0</v>
      </c>
    </row>
    <row r="202" ht="24.95" customHeight="1" outlineLevel="1" s="1" customFormat="1">
      <c r="A202" s="15"/>
      <c r="B202" s="16">
        <v>990</v>
      </c>
      <c r="C202" s="17">
        <v>1386</v>
      </c>
      <c r="D202" s="16">
        <v>34363</v>
      </c>
      <c r="E202" s="18"/>
      <c r="F202" s="18" t="s">
        <v>817</v>
      </c>
      <c r="G202" s="18" t="s">
        <v>818</v>
      </c>
      <c r="H202" s="18" t="s">
        <v>73</v>
      </c>
      <c r="I202" s="18" t="s">
        <v>74</v>
      </c>
      <c r="J202" s="16">
        <v>2026</v>
      </c>
      <c r="K202" s="18" t="s">
        <v>819</v>
      </c>
      <c r="L202" s="16">
        <v>9785002236701</v>
      </c>
      <c r="M202" s="18" t="s">
        <v>820</v>
      </c>
      <c r="N202" s="16">
        <v>461</v>
      </c>
      <c r="O202" s="19">
        <v>0.56</v>
      </c>
      <c r="P202" s="16">
        <v>150</v>
      </c>
      <c r="Q202" s="16">
        <v>220</v>
      </c>
      <c r="R202" s="16">
        <v>10</v>
      </c>
      <c r="S202" s="18" t="s">
        <v>43</v>
      </c>
      <c r="T202" s="18"/>
      <c r="U202" s="17">
        <v>5000</v>
      </c>
      <c r="V202" s="18" t="s">
        <v>77</v>
      </c>
      <c r="W202" s="18" t="s">
        <v>69</v>
      </c>
      <c r="X202" s="16">
        <v>10</v>
      </c>
      <c r="Y202" s="43" t="str">
        <f>HYPERLINK("https://api-enni.alpina.ru/FilePrivilegesApproval/149","https://api-enni.alpina.ru/FilePrivilegesApproval/149")</f>
        <v>https://api-enni.alpina.ru/FilePrivilegesApproval/149</v>
      </c>
      <c r="Z202" s="18" t="s">
        <v>545</v>
      </c>
      <c r="AS202" s="1">
        <f>IF($A202&lt;&gt;0,1,0)</f>
        <v>0</v>
      </c>
      <c r="AT202" s="1">
        <f>$A202*$B202</f>
        <v>0</v>
      </c>
      <c r="AU202" s="1">
        <f>$A202*$O202</f>
        <v>0</v>
      </c>
      <c r="AV202" s="1">
        <f>IF($R202=0,0,INT($A202/$R202))</f>
        <v>0</v>
      </c>
      <c r="AW202" s="1">
        <f>$A202-$AV202*$R202</f>
        <v>0</v>
      </c>
    </row>
    <row r="203" ht="24.95" customHeight="1" outlineLevel="1" s="1" customFormat="1">
      <c r="A203" s="15"/>
      <c r="B203" s="16">
        <v>590</v>
      </c>
      <c r="C203" s="16">
        <v>885</v>
      </c>
      <c r="D203" s="16">
        <v>29153</v>
      </c>
      <c r="E203" s="18"/>
      <c r="F203" s="18" t="s">
        <v>150</v>
      </c>
      <c r="G203" s="18" t="s">
        <v>306</v>
      </c>
      <c r="H203" s="18" t="s">
        <v>64</v>
      </c>
      <c r="I203" s="18" t="s">
        <v>65</v>
      </c>
      <c r="J203" s="16">
        <v>2026</v>
      </c>
      <c r="K203" s="18" t="s">
        <v>821</v>
      </c>
      <c r="L203" s="16">
        <v>9785961491647</v>
      </c>
      <c r="M203" s="18" t="s">
        <v>822</v>
      </c>
      <c r="N203" s="16">
        <v>592</v>
      </c>
      <c r="O203" s="19">
        <v>0.5</v>
      </c>
      <c r="P203" s="16">
        <v>140</v>
      </c>
      <c r="Q203" s="16">
        <v>200</v>
      </c>
      <c r="R203" s="16">
        <v>6</v>
      </c>
      <c r="S203" s="18" t="s">
        <v>43</v>
      </c>
      <c r="T203" s="18"/>
      <c r="U203" s="17">
        <v>10000</v>
      </c>
      <c r="V203" s="18" t="s">
        <v>44</v>
      </c>
      <c r="W203" s="18" t="s">
        <v>91</v>
      </c>
      <c r="X203" s="16">
        <v>10</v>
      </c>
      <c r="Y203" s="43" t="str">
        <f>HYPERLINK("https://api-enni.alpina.ru/FilePrivilegesApproval/510","https://api-enni.alpina.ru/FilePrivilegesApproval/510")</f>
        <v>https://api-enni.alpina.ru/FilePrivilegesApproval/510</v>
      </c>
      <c r="Z203" s="18" t="s">
        <v>46</v>
      </c>
      <c r="AS203" s="1">
        <f>IF($A203&lt;&gt;0,1,0)</f>
        <v>0</v>
      </c>
      <c r="AT203" s="1">
        <f>$A203*$B203</f>
        <v>0</v>
      </c>
      <c r="AU203" s="1">
        <f>$A203*$O203</f>
        <v>0</v>
      </c>
      <c r="AV203" s="1">
        <f>IF($R203=0,0,INT($A203/$R203))</f>
        <v>0</v>
      </c>
      <c r="AW203" s="1">
        <f>$A203-$AV203*$R203</f>
        <v>0</v>
      </c>
    </row>
    <row r="204" ht="24.95" customHeight="1" outlineLevel="1" s="1" customFormat="1">
      <c r="A204" s="15"/>
      <c r="B204" s="16">
        <v>890</v>
      </c>
      <c r="C204" s="17">
        <v>1246</v>
      </c>
      <c r="D204" s="16">
        <v>34737</v>
      </c>
      <c r="E204" s="18"/>
      <c r="F204" s="18" t="s">
        <v>823</v>
      </c>
      <c r="G204" s="18" t="s">
        <v>824</v>
      </c>
      <c r="H204" s="18" t="s">
        <v>95</v>
      </c>
      <c r="I204" s="18"/>
      <c r="J204" s="16">
        <v>2025</v>
      </c>
      <c r="K204" s="18" t="s">
        <v>825</v>
      </c>
      <c r="L204" s="16">
        <v>9785206005196</v>
      </c>
      <c r="M204" s="18" t="s">
        <v>826</v>
      </c>
      <c r="N204" s="16">
        <v>288</v>
      </c>
      <c r="O204" s="19">
        <v>0.57</v>
      </c>
      <c r="P204" s="16">
        <v>170</v>
      </c>
      <c r="Q204" s="16">
        <v>240</v>
      </c>
      <c r="R204" s="16">
        <v>10</v>
      </c>
      <c r="S204" s="18" t="s">
        <v>123</v>
      </c>
      <c r="T204" s="18"/>
      <c r="U204" s="17">
        <v>1000</v>
      </c>
      <c r="V204" s="18" t="s">
        <v>77</v>
      </c>
      <c r="W204" s="18" t="s">
        <v>69</v>
      </c>
      <c r="X204" s="16">
        <v>10</v>
      </c>
      <c r="Y204" s="43" t="str">
        <f>HYPERLINK("","")</f>
      </c>
      <c r="Z204" s="18" t="s">
        <v>246</v>
      </c>
      <c r="AS204" s="1">
        <f>IF($A204&lt;&gt;0,1,0)</f>
        <v>0</v>
      </c>
      <c r="AT204" s="1">
        <f>$A204*$B204</f>
        <v>0</v>
      </c>
      <c r="AU204" s="1">
        <f>$A204*$O204</f>
        <v>0</v>
      </c>
      <c r="AV204" s="1">
        <f>IF($R204=0,0,INT($A204/$R204))</f>
        <v>0</v>
      </c>
      <c r="AW204" s="1">
        <f>$A204-$AV204*$R204</f>
        <v>0</v>
      </c>
    </row>
    <row r="205" ht="24.95" customHeight="1" outlineLevel="1" s="1" customFormat="1">
      <c r="A205" s="15"/>
      <c r="B205" s="16">
        <v>590</v>
      </c>
      <c r="C205" s="16">
        <v>885</v>
      </c>
      <c r="D205" s="16">
        <v>27355</v>
      </c>
      <c r="E205" s="18"/>
      <c r="F205" s="18" t="s">
        <v>827</v>
      </c>
      <c r="G205" s="18" t="s">
        <v>828</v>
      </c>
      <c r="H205" s="18" t="s">
        <v>73</v>
      </c>
      <c r="I205" s="18"/>
      <c r="J205" s="16">
        <v>2026</v>
      </c>
      <c r="K205" s="18" t="s">
        <v>829</v>
      </c>
      <c r="L205" s="16">
        <v>9785001399209</v>
      </c>
      <c r="M205" s="18" t="s">
        <v>830</v>
      </c>
      <c r="N205" s="16">
        <v>686</v>
      </c>
      <c r="O205" s="19">
        <v>0.44</v>
      </c>
      <c r="P205" s="16">
        <v>120</v>
      </c>
      <c r="Q205" s="16">
        <v>170</v>
      </c>
      <c r="R205" s="16">
        <v>4</v>
      </c>
      <c r="S205" s="18" t="s">
        <v>190</v>
      </c>
      <c r="T205" s="18" t="s">
        <v>491</v>
      </c>
      <c r="U205" s="17">
        <v>3000</v>
      </c>
      <c r="V205" s="18" t="s">
        <v>44</v>
      </c>
      <c r="W205" s="18" t="s">
        <v>184</v>
      </c>
      <c r="X205" s="16">
        <v>10</v>
      </c>
      <c r="Y205" s="43" t="str">
        <f>HYPERLINK("https://api-enni.alpina.ru/FilePrivilegesApproval/145","https://api-enni.alpina.ru/FilePrivilegesApproval/145")</f>
        <v>https://api-enni.alpina.ru/FilePrivilegesApproval/145</v>
      </c>
      <c r="Z205" s="18"/>
      <c r="AS205" s="1">
        <f>IF($A205&lt;&gt;0,1,0)</f>
        <v>0</v>
      </c>
      <c r="AT205" s="1">
        <f>$A205*$B205</f>
        <v>0</v>
      </c>
      <c r="AU205" s="1">
        <f>$A205*$O205</f>
        <v>0</v>
      </c>
      <c r="AV205" s="1">
        <f>IF($R205=0,0,INT($A205/$R205))</f>
        <v>0</v>
      </c>
      <c r="AW205" s="1">
        <f>$A205-$AV205*$R205</f>
        <v>0</v>
      </c>
    </row>
    <row r="206" ht="24.95" customHeight="1" outlineLevel="1" s="1" customFormat="1">
      <c r="A206" s="15"/>
      <c r="B206" s="16">
        <v>740</v>
      </c>
      <c r="C206" s="17">
        <v>1073</v>
      </c>
      <c r="D206" s="16">
        <v>32282</v>
      </c>
      <c r="E206" s="18"/>
      <c r="F206" s="18" t="s">
        <v>831</v>
      </c>
      <c r="G206" s="18" t="s">
        <v>832</v>
      </c>
      <c r="H206" s="18" t="s">
        <v>86</v>
      </c>
      <c r="I206" s="18" t="s">
        <v>40</v>
      </c>
      <c r="J206" s="16">
        <v>2026</v>
      </c>
      <c r="K206" s="18" t="s">
        <v>833</v>
      </c>
      <c r="L206" s="16">
        <v>9785006301856</v>
      </c>
      <c r="M206" s="18" t="s">
        <v>834</v>
      </c>
      <c r="N206" s="16">
        <v>308</v>
      </c>
      <c r="O206" s="19">
        <v>0.47</v>
      </c>
      <c r="P206" s="16">
        <v>150</v>
      </c>
      <c r="Q206" s="16">
        <v>220</v>
      </c>
      <c r="R206" s="16">
        <v>14</v>
      </c>
      <c r="S206" s="18" t="s">
        <v>43</v>
      </c>
      <c r="T206" s="18"/>
      <c r="U206" s="17">
        <v>3000</v>
      </c>
      <c r="V206" s="18" t="s">
        <v>77</v>
      </c>
      <c r="W206" s="18" t="s">
        <v>69</v>
      </c>
      <c r="X206" s="16">
        <v>10</v>
      </c>
      <c r="Y206" s="43" t="str">
        <f>HYPERLINK("https://api-enni.alpina.ru/FilePrivilegesApproval/993","https://api-enni.alpina.ru/FilePrivilegesApproval/993")</f>
        <v>https://api-enni.alpina.ru/FilePrivilegesApproval/993</v>
      </c>
      <c r="Z206" s="18" t="s">
        <v>835</v>
      </c>
      <c r="AS206" s="1">
        <f>IF($A206&lt;&gt;0,1,0)</f>
        <v>0</v>
      </c>
      <c r="AT206" s="1">
        <f>$A206*$B206</f>
        <v>0</v>
      </c>
      <c r="AU206" s="1">
        <f>$A206*$O206</f>
        <v>0</v>
      </c>
      <c r="AV206" s="1">
        <f>IF($R206=0,0,INT($A206/$R206))</f>
        <v>0</v>
      </c>
      <c r="AW206" s="1">
        <f>$A206-$AV206*$R206</f>
        <v>0</v>
      </c>
    </row>
    <row r="207" ht="24.95" customHeight="1" outlineLevel="1" s="1" customFormat="1">
      <c r="A207" s="15"/>
      <c r="B207" s="16">
        <v>890</v>
      </c>
      <c r="C207" s="17">
        <v>1246</v>
      </c>
      <c r="D207" s="16">
        <v>32177</v>
      </c>
      <c r="E207" s="18"/>
      <c r="F207" s="18" t="s">
        <v>836</v>
      </c>
      <c r="G207" s="18" t="s">
        <v>837</v>
      </c>
      <c r="H207" s="18" t="s">
        <v>86</v>
      </c>
      <c r="I207" s="18"/>
      <c r="J207" s="16">
        <v>2026</v>
      </c>
      <c r="K207" s="18" t="s">
        <v>838</v>
      </c>
      <c r="L207" s="16">
        <v>9785006301573</v>
      </c>
      <c r="M207" s="18" t="s">
        <v>839</v>
      </c>
      <c r="N207" s="16">
        <v>398</v>
      </c>
      <c r="O207" s="19">
        <v>0.74</v>
      </c>
      <c r="P207" s="16">
        <v>170</v>
      </c>
      <c r="Q207" s="16">
        <v>240</v>
      </c>
      <c r="R207" s="16">
        <v>6</v>
      </c>
      <c r="S207" s="18" t="s">
        <v>123</v>
      </c>
      <c r="T207" s="18"/>
      <c r="U207" s="17">
        <v>6000</v>
      </c>
      <c r="V207" s="18" t="s">
        <v>77</v>
      </c>
      <c r="W207" s="18" t="s">
        <v>69</v>
      </c>
      <c r="X207" s="16">
        <v>10</v>
      </c>
      <c r="Y207" s="43" t="str">
        <f>HYPERLINK("https://api-enni.alpina.ru/FilePrivilegesApproval/831","https://api-enni.alpina.ru/FilePrivilegesApproval/831")</f>
        <v>https://api-enni.alpina.ru/FilePrivilegesApproval/831</v>
      </c>
      <c r="Z207" s="18" t="s">
        <v>251</v>
      </c>
      <c r="AS207" s="1">
        <f>IF($A207&lt;&gt;0,1,0)</f>
        <v>0</v>
      </c>
      <c r="AT207" s="1">
        <f>$A207*$B207</f>
        <v>0</v>
      </c>
      <c r="AU207" s="1">
        <f>$A207*$O207</f>
        <v>0</v>
      </c>
      <c r="AV207" s="1">
        <f>IF($R207=0,0,INT($A207/$R207))</f>
        <v>0</v>
      </c>
      <c r="AW207" s="1">
        <f>$A207-$AV207*$R207</f>
        <v>0</v>
      </c>
    </row>
    <row r="208" ht="24.95" customHeight="1" outlineLevel="1" s="1" customFormat="1">
      <c r="A208" s="15"/>
      <c r="B208" s="16">
        <v>790</v>
      </c>
      <c r="C208" s="17">
        <v>1146</v>
      </c>
      <c r="D208" s="16">
        <v>35407</v>
      </c>
      <c r="E208" s="18"/>
      <c r="F208" s="18" t="s">
        <v>836</v>
      </c>
      <c r="G208" s="18" t="s">
        <v>840</v>
      </c>
      <c r="H208" s="18" t="s">
        <v>86</v>
      </c>
      <c r="I208" s="18"/>
      <c r="J208" s="16">
        <v>2026</v>
      </c>
      <c r="K208" s="18" t="s">
        <v>841</v>
      </c>
      <c r="L208" s="16">
        <v>9785006312029</v>
      </c>
      <c r="M208" s="18" t="s">
        <v>842</v>
      </c>
      <c r="N208" s="16">
        <v>360</v>
      </c>
      <c r="O208" s="19">
        <v>0.68</v>
      </c>
      <c r="P208" s="16">
        <v>170</v>
      </c>
      <c r="Q208" s="16">
        <v>240</v>
      </c>
      <c r="R208" s="16">
        <v>6</v>
      </c>
      <c r="S208" s="18" t="s">
        <v>123</v>
      </c>
      <c r="T208" s="18"/>
      <c r="U208" s="17">
        <v>10000</v>
      </c>
      <c r="V208" s="18" t="s">
        <v>77</v>
      </c>
      <c r="W208" s="18" t="s">
        <v>69</v>
      </c>
      <c r="X208" s="16">
        <v>10</v>
      </c>
      <c r="Y208" s="43" t="str">
        <f>HYPERLINK("https://api-enni.alpina.ru/FilePrivilegesApproval/1097","https://api-enni.alpina.ru/FilePrivilegesApproval/1097")</f>
        <v>https://api-enni.alpina.ru/FilePrivilegesApproval/1097</v>
      </c>
      <c r="Z208" s="18" t="s">
        <v>843</v>
      </c>
      <c r="AS208" s="1">
        <f>IF($A208&lt;&gt;0,1,0)</f>
        <v>0</v>
      </c>
      <c r="AT208" s="1">
        <f>$A208*$B208</f>
        <v>0</v>
      </c>
      <c r="AU208" s="1">
        <f>$A208*$O208</f>
        <v>0</v>
      </c>
      <c r="AV208" s="1">
        <f>IF($R208=0,0,INT($A208/$R208))</f>
        <v>0</v>
      </c>
      <c r="AW208" s="1">
        <f>$A208-$AV208*$R208</f>
        <v>0</v>
      </c>
    </row>
    <row r="209" ht="24.95" customHeight="1" outlineLevel="1" s="1" customFormat="1">
      <c r="A209" s="15"/>
      <c r="B209" s="16">
        <v>540</v>
      </c>
      <c r="C209" s="16">
        <v>837</v>
      </c>
      <c r="D209" s="16">
        <v>31499</v>
      </c>
      <c r="E209" s="18"/>
      <c r="F209" s="18" t="s">
        <v>844</v>
      </c>
      <c r="G209" s="18" t="s">
        <v>845</v>
      </c>
      <c r="H209" s="18" t="s">
        <v>39</v>
      </c>
      <c r="I209" s="18"/>
      <c r="J209" s="16">
        <v>2026</v>
      </c>
      <c r="K209" s="18" t="s">
        <v>846</v>
      </c>
      <c r="L209" s="16">
        <v>9785961499063</v>
      </c>
      <c r="M209" s="18" t="s">
        <v>847</v>
      </c>
      <c r="N209" s="16">
        <v>272</v>
      </c>
      <c r="O209" s="19">
        <v>0.24</v>
      </c>
      <c r="P209" s="16">
        <v>140</v>
      </c>
      <c r="Q209" s="16">
        <v>210</v>
      </c>
      <c r="R209" s="16">
        <v>8</v>
      </c>
      <c r="S209" s="18" t="s">
        <v>43</v>
      </c>
      <c r="T209" s="18"/>
      <c r="U209" s="17">
        <v>5000</v>
      </c>
      <c r="V209" s="18" t="s">
        <v>44</v>
      </c>
      <c r="W209" s="18" t="s">
        <v>45</v>
      </c>
      <c r="X209" s="16">
        <v>10</v>
      </c>
      <c r="Y209" s="43" t="str">
        <f>HYPERLINK("https://api-enni.alpina.ru/FilePrivilegesApproval/768","https://api-enni.alpina.ru/FilePrivilegesApproval/768")</f>
        <v>https://api-enni.alpina.ru/FilePrivilegesApproval/768</v>
      </c>
      <c r="Z209" s="18"/>
      <c r="AS209" s="1">
        <f>IF($A209&lt;&gt;0,1,0)</f>
        <v>0</v>
      </c>
      <c r="AT209" s="1">
        <f>$A209*$B209</f>
        <v>0</v>
      </c>
      <c r="AU209" s="1">
        <f>$A209*$O209</f>
        <v>0</v>
      </c>
      <c r="AV209" s="1">
        <f>IF($R209=0,0,INT($A209/$R209))</f>
        <v>0</v>
      </c>
      <c r="AW209" s="1">
        <f>$A209-$AV209*$R209</f>
        <v>0</v>
      </c>
    </row>
    <row r="210" ht="24.95" customHeight="1" outlineLevel="1" s="1" customFormat="1">
      <c r="A210" s="15"/>
      <c r="B210" s="16">
        <v>650</v>
      </c>
      <c r="C210" s="16">
        <v>975</v>
      </c>
      <c r="D210" s="16">
        <v>32048</v>
      </c>
      <c r="E210" s="18"/>
      <c r="F210" s="18" t="s">
        <v>848</v>
      </c>
      <c r="G210" s="18" t="s">
        <v>849</v>
      </c>
      <c r="H210" s="18" t="s">
        <v>39</v>
      </c>
      <c r="I210" s="18"/>
      <c r="J210" s="16">
        <v>2026</v>
      </c>
      <c r="K210" s="18" t="s">
        <v>850</v>
      </c>
      <c r="L210" s="16">
        <v>9785006301023</v>
      </c>
      <c r="M210" s="18" t="s">
        <v>851</v>
      </c>
      <c r="N210" s="16">
        <v>528</v>
      </c>
      <c r="O210" s="19">
        <v>0.49</v>
      </c>
      <c r="P210" s="16">
        <v>140</v>
      </c>
      <c r="Q210" s="16">
        <v>210</v>
      </c>
      <c r="R210" s="16">
        <v>4</v>
      </c>
      <c r="S210" s="18" t="s">
        <v>43</v>
      </c>
      <c r="T210" s="18"/>
      <c r="U210" s="17">
        <v>10000</v>
      </c>
      <c r="V210" s="18" t="s">
        <v>44</v>
      </c>
      <c r="W210" s="18" t="s">
        <v>69</v>
      </c>
      <c r="X210" s="16">
        <v>10</v>
      </c>
      <c r="Y210" s="43" t="str">
        <f>HYPERLINK("https://api-enni.alpina.ru/FilePrivilegesApproval/853","https://api-enni.alpina.ru/FilePrivilegesApproval/853")</f>
        <v>https://api-enni.alpina.ru/FilePrivilegesApproval/853</v>
      </c>
      <c r="Z210" s="18"/>
      <c r="AS210" s="1">
        <f>IF($A210&lt;&gt;0,1,0)</f>
        <v>0</v>
      </c>
      <c r="AT210" s="1">
        <f>$A210*$B210</f>
        <v>0</v>
      </c>
      <c r="AU210" s="1">
        <f>$A210*$O210</f>
        <v>0</v>
      </c>
      <c r="AV210" s="1">
        <f>IF($R210=0,0,INT($A210/$R210))</f>
        <v>0</v>
      </c>
      <c r="AW210" s="1">
        <f>$A210-$AV210*$R210</f>
        <v>0</v>
      </c>
    </row>
    <row r="211" ht="24.95" customHeight="1" outlineLevel="1" s="1" customFormat="1">
      <c r="A211" s="15"/>
      <c r="B211" s="17">
        <v>1390</v>
      </c>
      <c r="C211" s="17">
        <v>1876</v>
      </c>
      <c r="D211" s="16">
        <v>32874</v>
      </c>
      <c r="E211" s="18"/>
      <c r="F211" s="18" t="s">
        <v>852</v>
      </c>
      <c r="G211" s="18" t="s">
        <v>853</v>
      </c>
      <c r="H211" s="18" t="s">
        <v>86</v>
      </c>
      <c r="I211" s="18" t="s">
        <v>74</v>
      </c>
      <c r="J211" s="16">
        <v>2025</v>
      </c>
      <c r="K211" s="18" t="s">
        <v>854</v>
      </c>
      <c r="L211" s="16">
        <v>9785006304833</v>
      </c>
      <c r="M211" s="18" t="s">
        <v>855</v>
      </c>
      <c r="N211" s="16">
        <v>576</v>
      </c>
      <c r="O211" s="19">
        <v>0.85</v>
      </c>
      <c r="P211" s="16">
        <v>170</v>
      </c>
      <c r="Q211" s="16">
        <v>240</v>
      </c>
      <c r="R211" s="16">
        <v>5</v>
      </c>
      <c r="S211" s="18" t="s">
        <v>123</v>
      </c>
      <c r="T211" s="18"/>
      <c r="U211" s="17">
        <v>5000</v>
      </c>
      <c r="V211" s="18" t="s">
        <v>77</v>
      </c>
      <c r="W211" s="18" t="s">
        <v>184</v>
      </c>
      <c r="X211" s="16">
        <v>10</v>
      </c>
      <c r="Y211" s="43" t="str">
        <f>HYPERLINK("https://api-enni.alpina.ru/FilePrivilegesApproval/2","https://api-enni.alpina.ru/FilePrivilegesApproval/2")</f>
        <v>https://api-enni.alpina.ru/FilePrivilegesApproval/2</v>
      </c>
      <c r="Z211" s="18"/>
      <c r="AS211" s="1">
        <f>IF($A211&lt;&gt;0,1,0)</f>
        <v>0</v>
      </c>
      <c r="AT211" s="1">
        <f>$A211*$B211</f>
        <v>0</v>
      </c>
      <c r="AU211" s="1">
        <f>$A211*$O211</f>
        <v>0</v>
      </c>
      <c r="AV211" s="1">
        <f>IF($R211=0,0,INT($A211/$R211))</f>
        <v>0</v>
      </c>
      <c r="AW211" s="1">
        <f>$A211-$AV211*$R211</f>
        <v>0</v>
      </c>
    </row>
    <row r="212" ht="21.95" customHeight="1" outlineLevel="1" s="1" customFormat="1">
      <c r="A212" s="15"/>
      <c r="B212" s="17">
        <v>1090</v>
      </c>
      <c r="C212" s="17">
        <v>1472</v>
      </c>
      <c r="D212" s="16">
        <v>34824</v>
      </c>
      <c r="E212" s="18"/>
      <c r="F212" s="18" t="s">
        <v>382</v>
      </c>
      <c r="G212" s="18" t="s">
        <v>856</v>
      </c>
      <c r="H212" s="18" t="s">
        <v>171</v>
      </c>
      <c r="I212" s="18"/>
      <c r="J212" s="16">
        <v>2026</v>
      </c>
      <c r="K212" s="18" t="s">
        <v>857</v>
      </c>
      <c r="L212" s="16">
        <v>9785002237005</v>
      </c>
      <c r="M212" s="18" t="s">
        <v>858</v>
      </c>
      <c r="N212" s="16">
        <v>600</v>
      </c>
      <c r="O212" s="19">
        <v>0.66</v>
      </c>
      <c r="P212" s="16">
        <v>150</v>
      </c>
      <c r="Q212" s="16">
        <v>220</v>
      </c>
      <c r="R212" s="16">
        <v>5</v>
      </c>
      <c r="S212" s="18" t="s">
        <v>43</v>
      </c>
      <c r="T212" s="18"/>
      <c r="U212" s="17">
        <v>1000</v>
      </c>
      <c r="V212" s="18" t="s">
        <v>77</v>
      </c>
      <c r="W212" s="18" t="s">
        <v>45</v>
      </c>
      <c r="X212" s="16">
        <v>22</v>
      </c>
      <c r="Y212" s="43" t="str">
        <f>HYPERLINK("","")</f>
      </c>
      <c r="Z212" s="18" t="s">
        <v>246</v>
      </c>
      <c r="AS212" s="1">
        <f>IF($A212&lt;&gt;0,1,0)</f>
        <v>0</v>
      </c>
      <c r="AT212" s="1">
        <f>$A212*$B212</f>
        <v>0</v>
      </c>
      <c r="AU212" s="1">
        <f>$A212*$O212</f>
        <v>0</v>
      </c>
      <c r="AV212" s="1">
        <f>IF($R212=0,0,INT($A212/$R212))</f>
        <v>0</v>
      </c>
      <c r="AW212" s="1">
        <f>$A212-$AV212*$R212</f>
        <v>0</v>
      </c>
    </row>
    <row r="213" ht="24.95" customHeight="1" outlineLevel="1" s="1" customFormat="1">
      <c r="A213" s="15"/>
      <c r="B213" s="16">
        <v>940</v>
      </c>
      <c r="C213" s="17">
        <v>1316</v>
      </c>
      <c r="D213" s="16">
        <v>28083</v>
      </c>
      <c r="E213" s="18"/>
      <c r="F213" s="18" t="s">
        <v>469</v>
      </c>
      <c r="G213" s="18" t="s">
        <v>859</v>
      </c>
      <c r="H213" s="18" t="s">
        <v>86</v>
      </c>
      <c r="I213" s="18" t="s">
        <v>74</v>
      </c>
      <c r="J213" s="16">
        <v>2026</v>
      </c>
      <c r="K213" s="18" t="s">
        <v>860</v>
      </c>
      <c r="L213" s="16">
        <v>9785961487220</v>
      </c>
      <c r="M213" s="18" t="s">
        <v>861</v>
      </c>
      <c r="N213" s="16">
        <v>488</v>
      </c>
      <c r="O213" s="19">
        <v>0.86</v>
      </c>
      <c r="P213" s="16">
        <v>170</v>
      </c>
      <c r="Q213" s="16">
        <v>240</v>
      </c>
      <c r="R213" s="16">
        <v>5</v>
      </c>
      <c r="S213" s="18" t="s">
        <v>123</v>
      </c>
      <c r="T213" s="18"/>
      <c r="U213" s="17">
        <v>10000</v>
      </c>
      <c r="V213" s="18" t="s">
        <v>77</v>
      </c>
      <c r="W213" s="18" t="s">
        <v>91</v>
      </c>
      <c r="X213" s="16">
        <v>10</v>
      </c>
      <c r="Y213" s="43" t="str">
        <f>HYPERLINK("https://api-enni.alpina.ru/FilePrivilegesApproval/177","https://api-enni.alpina.ru/FilePrivilegesApproval/177")</f>
        <v>https://api-enni.alpina.ru/FilePrivilegesApproval/177</v>
      </c>
      <c r="Z213" s="18"/>
      <c r="AS213" s="1">
        <f>IF($A213&lt;&gt;0,1,0)</f>
        <v>0</v>
      </c>
      <c r="AT213" s="1">
        <f>$A213*$B213</f>
        <v>0</v>
      </c>
      <c r="AU213" s="1">
        <f>$A213*$O213</f>
        <v>0</v>
      </c>
      <c r="AV213" s="1">
        <f>IF($R213=0,0,INT($A213/$R213))</f>
        <v>0</v>
      </c>
      <c r="AW213" s="1">
        <f>$A213-$AV213*$R213</f>
        <v>0</v>
      </c>
    </row>
    <row r="214" ht="21.95" customHeight="1" outlineLevel="1" s="1" customFormat="1">
      <c r="A214" s="15"/>
      <c r="B214" s="17">
        <v>2440</v>
      </c>
      <c r="C214" s="17">
        <v>2690</v>
      </c>
      <c r="D214" s="16">
        <v>25176</v>
      </c>
      <c r="E214" s="18"/>
      <c r="F214" s="18"/>
      <c r="G214" s="18" t="s">
        <v>862</v>
      </c>
      <c r="H214" s="18" t="s">
        <v>86</v>
      </c>
      <c r="I214" s="18"/>
      <c r="J214" s="16">
        <v>2022</v>
      </c>
      <c r="K214" s="18" t="s">
        <v>863</v>
      </c>
      <c r="L214" s="16">
        <v>9785961477078</v>
      </c>
      <c r="M214" s="18" t="s">
        <v>864</v>
      </c>
      <c r="N214" s="15"/>
      <c r="O214" s="19">
        <v>2.09</v>
      </c>
      <c r="P214" s="15"/>
      <c r="Q214" s="15"/>
      <c r="R214" s="16">
        <v>4</v>
      </c>
      <c r="S214" s="18"/>
      <c r="T214" s="18"/>
      <c r="U214" s="17">
        <v>1000</v>
      </c>
      <c r="V214" s="18"/>
      <c r="W214" s="18" t="s">
        <v>69</v>
      </c>
      <c r="X214" s="16">
        <v>22</v>
      </c>
      <c r="Y214" s="43" t="str">
        <f>HYPERLINK("","")</f>
      </c>
      <c r="Z214" s="18"/>
      <c r="AS214" s="1">
        <f>IF($A214&lt;&gt;0,1,0)</f>
        <v>0</v>
      </c>
      <c r="AT214" s="1">
        <f>$A214*$B214</f>
        <v>0</v>
      </c>
      <c r="AU214" s="1">
        <f>$A214*$O214</f>
        <v>0</v>
      </c>
      <c r="AV214" s="1">
        <f>IF($R214=0,0,INT($A214/$R214))</f>
        <v>0</v>
      </c>
      <c r="AW214" s="1">
        <f>$A214-$AV214*$R214</f>
        <v>0</v>
      </c>
    </row>
    <row r="215" ht="24.95" customHeight="1" outlineLevel="1" s="1" customFormat="1">
      <c r="A215" s="15"/>
      <c r="B215" s="16">
        <v>640</v>
      </c>
      <c r="C215" s="16">
        <v>960</v>
      </c>
      <c r="D215" s="16">
        <v>4700</v>
      </c>
      <c r="E215" s="18"/>
      <c r="F215" s="18" t="s">
        <v>865</v>
      </c>
      <c r="G215" s="18" t="s">
        <v>866</v>
      </c>
      <c r="H215" s="18" t="s">
        <v>86</v>
      </c>
      <c r="I215" s="18"/>
      <c r="J215" s="16">
        <v>2026</v>
      </c>
      <c r="K215" s="18" t="s">
        <v>867</v>
      </c>
      <c r="L215" s="16">
        <v>9785961469059</v>
      </c>
      <c r="M215" s="18" t="s">
        <v>868</v>
      </c>
      <c r="N215" s="16">
        <v>218</v>
      </c>
      <c r="O215" s="19">
        <v>0.39</v>
      </c>
      <c r="P215" s="16">
        <v>150</v>
      </c>
      <c r="Q215" s="16">
        <v>220</v>
      </c>
      <c r="R215" s="16">
        <v>10</v>
      </c>
      <c r="S215" s="18" t="s">
        <v>43</v>
      </c>
      <c r="T215" s="18"/>
      <c r="U215" s="17">
        <v>1000</v>
      </c>
      <c r="V215" s="18" t="s">
        <v>77</v>
      </c>
      <c r="W215" s="18" t="s">
        <v>184</v>
      </c>
      <c r="X215" s="16">
        <v>10</v>
      </c>
      <c r="Y215" s="43" t="str">
        <f>HYPERLINK("https://api-enni.alpina.ru/FilePrivilegesApproval/2","https://api-enni.alpina.ru/FilePrivilegesApproval/2")</f>
        <v>https://api-enni.alpina.ru/FilePrivilegesApproval/2</v>
      </c>
      <c r="Z215" s="18" t="s">
        <v>46</v>
      </c>
      <c r="AS215" s="1">
        <f>IF($A215&lt;&gt;0,1,0)</f>
        <v>0</v>
      </c>
      <c r="AT215" s="1">
        <f>$A215*$B215</f>
        <v>0</v>
      </c>
      <c r="AU215" s="1">
        <f>$A215*$O215</f>
        <v>0</v>
      </c>
      <c r="AV215" s="1">
        <f>IF($R215=0,0,INT($A215/$R215))</f>
        <v>0</v>
      </c>
      <c r="AW215" s="1">
        <f>$A215-$AV215*$R215</f>
        <v>0</v>
      </c>
    </row>
    <row r="216" ht="24.95" customHeight="1" outlineLevel="1" s="1" customFormat="1">
      <c r="A216" s="15"/>
      <c r="B216" s="16">
        <v>490</v>
      </c>
      <c r="C216" s="16">
        <v>760</v>
      </c>
      <c r="D216" s="16">
        <v>1768</v>
      </c>
      <c r="E216" s="18"/>
      <c r="F216" s="18" t="s">
        <v>869</v>
      </c>
      <c r="G216" s="18" t="s">
        <v>870</v>
      </c>
      <c r="H216" s="18" t="s">
        <v>73</v>
      </c>
      <c r="I216" s="18" t="s">
        <v>87</v>
      </c>
      <c r="J216" s="16">
        <v>2026</v>
      </c>
      <c r="K216" s="18" t="s">
        <v>871</v>
      </c>
      <c r="L216" s="16">
        <v>9785916718386</v>
      </c>
      <c r="M216" s="18" t="s">
        <v>872</v>
      </c>
      <c r="N216" s="16">
        <v>239</v>
      </c>
      <c r="O216" s="19">
        <v>0.21</v>
      </c>
      <c r="P216" s="16">
        <v>110</v>
      </c>
      <c r="Q216" s="16">
        <v>170</v>
      </c>
      <c r="R216" s="16">
        <v>20</v>
      </c>
      <c r="S216" s="18" t="s">
        <v>873</v>
      </c>
      <c r="T216" s="18"/>
      <c r="U216" s="17">
        <v>30000</v>
      </c>
      <c r="V216" s="18" t="s">
        <v>77</v>
      </c>
      <c r="W216" s="18" t="s">
        <v>69</v>
      </c>
      <c r="X216" s="16">
        <v>10</v>
      </c>
      <c r="Y216" s="43" t="str">
        <f>HYPERLINK("https://api-enni.alpina.ru/FilePrivilegesApproval/146","https://api-enni.alpina.ru/FilePrivilegesApproval/146")</f>
        <v>https://api-enni.alpina.ru/FilePrivilegesApproval/146</v>
      </c>
      <c r="Z216" s="18" t="s">
        <v>874</v>
      </c>
      <c r="AS216" s="1">
        <f>IF($A216&lt;&gt;0,1,0)</f>
        <v>0</v>
      </c>
      <c r="AT216" s="1">
        <f>$A216*$B216</f>
        <v>0</v>
      </c>
      <c r="AU216" s="1">
        <f>$A216*$O216</f>
        <v>0</v>
      </c>
      <c r="AV216" s="1">
        <f>IF($R216=0,0,INT($A216/$R216))</f>
        <v>0</v>
      </c>
      <c r="AW216" s="1">
        <f>$A216-$AV216*$R216</f>
        <v>0</v>
      </c>
    </row>
    <row r="217" ht="21.95" customHeight="1" outlineLevel="1" s="1" customFormat="1">
      <c r="A217" s="15"/>
      <c r="B217" s="17">
        <v>1340</v>
      </c>
      <c r="C217" s="17">
        <v>1809</v>
      </c>
      <c r="D217" s="16">
        <v>37593</v>
      </c>
      <c r="E217" s="18"/>
      <c r="F217" s="18" t="s">
        <v>199</v>
      </c>
      <c r="G217" s="18" t="s">
        <v>875</v>
      </c>
      <c r="H217" s="18" t="s">
        <v>171</v>
      </c>
      <c r="I217" s="18" t="s">
        <v>87</v>
      </c>
      <c r="J217" s="16">
        <v>2026</v>
      </c>
      <c r="K217" s="18" t="s">
        <v>876</v>
      </c>
      <c r="L217" s="16">
        <v>9785002239955</v>
      </c>
      <c r="M217" s="18" t="s">
        <v>877</v>
      </c>
      <c r="N217" s="16">
        <v>848</v>
      </c>
      <c r="O217" s="19">
        <v>0.98</v>
      </c>
      <c r="P217" s="16">
        <v>140</v>
      </c>
      <c r="Q217" s="16">
        <v>210</v>
      </c>
      <c r="R217" s="16">
        <v>5</v>
      </c>
      <c r="S217" s="18" t="s">
        <v>43</v>
      </c>
      <c r="T217" s="18" t="s">
        <v>878</v>
      </c>
      <c r="U217" s="17">
        <v>1000</v>
      </c>
      <c r="V217" s="18" t="s">
        <v>44</v>
      </c>
      <c r="W217" s="18" t="s">
        <v>45</v>
      </c>
      <c r="X217" s="16">
        <v>10</v>
      </c>
      <c r="Y217" s="43" t="str">
        <f>HYPERLINK("","")</f>
      </c>
      <c r="Z217" s="18" t="s">
        <v>119</v>
      </c>
      <c r="AS217" s="1">
        <f>IF($A217&lt;&gt;0,1,0)</f>
        <v>0</v>
      </c>
      <c r="AT217" s="1">
        <f>$A217*$B217</f>
        <v>0</v>
      </c>
      <c r="AU217" s="1">
        <f>$A217*$O217</f>
        <v>0</v>
      </c>
      <c r="AV217" s="1">
        <f>IF($R217=0,0,INT($A217/$R217))</f>
        <v>0</v>
      </c>
      <c r="AW217" s="1">
        <f>$A217-$AV217*$R217</f>
        <v>0</v>
      </c>
    </row>
    <row r="218" ht="24.95" customHeight="1" outlineLevel="1" s="1" customFormat="1">
      <c r="A218" s="15"/>
      <c r="B218" s="16">
        <v>810</v>
      </c>
      <c r="C218" s="17">
        <v>1174</v>
      </c>
      <c r="D218" s="16">
        <v>24234</v>
      </c>
      <c r="E218" s="18"/>
      <c r="F218" s="18" t="s">
        <v>879</v>
      </c>
      <c r="G218" s="18" t="s">
        <v>880</v>
      </c>
      <c r="H218" s="18" t="s">
        <v>73</v>
      </c>
      <c r="I218" s="18" t="s">
        <v>74</v>
      </c>
      <c r="J218" s="16">
        <v>2026</v>
      </c>
      <c r="K218" s="18" t="s">
        <v>881</v>
      </c>
      <c r="L218" s="16">
        <v>9785001398660</v>
      </c>
      <c r="M218" s="18" t="s">
        <v>882</v>
      </c>
      <c r="N218" s="16">
        <v>384</v>
      </c>
      <c r="O218" s="19">
        <v>0.46</v>
      </c>
      <c r="P218" s="16">
        <v>140</v>
      </c>
      <c r="Q218" s="16">
        <v>210</v>
      </c>
      <c r="R218" s="16">
        <v>10</v>
      </c>
      <c r="S218" s="18" t="s">
        <v>43</v>
      </c>
      <c r="T218" s="18" t="s">
        <v>883</v>
      </c>
      <c r="U218" s="17">
        <v>1000</v>
      </c>
      <c r="V218" s="18" t="s">
        <v>44</v>
      </c>
      <c r="W218" s="18" t="s">
        <v>69</v>
      </c>
      <c r="X218" s="16">
        <v>10</v>
      </c>
      <c r="Y218" s="43" t="str">
        <f>HYPERLINK("https://api-enni.alpina.ru/FilePrivilegesApproval/317","https://api-enni.alpina.ru/FilePrivilegesApproval/317")</f>
        <v>https://api-enni.alpina.ru/FilePrivilegesApproval/317</v>
      </c>
      <c r="Z218" s="18"/>
      <c r="AS218" s="1">
        <f>IF($A218&lt;&gt;0,1,0)</f>
        <v>0</v>
      </c>
      <c r="AT218" s="1">
        <f>$A218*$B218</f>
        <v>0</v>
      </c>
      <c r="AU218" s="1">
        <f>$A218*$O218</f>
        <v>0</v>
      </c>
      <c r="AV218" s="1">
        <f>IF($R218=0,0,INT($A218/$R218))</f>
        <v>0</v>
      </c>
      <c r="AW218" s="1">
        <f>$A218-$AV218*$R218</f>
        <v>0</v>
      </c>
    </row>
    <row r="219" ht="24.95" customHeight="1" outlineLevel="1" s="1" customFormat="1">
      <c r="A219" s="15"/>
      <c r="B219" s="16">
        <v>390</v>
      </c>
      <c r="C219" s="16">
        <v>624</v>
      </c>
      <c r="D219" s="16">
        <v>29785</v>
      </c>
      <c r="E219" s="18"/>
      <c r="F219" s="18" t="s">
        <v>884</v>
      </c>
      <c r="G219" s="18" t="s">
        <v>885</v>
      </c>
      <c r="H219" s="18" t="s">
        <v>86</v>
      </c>
      <c r="I219" s="18" t="s">
        <v>74</v>
      </c>
      <c r="J219" s="16">
        <v>2026</v>
      </c>
      <c r="K219" s="18" t="s">
        <v>886</v>
      </c>
      <c r="L219" s="16">
        <v>9785961493887</v>
      </c>
      <c r="M219" s="18" t="s">
        <v>887</v>
      </c>
      <c r="N219" s="16">
        <v>380</v>
      </c>
      <c r="O219" s="19">
        <v>0.3</v>
      </c>
      <c r="P219" s="16">
        <v>120</v>
      </c>
      <c r="Q219" s="16">
        <v>170</v>
      </c>
      <c r="R219" s="16">
        <v>10</v>
      </c>
      <c r="S219" s="18" t="s">
        <v>190</v>
      </c>
      <c r="T219" s="18" t="s">
        <v>491</v>
      </c>
      <c r="U219" s="17">
        <v>5000</v>
      </c>
      <c r="V219" s="18" t="s">
        <v>44</v>
      </c>
      <c r="W219" s="18" t="s">
        <v>45</v>
      </c>
      <c r="X219" s="16">
        <v>10</v>
      </c>
      <c r="Y219" s="43" t="str">
        <f>HYPERLINK("https://api-enni.alpina.ru/FilePrivilegesApproval/1189","https://api-enni.alpina.ru/FilePrivilegesApproval/1189")</f>
        <v>https://api-enni.alpina.ru/FilePrivilegesApproval/1189</v>
      </c>
      <c r="Z219" s="18"/>
      <c r="AS219" s="1">
        <f>IF($A219&lt;&gt;0,1,0)</f>
        <v>0</v>
      </c>
      <c r="AT219" s="1">
        <f>$A219*$B219</f>
        <v>0</v>
      </c>
      <c r="AU219" s="1">
        <f>$A219*$O219</f>
        <v>0</v>
      </c>
      <c r="AV219" s="1">
        <f>IF($R219=0,0,INT($A219/$R219))</f>
        <v>0</v>
      </c>
      <c r="AW219" s="1">
        <f>$A219-$AV219*$R219</f>
        <v>0</v>
      </c>
    </row>
    <row r="220" ht="24.95" customHeight="1" outlineLevel="1" s="1" customFormat="1">
      <c r="A220" s="15"/>
      <c r="B220" s="16">
        <v>840</v>
      </c>
      <c r="C220" s="17">
        <v>1218</v>
      </c>
      <c r="D220" s="16">
        <v>18182</v>
      </c>
      <c r="E220" s="18"/>
      <c r="F220" s="18" t="s">
        <v>888</v>
      </c>
      <c r="G220" s="18" t="s">
        <v>889</v>
      </c>
      <c r="H220" s="18" t="s">
        <v>73</v>
      </c>
      <c r="I220" s="18"/>
      <c r="J220" s="16">
        <v>2026</v>
      </c>
      <c r="K220" s="18" t="s">
        <v>890</v>
      </c>
      <c r="L220" s="16">
        <v>9785001393023</v>
      </c>
      <c r="M220" s="18" t="s">
        <v>891</v>
      </c>
      <c r="N220" s="16">
        <v>576</v>
      </c>
      <c r="O220" s="19">
        <v>0.7</v>
      </c>
      <c r="P220" s="16">
        <v>148</v>
      </c>
      <c r="Q220" s="16">
        <v>217</v>
      </c>
      <c r="R220" s="16">
        <v>6</v>
      </c>
      <c r="S220" s="18" t="s">
        <v>43</v>
      </c>
      <c r="T220" s="18"/>
      <c r="U220" s="17">
        <v>1000</v>
      </c>
      <c r="V220" s="18" t="s">
        <v>77</v>
      </c>
      <c r="W220" s="18" t="s">
        <v>69</v>
      </c>
      <c r="X220" s="16">
        <v>10</v>
      </c>
      <c r="Y220" s="43" t="str">
        <f>HYPERLINK("https://api-enni.alpina.ru/FilePrivilegesApproval/253","https://api-enni.alpina.ru/FilePrivilegesApproval/253")</f>
        <v>https://api-enni.alpina.ru/FilePrivilegesApproval/253</v>
      </c>
      <c r="Z220" s="18" t="s">
        <v>144</v>
      </c>
      <c r="AS220" s="1">
        <f>IF($A220&lt;&gt;0,1,0)</f>
        <v>0</v>
      </c>
      <c r="AT220" s="1">
        <f>$A220*$B220</f>
        <v>0</v>
      </c>
      <c r="AU220" s="1">
        <f>$A220*$O220</f>
        <v>0</v>
      </c>
      <c r="AV220" s="1">
        <f>IF($R220=0,0,INT($A220/$R220))</f>
        <v>0</v>
      </c>
      <c r="AW220" s="1">
        <f>$A220-$AV220*$R220</f>
        <v>0</v>
      </c>
    </row>
    <row r="221" ht="21.95" customHeight="1" outlineLevel="1" s="1" customFormat="1">
      <c r="A221" s="15"/>
      <c r="B221" s="16">
        <v>550</v>
      </c>
      <c r="C221" s="16">
        <v>852</v>
      </c>
      <c r="D221" s="16">
        <v>34195</v>
      </c>
      <c r="E221" s="18"/>
      <c r="F221" s="18" t="s">
        <v>892</v>
      </c>
      <c r="G221" s="18" t="s">
        <v>893</v>
      </c>
      <c r="H221" s="18" t="s">
        <v>86</v>
      </c>
      <c r="I221" s="18"/>
      <c r="J221" s="16">
        <v>2026</v>
      </c>
      <c r="K221" s="18" t="s">
        <v>894</v>
      </c>
      <c r="L221" s="16">
        <v>9785006306523</v>
      </c>
      <c r="M221" s="18" t="s">
        <v>895</v>
      </c>
      <c r="N221" s="16">
        <v>252</v>
      </c>
      <c r="O221" s="19">
        <v>0.4</v>
      </c>
      <c r="P221" s="16">
        <v>150</v>
      </c>
      <c r="Q221" s="16">
        <v>220</v>
      </c>
      <c r="R221" s="16">
        <v>10</v>
      </c>
      <c r="S221" s="18" t="s">
        <v>43</v>
      </c>
      <c r="T221" s="18"/>
      <c r="U221" s="17">
        <v>1000</v>
      </c>
      <c r="V221" s="18" t="s">
        <v>77</v>
      </c>
      <c r="W221" s="18" t="s">
        <v>184</v>
      </c>
      <c r="X221" s="16">
        <v>10</v>
      </c>
      <c r="Y221" s="43" t="str">
        <f>HYPERLINK("","")</f>
      </c>
      <c r="Z221" s="18" t="s">
        <v>135</v>
      </c>
      <c r="AS221" s="1">
        <f>IF($A221&lt;&gt;0,1,0)</f>
        <v>0</v>
      </c>
      <c r="AT221" s="1">
        <f>$A221*$B221</f>
        <v>0</v>
      </c>
      <c r="AU221" s="1">
        <f>$A221*$O221</f>
        <v>0</v>
      </c>
      <c r="AV221" s="1">
        <f>IF($R221=0,0,INT($A221/$R221))</f>
        <v>0</v>
      </c>
      <c r="AW221" s="1">
        <f>$A221-$AV221*$R221</f>
        <v>0</v>
      </c>
    </row>
    <row r="222" ht="24.95" customHeight="1" outlineLevel="1" s="1" customFormat="1">
      <c r="A222" s="15"/>
      <c r="B222" s="16">
        <v>940</v>
      </c>
      <c r="C222" s="17">
        <v>1316</v>
      </c>
      <c r="D222" s="16">
        <v>7124</v>
      </c>
      <c r="E222" s="18"/>
      <c r="F222" s="18" t="s">
        <v>896</v>
      </c>
      <c r="G222" s="18" t="s">
        <v>897</v>
      </c>
      <c r="H222" s="18" t="s">
        <v>73</v>
      </c>
      <c r="I222" s="18" t="s">
        <v>74</v>
      </c>
      <c r="J222" s="16">
        <v>2026</v>
      </c>
      <c r="K222" s="18" t="s">
        <v>898</v>
      </c>
      <c r="L222" s="16">
        <v>9785916718416</v>
      </c>
      <c r="M222" s="18" t="s">
        <v>899</v>
      </c>
      <c r="N222" s="16">
        <v>430</v>
      </c>
      <c r="O222" s="19">
        <v>0.65</v>
      </c>
      <c r="P222" s="16">
        <v>150</v>
      </c>
      <c r="Q222" s="16">
        <v>220</v>
      </c>
      <c r="R222" s="16">
        <v>8</v>
      </c>
      <c r="S222" s="18" t="s">
        <v>43</v>
      </c>
      <c r="T222" s="18"/>
      <c r="U222" s="17">
        <v>2000</v>
      </c>
      <c r="V222" s="18" t="s">
        <v>77</v>
      </c>
      <c r="W222" s="18" t="s">
        <v>91</v>
      </c>
      <c r="X222" s="16">
        <v>10</v>
      </c>
      <c r="Y222" s="43" t="str">
        <f>HYPERLINK("https://api-enni.alpina.ru/FilePrivilegesApproval/5","https://api-enni.alpina.ru/FilePrivilegesApproval/5")</f>
        <v>https://api-enni.alpina.ru/FilePrivilegesApproval/5</v>
      </c>
      <c r="Z222" s="18" t="s">
        <v>103</v>
      </c>
      <c r="AS222" s="1">
        <f>IF($A222&lt;&gt;0,1,0)</f>
        <v>0</v>
      </c>
      <c r="AT222" s="1">
        <f>$A222*$B222</f>
        <v>0</v>
      </c>
      <c r="AU222" s="1">
        <f>$A222*$O222</f>
        <v>0</v>
      </c>
      <c r="AV222" s="1">
        <f>IF($R222=0,0,INT($A222/$R222))</f>
        <v>0</v>
      </c>
      <c r="AW222" s="1">
        <f>$A222-$AV222*$R222</f>
        <v>0</v>
      </c>
    </row>
    <row r="223" ht="24.95" customHeight="1" outlineLevel="1" s="1" customFormat="1">
      <c r="A223" s="15"/>
      <c r="B223" s="16">
        <v>890</v>
      </c>
      <c r="C223" s="17">
        <v>1246</v>
      </c>
      <c r="D223" s="16">
        <v>28919</v>
      </c>
      <c r="E223" s="18"/>
      <c r="F223" s="18" t="s">
        <v>377</v>
      </c>
      <c r="G223" s="18" t="s">
        <v>900</v>
      </c>
      <c r="H223" s="18" t="s">
        <v>49</v>
      </c>
      <c r="I223" s="18"/>
      <c r="J223" s="16">
        <v>2026</v>
      </c>
      <c r="K223" s="18" t="s">
        <v>901</v>
      </c>
      <c r="L223" s="16">
        <v>9785961490718</v>
      </c>
      <c r="M223" s="18" t="s">
        <v>902</v>
      </c>
      <c r="N223" s="16">
        <v>464</v>
      </c>
      <c r="O223" s="19">
        <v>0.57</v>
      </c>
      <c r="P223" s="16">
        <v>140</v>
      </c>
      <c r="Q223" s="16">
        <v>210</v>
      </c>
      <c r="R223" s="16">
        <v>10</v>
      </c>
      <c r="S223" s="18" t="s">
        <v>90</v>
      </c>
      <c r="T223" s="18" t="s">
        <v>381</v>
      </c>
      <c r="U223" s="17">
        <v>5000</v>
      </c>
      <c r="V223" s="18" t="s">
        <v>77</v>
      </c>
      <c r="W223" s="18" t="s">
        <v>91</v>
      </c>
      <c r="X223" s="16">
        <v>10</v>
      </c>
      <c r="Y223" s="18" t="s">
        <v>528</v>
      </c>
      <c r="Z223" s="18"/>
      <c r="AS223" s="1">
        <f>IF($A223&lt;&gt;0,1,0)</f>
        <v>0</v>
      </c>
      <c r="AT223" s="1">
        <f>$A223*$B223</f>
        <v>0</v>
      </c>
      <c r="AU223" s="1">
        <f>$A223*$O223</f>
        <v>0</v>
      </c>
      <c r="AV223" s="1">
        <f>IF($R223=0,0,INT($A223/$R223))</f>
        <v>0</v>
      </c>
      <c r="AW223" s="1">
        <f>$A223-$AV223*$R223</f>
        <v>0</v>
      </c>
    </row>
    <row r="224" ht="24.95" customHeight="1" outlineLevel="1" s="1" customFormat="1">
      <c r="A224" s="15"/>
      <c r="B224" s="16">
        <v>740</v>
      </c>
      <c r="C224" s="17">
        <v>1073</v>
      </c>
      <c r="D224" s="16">
        <v>23275</v>
      </c>
      <c r="E224" s="18"/>
      <c r="F224" s="18" t="s">
        <v>758</v>
      </c>
      <c r="G224" s="18" t="s">
        <v>903</v>
      </c>
      <c r="H224" s="18" t="s">
        <v>86</v>
      </c>
      <c r="I224" s="18" t="s">
        <v>74</v>
      </c>
      <c r="J224" s="16">
        <v>2025</v>
      </c>
      <c r="K224" s="18" t="s">
        <v>904</v>
      </c>
      <c r="L224" s="16">
        <v>9785961472196</v>
      </c>
      <c r="M224" s="18" t="s">
        <v>905</v>
      </c>
      <c r="N224" s="16">
        <v>192</v>
      </c>
      <c r="O224" s="19">
        <v>0.36</v>
      </c>
      <c r="P224" s="16">
        <v>150</v>
      </c>
      <c r="Q224" s="16">
        <v>210</v>
      </c>
      <c r="R224" s="16">
        <v>16</v>
      </c>
      <c r="S224" s="18" t="s">
        <v>43</v>
      </c>
      <c r="T224" s="18"/>
      <c r="U224" s="17">
        <v>10000</v>
      </c>
      <c r="V224" s="18" t="s">
        <v>77</v>
      </c>
      <c r="W224" s="18" t="s">
        <v>69</v>
      </c>
      <c r="X224" s="16">
        <v>10</v>
      </c>
      <c r="Y224" s="43" t="str">
        <f>HYPERLINK("https://api-enni.alpina.ru/FilePrivilegesApproval/140","https://api-enni.alpina.ru/FilePrivilegesApproval/140")</f>
        <v>https://api-enni.alpina.ru/FilePrivilegesApproval/140</v>
      </c>
      <c r="Z224" s="18"/>
      <c r="AS224" s="1">
        <f>IF($A224&lt;&gt;0,1,0)</f>
        <v>0</v>
      </c>
      <c r="AT224" s="1">
        <f>$A224*$B224</f>
        <v>0</v>
      </c>
      <c r="AU224" s="1">
        <f>$A224*$O224</f>
        <v>0</v>
      </c>
      <c r="AV224" s="1">
        <f>IF($R224=0,0,INT($A224/$R224))</f>
        <v>0</v>
      </c>
      <c r="AW224" s="1">
        <f>$A224-$AV224*$R224</f>
        <v>0</v>
      </c>
    </row>
    <row r="225" ht="24.95" customHeight="1" outlineLevel="1" s="1" customFormat="1">
      <c r="A225" s="15"/>
      <c r="B225" s="16">
        <v>790</v>
      </c>
      <c r="C225" s="17">
        <v>1146</v>
      </c>
      <c r="D225" s="16">
        <v>8337</v>
      </c>
      <c r="E225" s="18"/>
      <c r="F225" s="18" t="s">
        <v>906</v>
      </c>
      <c r="G225" s="18" t="s">
        <v>907</v>
      </c>
      <c r="H225" s="18" t="s">
        <v>86</v>
      </c>
      <c r="I225" s="18"/>
      <c r="J225" s="16">
        <v>2026</v>
      </c>
      <c r="K225" s="18" t="s">
        <v>908</v>
      </c>
      <c r="L225" s="16">
        <v>9785961469608</v>
      </c>
      <c r="M225" s="18" t="s">
        <v>909</v>
      </c>
      <c r="N225" s="16">
        <v>226</v>
      </c>
      <c r="O225" s="19">
        <v>0.37</v>
      </c>
      <c r="P225" s="16">
        <v>146</v>
      </c>
      <c r="Q225" s="16">
        <v>216</v>
      </c>
      <c r="R225" s="16">
        <v>10</v>
      </c>
      <c r="S225" s="18" t="s">
        <v>43</v>
      </c>
      <c r="T225" s="18"/>
      <c r="U225" s="17">
        <v>1000</v>
      </c>
      <c r="V225" s="18" t="s">
        <v>77</v>
      </c>
      <c r="W225" s="18" t="s">
        <v>184</v>
      </c>
      <c r="X225" s="16">
        <v>10</v>
      </c>
      <c r="Y225" s="43" t="str">
        <f>HYPERLINK("https://api-enni.alpina.ru/FilePrivilegesApproval/153","https://api-enni.alpina.ru/FilePrivilegesApproval/153")</f>
        <v>https://api-enni.alpina.ru/FilePrivilegesApproval/153</v>
      </c>
      <c r="Z225" s="18" t="s">
        <v>46</v>
      </c>
      <c r="AS225" s="1">
        <f>IF($A225&lt;&gt;0,1,0)</f>
        <v>0</v>
      </c>
      <c r="AT225" s="1">
        <f>$A225*$B225</f>
        <v>0</v>
      </c>
      <c r="AU225" s="1">
        <f>$A225*$O225</f>
        <v>0</v>
      </c>
      <c r="AV225" s="1">
        <f>IF($R225=0,0,INT($A225/$R225))</f>
        <v>0</v>
      </c>
      <c r="AW225" s="1">
        <f>$A225-$AV225*$R225</f>
        <v>0</v>
      </c>
    </row>
    <row r="226" ht="24.95" customHeight="1" outlineLevel="1" s="1" customFormat="1">
      <c r="A226" s="15"/>
      <c r="B226" s="16">
        <v>590</v>
      </c>
      <c r="C226" s="16">
        <v>885</v>
      </c>
      <c r="D226" s="16">
        <v>22620</v>
      </c>
      <c r="E226" s="18"/>
      <c r="F226" s="18" t="s">
        <v>910</v>
      </c>
      <c r="G226" s="18" t="s">
        <v>911</v>
      </c>
      <c r="H226" s="18" t="s">
        <v>86</v>
      </c>
      <c r="I226" s="18"/>
      <c r="J226" s="16">
        <v>2025</v>
      </c>
      <c r="K226" s="18" t="s">
        <v>912</v>
      </c>
      <c r="L226" s="16">
        <v>9785961457766</v>
      </c>
      <c r="M226" s="18" t="s">
        <v>913</v>
      </c>
      <c r="N226" s="16">
        <v>296</v>
      </c>
      <c r="O226" s="19">
        <v>0.46</v>
      </c>
      <c r="P226" s="16">
        <v>150</v>
      </c>
      <c r="Q226" s="16">
        <v>220</v>
      </c>
      <c r="R226" s="16">
        <v>14</v>
      </c>
      <c r="S226" s="18" t="s">
        <v>43</v>
      </c>
      <c r="T226" s="18"/>
      <c r="U226" s="17">
        <v>25000</v>
      </c>
      <c r="V226" s="18" t="s">
        <v>77</v>
      </c>
      <c r="W226" s="18" t="s">
        <v>69</v>
      </c>
      <c r="X226" s="16">
        <v>10</v>
      </c>
      <c r="Y226" s="43" t="str">
        <f>HYPERLINK("https://api-enni.alpina.ru/FilePrivilegesApproval/156","https://api-enni.alpina.ru/FilePrivilegesApproval/156")</f>
        <v>https://api-enni.alpina.ru/FilePrivilegesApproval/156</v>
      </c>
      <c r="Z226" s="18"/>
      <c r="AS226" s="1">
        <f>IF($A226&lt;&gt;0,1,0)</f>
        <v>0</v>
      </c>
      <c r="AT226" s="1">
        <f>$A226*$B226</f>
        <v>0</v>
      </c>
      <c r="AU226" s="1">
        <f>$A226*$O226</f>
        <v>0</v>
      </c>
      <c r="AV226" s="1">
        <f>IF($R226=0,0,INT($A226/$R226))</f>
        <v>0</v>
      </c>
      <c r="AW226" s="1">
        <f>$A226-$AV226*$R226</f>
        <v>0</v>
      </c>
    </row>
    <row r="227" ht="24.95" customHeight="1" outlineLevel="1" s="1" customFormat="1">
      <c r="A227" s="15"/>
      <c r="B227" s="16">
        <v>790</v>
      </c>
      <c r="C227" s="17">
        <v>1146</v>
      </c>
      <c r="D227" s="16">
        <v>19304</v>
      </c>
      <c r="E227" s="18"/>
      <c r="F227" s="18" t="s">
        <v>914</v>
      </c>
      <c r="G227" s="18" t="s">
        <v>915</v>
      </c>
      <c r="H227" s="18" t="s">
        <v>86</v>
      </c>
      <c r="I227" s="18" t="s">
        <v>74</v>
      </c>
      <c r="J227" s="16">
        <v>2025</v>
      </c>
      <c r="K227" s="18" t="s">
        <v>916</v>
      </c>
      <c r="L227" s="16">
        <v>9785961478822</v>
      </c>
      <c r="M227" s="18" t="s">
        <v>917</v>
      </c>
      <c r="N227" s="16">
        <v>164</v>
      </c>
      <c r="O227" s="19">
        <v>0.32</v>
      </c>
      <c r="P227" s="16">
        <v>160</v>
      </c>
      <c r="Q227" s="16">
        <v>220</v>
      </c>
      <c r="R227" s="16">
        <v>12</v>
      </c>
      <c r="S227" s="18" t="s">
        <v>43</v>
      </c>
      <c r="T227" s="18" t="s">
        <v>918</v>
      </c>
      <c r="U227" s="17">
        <v>1000</v>
      </c>
      <c r="V227" s="18" t="s">
        <v>77</v>
      </c>
      <c r="W227" s="18" t="s">
        <v>69</v>
      </c>
      <c r="X227" s="16">
        <v>10</v>
      </c>
      <c r="Y227" s="43" t="str">
        <f>HYPERLINK("https://api-enni.alpina.ru/FilePrivilegesApproval/152","https://api-enni.alpina.ru/FilePrivilegesApproval/152")</f>
        <v>https://api-enni.alpina.ru/FilePrivilegesApproval/152</v>
      </c>
      <c r="Z227" s="18"/>
      <c r="AS227" s="1">
        <f>IF($A227&lt;&gt;0,1,0)</f>
        <v>0</v>
      </c>
      <c r="AT227" s="1">
        <f>$A227*$B227</f>
        <v>0</v>
      </c>
      <c r="AU227" s="1">
        <f>$A227*$O227</f>
        <v>0</v>
      </c>
      <c r="AV227" s="1">
        <f>IF($R227=0,0,INT($A227/$R227))</f>
        <v>0</v>
      </c>
      <c r="AW227" s="1">
        <f>$A227-$AV227*$R227</f>
        <v>0</v>
      </c>
    </row>
    <row r="228" ht="21.95" customHeight="1" outlineLevel="1" s="1" customFormat="1">
      <c r="A228" s="15"/>
      <c r="B228" s="16">
        <v>790</v>
      </c>
      <c r="C228" s="17">
        <v>1146</v>
      </c>
      <c r="D228" s="16">
        <v>5511</v>
      </c>
      <c r="E228" s="18"/>
      <c r="F228" s="18" t="s">
        <v>919</v>
      </c>
      <c r="G228" s="18" t="s">
        <v>920</v>
      </c>
      <c r="H228" s="18" t="s">
        <v>95</v>
      </c>
      <c r="I228" s="18" t="s">
        <v>74</v>
      </c>
      <c r="J228" s="16">
        <v>2024</v>
      </c>
      <c r="K228" s="18" t="s">
        <v>921</v>
      </c>
      <c r="L228" s="16">
        <v>9785907274624</v>
      </c>
      <c r="M228" s="18" t="s">
        <v>922</v>
      </c>
      <c r="N228" s="16">
        <v>316</v>
      </c>
      <c r="O228" s="19">
        <v>0.63</v>
      </c>
      <c r="P228" s="16">
        <v>171</v>
      </c>
      <c r="Q228" s="16">
        <v>241</v>
      </c>
      <c r="R228" s="16">
        <v>10</v>
      </c>
      <c r="S228" s="18" t="s">
        <v>123</v>
      </c>
      <c r="T228" s="18"/>
      <c r="U228" s="17">
        <v>1000</v>
      </c>
      <c r="V228" s="18" t="s">
        <v>77</v>
      </c>
      <c r="W228" s="18" t="s">
        <v>184</v>
      </c>
      <c r="X228" s="16">
        <v>10</v>
      </c>
      <c r="Y228" s="43" t="str">
        <f>HYPERLINK("","")</f>
      </c>
      <c r="Z228" s="18" t="s">
        <v>46</v>
      </c>
      <c r="AS228" s="1">
        <f>IF($A228&lt;&gt;0,1,0)</f>
        <v>0</v>
      </c>
      <c r="AT228" s="1">
        <f>$A228*$B228</f>
        <v>0</v>
      </c>
      <c r="AU228" s="1">
        <f>$A228*$O228</f>
        <v>0</v>
      </c>
      <c r="AV228" s="1">
        <f>IF($R228=0,0,INT($A228/$R228))</f>
        <v>0</v>
      </c>
      <c r="AW228" s="1">
        <f>$A228-$AV228*$R228</f>
        <v>0</v>
      </c>
    </row>
    <row r="229" ht="24.95" customHeight="1" outlineLevel="1" s="1" customFormat="1">
      <c r="A229" s="15"/>
      <c r="B229" s="16">
        <v>320</v>
      </c>
      <c r="C229" s="16">
        <v>512</v>
      </c>
      <c r="D229" s="16">
        <v>37623</v>
      </c>
      <c r="E229" s="18" t="s">
        <v>923</v>
      </c>
      <c r="F229" s="18" t="s">
        <v>57</v>
      </c>
      <c r="G229" s="18" t="s">
        <v>924</v>
      </c>
      <c r="H229" s="18" t="s">
        <v>49</v>
      </c>
      <c r="I229" s="18"/>
      <c r="J229" s="16">
        <v>2026</v>
      </c>
      <c r="K229" s="18" t="s">
        <v>925</v>
      </c>
      <c r="L229" s="16">
        <v>9785002831289</v>
      </c>
      <c r="M229" s="18" t="s">
        <v>926</v>
      </c>
      <c r="N229" s="16">
        <v>56</v>
      </c>
      <c r="O229" s="19">
        <v>0.16</v>
      </c>
      <c r="P229" s="16">
        <v>200</v>
      </c>
      <c r="Q229" s="16">
        <v>250</v>
      </c>
      <c r="R229" s="16">
        <v>20</v>
      </c>
      <c r="S229" s="18" t="s">
        <v>328</v>
      </c>
      <c r="T229" s="18" t="s">
        <v>183</v>
      </c>
      <c r="U229" s="17">
        <v>2000</v>
      </c>
      <c r="V229" s="18" t="s">
        <v>44</v>
      </c>
      <c r="W229" s="18" t="s">
        <v>55</v>
      </c>
      <c r="X229" s="16">
        <v>10</v>
      </c>
      <c r="Y229" s="18" t="s">
        <v>927</v>
      </c>
      <c r="Z229" s="18" t="s">
        <v>113</v>
      </c>
      <c r="AS229" s="1">
        <f>IF($A229&lt;&gt;0,1,0)</f>
        <v>0</v>
      </c>
      <c r="AT229" s="1">
        <f>$A229*$B229</f>
        <v>0</v>
      </c>
      <c r="AU229" s="1">
        <f>$A229*$O229</f>
        <v>0</v>
      </c>
      <c r="AV229" s="1">
        <f>IF($R229=0,0,INT($A229/$R229))</f>
        <v>0</v>
      </c>
      <c r="AW229" s="1">
        <f>$A229-$AV229*$R229</f>
        <v>0</v>
      </c>
    </row>
    <row r="230" ht="24.95" customHeight="1" outlineLevel="1" s="1" customFormat="1">
      <c r="A230" s="15"/>
      <c r="B230" s="16">
        <v>320</v>
      </c>
      <c r="C230" s="16">
        <v>512</v>
      </c>
      <c r="D230" s="16">
        <v>37658</v>
      </c>
      <c r="E230" s="18" t="s">
        <v>928</v>
      </c>
      <c r="F230" s="18" t="s">
        <v>57</v>
      </c>
      <c r="G230" s="18" t="s">
        <v>929</v>
      </c>
      <c r="H230" s="18" t="s">
        <v>49</v>
      </c>
      <c r="I230" s="18"/>
      <c r="J230" s="16">
        <v>2026</v>
      </c>
      <c r="K230" s="18" t="s">
        <v>930</v>
      </c>
      <c r="L230" s="16">
        <v>9785002831272</v>
      </c>
      <c r="M230" s="18" t="s">
        <v>931</v>
      </c>
      <c r="N230" s="16">
        <v>56</v>
      </c>
      <c r="O230" s="19">
        <v>0.16</v>
      </c>
      <c r="P230" s="16">
        <v>200</v>
      </c>
      <c r="Q230" s="16">
        <v>260</v>
      </c>
      <c r="R230" s="16">
        <v>20</v>
      </c>
      <c r="S230" s="18" t="s">
        <v>328</v>
      </c>
      <c r="T230" s="18" t="s">
        <v>183</v>
      </c>
      <c r="U230" s="17">
        <v>5000</v>
      </c>
      <c r="V230" s="18" t="s">
        <v>44</v>
      </c>
      <c r="W230" s="18" t="s">
        <v>55</v>
      </c>
      <c r="X230" s="16">
        <v>10</v>
      </c>
      <c r="Y230" s="18" t="s">
        <v>927</v>
      </c>
      <c r="Z230" s="18" t="s">
        <v>113</v>
      </c>
      <c r="AS230" s="1">
        <f>IF($A230&lt;&gt;0,1,0)</f>
        <v>0</v>
      </c>
      <c r="AT230" s="1">
        <f>$A230*$B230</f>
        <v>0</v>
      </c>
      <c r="AU230" s="1">
        <f>$A230*$O230</f>
        <v>0</v>
      </c>
      <c r="AV230" s="1">
        <f>IF($R230=0,0,INT($A230/$R230))</f>
        <v>0</v>
      </c>
      <c r="AW230" s="1">
        <f>$A230-$AV230*$R230</f>
        <v>0</v>
      </c>
    </row>
    <row r="231" ht="24.95" customHeight="1" outlineLevel="1" s="1" customFormat="1">
      <c r="A231" s="15"/>
      <c r="B231" s="16">
        <v>490</v>
      </c>
      <c r="C231" s="16">
        <v>760</v>
      </c>
      <c r="D231" s="16">
        <v>4972</v>
      </c>
      <c r="E231" s="18"/>
      <c r="F231" s="18" t="s">
        <v>932</v>
      </c>
      <c r="G231" s="18" t="s">
        <v>933</v>
      </c>
      <c r="H231" s="18" t="s">
        <v>86</v>
      </c>
      <c r="I231" s="18"/>
      <c r="J231" s="16">
        <v>2026</v>
      </c>
      <c r="K231" s="18" t="s">
        <v>934</v>
      </c>
      <c r="L231" s="16">
        <v>9785961470093</v>
      </c>
      <c r="M231" s="18" t="s">
        <v>935</v>
      </c>
      <c r="N231" s="16">
        <v>154</v>
      </c>
      <c r="O231" s="19">
        <v>0.3</v>
      </c>
      <c r="P231" s="16">
        <v>153</v>
      </c>
      <c r="Q231" s="16">
        <v>216</v>
      </c>
      <c r="R231" s="16">
        <v>10</v>
      </c>
      <c r="S231" s="18" t="s">
        <v>43</v>
      </c>
      <c r="T231" s="18"/>
      <c r="U231" s="17">
        <v>1000</v>
      </c>
      <c r="V231" s="18" t="s">
        <v>77</v>
      </c>
      <c r="W231" s="18" t="s">
        <v>184</v>
      </c>
      <c r="X231" s="16">
        <v>10</v>
      </c>
      <c r="Y231" s="43" t="str">
        <f>HYPERLINK("https://api-enni.alpina.ru/FilePrivilegesApproval/2","https://api-enni.alpina.ru/FilePrivilegesApproval/2")</f>
        <v>https://api-enni.alpina.ru/FilePrivilegesApproval/2</v>
      </c>
      <c r="Z231" s="18" t="s">
        <v>119</v>
      </c>
      <c r="AS231" s="1">
        <f>IF($A231&lt;&gt;0,1,0)</f>
        <v>0</v>
      </c>
      <c r="AT231" s="1">
        <f>$A231*$B231</f>
        <v>0</v>
      </c>
      <c r="AU231" s="1">
        <f>$A231*$O231</f>
        <v>0</v>
      </c>
      <c r="AV231" s="1">
        <f>IF($R231=0,0,INT($A231/$R231))</f>
        <v>0</v>
      </c>
      <c r="AW231" s="1">
        <f>$A231-$AV231*$R231</f>
        <v>0</v>
      </c>
    </row>
    <row r="232" ht="24.95" customHeight="1" outlineLevel="1" s="1" customFormat="1">
      <c r="A232" s="15"/>
      <c r="B232" s="16">
        <v>340</v>
      </c>
      <c r="C232" s="16">
        <v>544</v>
      </c>
      <c r="D232" s="16">
        <v>9123</v>
      </c>
      <c r="E232" s="18"/>
      <c r="F232" s="18" t="s">
        <v>936</v>
      </c>
      <c r="G232" s="18" t="s">
        <v>937</v>
      </c>
      <c r="H232" s="18" t="s">
        <v>86</v>
      </c>
      <c r="I232" s="18" t="s">
        <v>74</v>
      </c>
      <c r="J232" s="16">
        <v>2025</v>
      </c>
      <c r="K232" s="18" t="s">
        <v>938</v>
      </c>
      <c r="L232" s="16">
        <v>9785961471403</v>
      </c>
      <c r="M232" s="18" t="s">
        <v>939</v>
      </c>
      <c r="N232" s="16">
        <v>430</v>
      </c>
      <c r="O232" s="19">
        <v>0.29</v>
      </c>
      <c r="P232" s="16">
        <v>120</v>
      </c>
      <c r="Q232" s="16">
        <v>170</v>
      </c>
      <c r="R232" s="16">
        <v>8</v>
      </c>
      <c r="S232" s="18" t="s">
        <v>190</v>
      </c>
      <c r="T232" s="18" t="s">
        <v>451</v>
      </c>
      <c r="U232" s="17">
        <v>20000</v>
      </c>
      <c r="V232" s="18" t="s">
        <v>44</v>
      </c>
      <c r="W232" s="18" t="s">
        <v>184</v>
      </c>
      <c r="X232" s="16">
        <v>10</v>
      </c>
      <c r="Y232" s="43" t="str">
        <f>HYPERLINK("https://api-enni.alpina.ru/FilePrivilegesApproval/156","https://api-enni.alpina.ru/FilePrivilegesApproval/156")</f>
        <v>https://api-enni.alpina.ru/FilePrivilegesApproval/156</v>
      </c>
      <c r="Z232" s="18"/>
      <c r="AS232" s="1">
        <f>IF($A232&lt;&gt;0,1,0)</f>
        <v>0</v>
      </c>
      <c r="AT232" s="1">
        <f>$A232*$B232</f>
        <v>0</v>
      </c>
      <c r="AU232" s="1">
        <f>$A232*$O232</f>
        <v>0</v>
      </c>
      <c r="AV232" s="1">
        <f>IF($R232=0,0,INT($A232/$R232))</f>
        <v>0</v>
      </c>
      <c r="AW232" s="1">
        <f>$A232-$AV232*$R232</f>
        <v>0</v>
      </c>
    </row>
    <row r="233" ht="24.95" customHeight="1" outlineLevel="1" s="1" customFormat="1">
      <c r="A233" s="15"/>
      <c r="B233" s="16">
        <v>390</v>
      </c>
      <c r="C233" s="16">
        <v>624</v>
      </c>
      <c r="D233" s="16">
        <v>12811</v>
      </c>
      <c r="E233" s="18"/>
      <c r="F233" s="18" t="s">
        <v>940</v>
      </c>
      <c r="G233" s="18" t="s">
        <v>941</v>
      </c>
      <c r="H233" s="18" t="s">
        <v>86</v>
      </c>
      <c r="I233" s="18" t="s">
        <v>74</v>
      </c>
      <c r="J233" s="16">
        <v>2026</v>
      </c>
      <c r="K233" s="18" t="s">
        <v>942</v>
      </c>
      <c r="L233" s="16">
        <v>9785961427417</v>
      </c>
      <c r="M233" s="18" t="s">
        <v>943</v>
      </c>
      <c r="N233" s="16">
        <v>216</v>
      </c>
      <c r="O233" s="19">
        <v>0.27</v>
      </c>
      <c r="P233" s="16">
        <v>141</v>
      </c>
      <c r="Q233" s="16">
        <v>210</v>
      </c>
      <c r="R233" s="16">
        <v>16</v>
      </c>
      <c r="S233" s="18" t="s">
        <v>43</v>
      </c>
      <c r="T233" s="18" t="s">
        <v>944</v>
      </c>
      <c r="U233" s="17">
        <v>10000</v>
      </c>
      <c r="V233" s="18" t="s">
        <v>44</v>
      </c>
      <c r="W233" s="18" t="s">
        <v>69</v>
      </c>
      <c r="X233" s="16">
        <v>10</v>
      </c>
      <c r="Y233" s="43" t="str">
        <f>HYPERLINK("https://api-enni.alpina.ru/FilePrivilegesApproval/140","https://api-enni.alpina.ru/FilePrivilegesApproval/140")</f>
        <v>https://api-enni.alpina.ru/FilePrivilegesApproval/140</v>
      </c>
      <c r="Z233" s="18" t="s">
        <v>753</v>
      </c>
      <c r="AS233" s="1">
        <f>IF($A233&lt;&gt;0,1,0)</f>
        <v>0</v>
      </c>
      <c r="AT233" s="1">
        <f>$A233*$B233</f>
        <v>0</v>
      </c>
      <c r="AU233" s="1">
        <f>$A233*$O233</f>
        <v>0</v>
      </c>
      <c r="AV233" s="1">
        <f>IF($R233=0,0,INT($A233/$R233))</f>
        <v>0</v>
      </c>
      <c r="AW233" s="1">
        <f>$A233-$AV233*$R233</f>
        <v>0</v>
      </c>
    </row>
    <row r="234" ht="24.95" customHeight="1" outlineLevel="1" s="1" customFormat="1">
      <c r="A234" s="15"/>
      <c r="B234" s="17">
        <v>1190</v>
      </c>
      <c r="C234" s="17">
        <v>1606</v>
      </c>
      <c r="D234" s="16">
        <v>17536</v>
      </c>
      <c r="E234" s="18"/>
      <c r="F234" s="18" t="s">
        <v>945</v>
      </c>
      <c r="G234" s="18" t="s">
        <v>946</v>
      </c>
      <c r="H234" s="18" t="s">
        <v>73</v>
      </c>
      <c r="I234" s="18"/>
      <c r="J234" s="16">
        <v>2026</v>
      </c>
      <c r="K234" s="18" t="s">
        <v>947</v>
      </c>
      <c r="L234" s="16">
        <v>9785001393016</v>
      </c>
      <c r="M234" s="18" t="s">
        <v>948</v>
      </c>
      <c r="N234" s="16">
        <v>542</v>
      </c>
      <c r="O234" s="19">
        <v>0.74</v>
      </c>
      <c r="P234" s="16">
        <v>150</v>
      </c>
      <c r="Q234" s="16">
        <v>220</v>
      </c>
      <c r="R234" s="16">
        <v>8</v>
      </c>
      <c r="S234" s="18" t="s">
        <v>43</v>
      </c>
      <c r="T234" s="18" t="s">
        <v>949</v>
      </c>
      <c r="U234" s="17">
        <v>5000</v>
      </c>
      <c r="V234" s="18" t="s">
        <v>77</v>
      </c>
      <c r="W234" s="18" t="s">
        <v>69</v>
      </c>
      <c r="X234" s="16">
        <v>10</v>
      </c>
      <c r="Y234" s="43" t="str">
        <f>HYPERLINK("https://api-enni.alpina.ru/FilePrivilegesApproval/131","https://api-enni.alpina.ru/FilePrivilegesApproval/131")</f>
        <v>https://api-enni.alpina.ru/FilePrivilegesApproval/131</v>
      </c>
      <c r="Z234" s="18" t="s">
        <v>950</v>
      </c>
      <c r="AS234" s="1">
        <f>IF($A234&lt;&gt;0,1,0)</f>
        <v>0</v>
      </c>
      <c r="AT234" s="1">
        <f>$A234*$B234</f>
        <v>0</v>
      </c>
      <c r="AU234" s="1">
        <f>$A234*$O234</f>
        <v>0</v>
      </c>
      <c r="AV234" s="1">
        <f>IF($R234=0,0,INT($A234/$R234))</f>
        <v>0</v>
      </c>
      <c r="AW234" s="1">
        <f>$A234-$AV234*$R234</f>
        <v>0</v>
      </c>
    </row>
    <row r="235" ht="21.95" customHeight="1" outlineLevel="1" s="1" customFormat="1">
      <c r="A235" s="15"/>
      <c r="B235" s="17">
        <v>1010</v>
      </c>
      <c r="C235" s="17">
        <v>1364</v>
      </c>
      <c r="D235" s="16">
        <v>24940</v>
      </c>
      <c r="E235" s="18"/>
      <c r="F235" s="18" t="s">
        <v>951</v>
      </c>
      <c r="G235" s="18" t="s">
        <v>952</v>
      </c>
      <c r="H235" s="18" t="s">
        <v>171</v>
      </c>
      <c r="I235" s="18"/>
      <c r="J235" s="16">
        <v>2026</v>
      </c>
      <c r="K235" s="18" t="s">
        <v>953</v>
      </c>
      <c r="L235" s="16">
        <v>9785001396222</v>
      </c>
      <c r="M235" s="18" t="s">
        <v>954</v>
      </c>
      <c r="N235" s="16">
        <v>440</v>
      </c>
      <c r="O235" s="19">
        <v>0.6</v>
      </c>
      <c r="P235" s="16">
        <v>150</v>
      </c>
      <c r="Q235" s="16">
        <v>220</v>
      </c>
      <c r="R235" s="16">
        <v>8</v>
      </c>
      <c r="S235" s="18" t="s">
        <v>43</v>
      </c>
      <c r="T235" s="18"/>
      <c r="U235" s="17">
        <v>1000</v>
      </c>
      <c r="V235" s="18" t="s">
        <v>77</v>
      </c>
      <c r="W235" s="18" t="s">
        <v>45</v>
      </c>
      <c r="X235" s="16">
        <v>22</v>
      </c>
      <c r="Y235" s="43" t="str">
        <f>HYPERLINK("","")</f>
      </c>
      <c r="Z235" s="18" t="s">
        <v>144</v>
      </c>
      <c r="AS235" s="1">
        <f>IF($A235&lt;&gt;0,1,0)</f>
        <v>0</v>
      </c>
      <c r="AT235" s="1">
        <f>$A235*$B235</f>
        <v>0</v>
      </c>
      <c r="AU235" s="1">
        <f>$A235*$O235</f>
        <v>0</v>
      </c>
      <c r="AV235" s="1">
        <f>IF($R235=0,0,INT($A235/$R235))</f>
        <v>0</v>
      </c>
      <c r="AW235" s="1">
        <f>$A235-$AV235*$R235</f>
        <v>0</v>
      </c>
    </row>
    <row r="236" ht="21.95" customHeight="1" outlineLevel="1" s="1" customFormat="1">
      <c r="A236" s="15"/>
      <c r="B236" s="16">
        <v>340</v>
      </c>
      <c r="C236" s="16">
        <v>544</v>
      </c>
      <c r="D236" s="16">
        <v>8617</v>
      </c>
      <c r="E236" s="18"/>
      <c r="F236" s="18" t="s">
        <v>955</v>
      </c>
      <c r="G236" s="18" t="s">
        <v>956</v>
      </c>
      <c r="H236" s="18" t="s">
        <v>86</v>
      </c>
      <c r="I236" s="18" t="s">
        <v>87</v>
      </c>
      <c r="J236" s="16">
        <v>2026</v>
      </c>
      <c r="K236" s="18" t="s">
        <v>957</v>
      </c>
      <c r="L236" s="16">
        <v>9785961468922</v>
      </c>
      <c r="M236" s="18" t="s">
        <v>958</v>
      </c>
      <c r="N236" s="16">
        <v>288</v>
      </c>
      <c r="O236" s="19">
        <v>0.19</v>
      </c>
      <c r="P236" s="16">
        <v>115</v>
      </c>
      <c r="Q236" s="16">
        <v>165</v>
      </c>
      <c r="R236" s="16">
        <v>12</v>
      </c>
      <c r="S236" s="18" t="s">
        <v>190</v>
      </c>
      <c r="T236" s="18" t="s">
        <v>959</v>
      </c>
      <c r="U236" s="17">
        <v>10000</v>
      </c>
      <c r="V236" s="18" t="s">
        <v>44</v>
      </c>
      <c r="W236" s="18" t="s">
        <v>184</v>
      </c>
      <c r="X236" s="16">
        <v>10</v>
      </c>
      <c r="Y236" s="43" t="str">
        <f>HYPERLINK("","")</f>
      </c>
      <c r="Z236" s="18" t="s">
        <v>119</v>
      </c>
      <c r="AS236" s="1">
        <f>IF($A236&lt;&gt;0,1,0)</f>
        <v>0</v>
      </c>
      <c r="AT236" s="1">
        <f>$A236*$B236</f>
        <v>0</v>
      </c>
      <c r="AU236" s="1">
        <f>$A236*$O236</f>
        <v>0</v>
      </c>
      <c r="AV236" s="1">
        <f>IF($R236=0,0,INT($A236/$R236))</f>
        <v>0</v>
      </c>
      <c r="AW236" s="1">
        <f>$A236-$AV236*$R236</f>
        <v>0</v>
      </c>
    </row>
    <row r="237" ht="24.95" customHeight="1" outlineLevel="1" s="1" customFormat="1">
      <c r="A237" s="15"/>
      <c r="B237" s="17">
        <v>1190</v>
      </c>
      <c r="C237" s="17">
        <v>1606</v>
      </c>
      <c r="D237" s="16">
        <v>36459</v>
      </c>
      <c r="E237" s="18"/>
      <c r="F237" s="18" t="s">
        <v>960</v>
      </c>
      <c r="G237" s="18" t="s">
        <v>961</v>
      </c>
      <c r="H237" s="18" t="s">
        <v>95</v>
      </c>
      <c r="I237" s="18" t="s">
        <v>74</v>
      </c>
      <c r="J237" s="16">
        <v>2026</v>
      </c>
      <c r="K237" s="18" t="s">
        <v>962</v>
      </c>
      <c r="L237" s="16">
        <v>9785206006520</v>
      </c>
      <c r="M237" s="18" t="s">
        <v>963</v>
      </c>
      <c r="N237" s="16">
        <v>336</v>
      </c>
      <c r="O237" s="19">
        <v>0.49</v>
      </c>
      <c r="P237" s="16">
        <v>150</v>
      </c>
      <c r="Q237" s="16">
        <v>220</v>
      </c>
      <c r="R237" s="16">
        <v>10</v>
      </c>
      <c r="S237" s="18" t="s">
        <v>43</v>
      </c>
      <c r="T237" s="18"/>
      <c r="U237" s="17">
        <v>1000</v>
      </c>
      <c r="V237" s="18" t="s">
        <v>77</v>
      </c>
      <c r="W237" s="18" t="s">
        <v>45</v>
      </c>
      <c r="X237" s="16">
        <v>10</v>
      </c>
      <c r="Y237" s="43" t="str">
        <f>HYPERLINK("","")</f>
      </c>
      <c r="Z237" s="18" t="s">
        <v>246</v>
      </c>
      <c r="AS237" s="1">
        <f>IF($A237&lt;&gt;0,1,0)</f>
        <v>0</v>
      </c>
      <c r="AT237" s="1">
        <f>$A237*$B237</f>
        <v>0</v>
      </c>
      <c r="AU237" s="1">
        <f>$A237*$O237</f>
        <v>0</v>
      </c>
      <c r="AV237" s="1">
        <f>IF($R237=0,0,INT($A237/$R237))</f>
        <v>0</v>
      </c>
      <c r="AW237" s="1">
        <f>$A237-$AV237*$R237</f>
        <v>0</v>
      </c>
    </row>
    <row r="238" ht="24.95" customHeight="1" outlineLevel="1" s="1" customFormat="1">
      <c r="A238" s="15"/>
      <c r="B238" s="17">
        <v>1490</v>
      </c>
      <c r="C238" s="17">
        <v>2012</v>
      </c>
      <c r="D238" s="16">
        <v>34373</v>
      </c>
      <c r="E238" s="18"/>
      <c r="F238" s="18" t="s">
        <v>964</v>
      </c>
      <c r="G238" s="18" t="s">
        <v>965</v>
      </c>
      <c r="H238" s="18" t="s">
        <v>95</v>
      </c>
      <c r="I238" s="18" t="s">
        <v>74</v>
      </c>
      <c r="J238" s="16">
        <v>2025</v>
      </c>
      <c r="K238" s="18" t="s">
        <v>966</v>
      </c>
      <c r="L238" s="16">
        <v>9785206004977</v>
      </c>
      <c r="M238" s="18" t="s">
        <v>967</v>
      </c>
      <c r="N238" s="16">
        <v>512</v>
      </c>
      <c r="O238" s="19">
        <v>0.7</v>
      </c>
      <c r="P238" s="16">
        <v>150</v>
      </c>
      <c r="Q238" s="16">
        <v>220</v>
      </c>
      <c r="R238" s="16">
        <v>5</v>
      </c>
      <c r="S238" s="18" t="s">
        <v>43</v>
      </c>
      <c r="T238" s="18"/>
      <c r="U238" s="17">
        <v>2000</v>
      </c>
      <c r="V238" s="18" t="s">
        <v>77</v>
      </c>
      <c r="W238" s="18" t="s">
        <v>69</v>
      </c>
      <c r="X238" s="16">
        <v>10</v>
      </c>
      <c r="Y238" s="43" t="str">
        <f>HYPERLINK("https://api-enni.alpina.ru/FilePrivilegesApproval/920","https://api-enni.alpina.ru/FilePrivilegesApproval/920")</f>
        <v>https://api-enni.alpina.ru/FilePrivilegesApproval/920</v>
      </c>
      <c r="Z238" s="18" t="s">
        <v>251</v>
      </c>
      <c r="AS238" s="1">
        <f>IF($A238&lt;&gt;0,1,0)</f>
        <v>0</v>
      </c>
      <c r="AT238" s="1">
        <f>$A238*$B238</f>
        <v>0</v>
      </c>
      <c r="AU238" s="1">
        <f>$A238*$O238</f>
        <v>0</v>
      </c>
      <c r="AV238" s="1">
        <f>IF($R238=0,0,INT($A238/$R238))</f>
        <v>0</v>
      </c>
      <c r="AW238" s="1">
        <f>$A238-$AV238*$R238</f>
        <v>0</v>
      </c>
    </row>
    <row r="239" ht="21.95" customHeight="1" outlineLevel="1" s="1" customFormat="1">
      <c r="A239" s="15"/>
      <c r="B239" s="16">
        <v>340</v>
      </c>
      <c r="C239" s="16">
        <v>544</v>
      </c>
      <c r="D239" s="16">
        <v>12601</v>
      </c>
      <c r="E239" s="18"/>
      <c r="F239" s="18" t="s">
        <v>622</v>
      </c>
      <c r="G239" s="18" t="s">
        <v>968</v>
      </c>
      <c r="H239" s="18" t="s">
        <v>86</v>
      </c>
      <c r="I239" s="18" t="s">
        <v>87</v>
      </c>
      <c r="J239" s="16">
        <v>2026</v>
      </c>
      <c r="K239" s="18" t="s">
        <v>969</v>
      </c>
      <c r="L239" s="16">
        <v>9785961425925</v>
      </c>
      <c r="M239" s="18" t="s">
        <v>970</v>
      </c>
      <c r="N239" s="16">
        <v>256</v>
      </c>
      <c r="O239" s="19">
        <v>0.17</v>
      </c>
      <c r="P239" s="16">
        <v>115</v>
      </c>
      <c r="Q239" s="16">
        <v>165</v>
      </c>
      <c r="R239" s="16">
        <v>14</v>
      </c>
      <c r="S239" s="18" t="s">
        <v>190</v>
      </c>
      <c r="T239" s="18" t="s">
        <v>565</v>
      </c>
      <c r="U239" s="17">
        <v>15000</v>
      </c>
      <c r="V239" s="18" t="s">
        <v>44</v>
      </c>
      <c r="W239" s="18" t="s">
        <v>69</v>
      </c>
      <c r="X239" s="16">
        <v>10</v>
      </c>
      <c r="Y239" s="43" t="str">
        <f>HYPERLINK("","")</f>
      </c>
      <c r="Z239" s="18" t="s">
        <v>119</v>
      </c>
      <c r="AS239" s="1">
        <f>IF($A239&lt;&gt;0,1,0)</f>
        <v>0</v>
      </c>
      <c r="AT239" s="1">
        <f>$A239*$B239</f>
        <v>0</v>
      </c>
      <c r="AU239" s="1">
        <f>$A239*$O239</f>
        <v>0</v>
      </c>
      <c r="AV239" s="1">
        <f>IF($R239=0,0,INT($A239/$R239))</f>
        <v>0</v>
      </c>
      <c r="AW239" s="1">
        <f>$A239-$AV239*$R239</f>
        <v>0</v>
      </c>
    </row>
    <row r="240" ht="24.95" customHeight="1" outlineLevel="1" s="1" customFormat="1">
      <c r="A240" s="15"/>
      <c r="B240" s="16">
        <v>590</v>
      </c>
      <c r="C240" s="16">
        <v>885</v>
      </c>
      <c r="D240" s="16">
        <v>2458</v>
      </c>
      <c r="E240" s="18"/>
      <c r="F240" s="18" t="s">
        <v>622</v>
      </c>
      <c r="G240" s="18" t="s">
        <v>971</v>
      </c>
      <c r="H240" s="18" t="s">
        <v>86</v>
      </c>
      <c r="I240" s="18" t="s">
        <v>87</v>
      </c>
      <c r="J240" s="16">
        <v>2025</v>
      </c>
      <c r="K240" s="18" t="s">
        <v>972</v>
      </c>
      <c r="L240" s="16">
        <v>9785961469585</v>
      </c>
      <c r="M240" s="18" t="s">
        <v>973</v>
      </c>
      <c r="N240" s="16">
        <v>184</v>
      </c>
      <c r="O240" s="19">
        <v>0.32</v>
      </c>
      <c r="P240" s="16">
        <v>146</v>
      </c>
      <c r="Q240" s="16">
        <v>216</v>
      </c>
      <c r="R240" s="16">
        <v>10</v>
      </c>
      <c r="S240" s="18" t="s">
        <v>43</v>
      </c>
      <c r="T240" s="18"/>
      <c r="U240" s="17">
        <v>10000</v>
      </c>
      <c r="V240" s="18" t="s">
        <v>77</v>
      </c>
      <c r="W240" s="18" t="s">
        <v>69</v>
      </c>
      <c r="X240" s="16">
        <v>10</v>
      </c>
      <c r="Y240" s="43" t="str">
        <f>HYPERLINK("https://api-enni.alpina.ru/FilePrivilegesApproval/2","https://api-enni.alpina.ru/FilePrivilegesApproval/2")</f>
        <v>https://api-enni.alpina.ru/FilePrivilegesApproval/2</v>
      </c>
      <c r="Z240" s="18"/>
      <c r="AS240" s="1">
        <f>IF($A240&lt;&gt;0,1,0)</f>
        <v>0</v>
      </c>
      <c r="AT240" s="1">
        <f>$A240*$B240</f>
        <v>0</v>
      </c>
      <c r="AU240" s="1">
        <f>$A240*$O240</f>
        <v>0</v>
      </c>
      <c r="AV240" s="1">
        <f>IF($R240=0,0,INT($A240/$R240))</f>
        <v>0</v>
      </c>
      <c r="AW240" s="1">
        <f>$A240-$AV240*$R240</f>
        <v>0</v>
      </c>
    </row>
    <row r="241" ht="24.95" customHeight="1" outlineLevel="1" s="1" customFormat="1">
      <c r="A241" s="15"/>
      <c r="B241" s="16">
        <v>690</v>
      </c>
      <c r="C241" s="17">
        <v>1035</v>
      </c>
      <c r="D241" s="16">
        <v>18863</v>
      </c>
      <c r="E241" s="18"/>
      <c r="F241" s="18" t="s">
        <v>974</v>
      </c>
      <c r="G241" s="18" t="s">
        <v>975</v>
      </c>
      <c r="H241" s="18" t="s">
        <v>86</v>
      </c>
      <c r="I241" s="18" t="s">
        <v>74</v>
      </c>
      <c r="J241" s="16">
        <v>2026</v>
      </c>
      <c r="K241" s="18" t="s">
        <v>976</v>
      </c>
      <c r="L241" s="16">
        <v>9785961475548</v>
      </c>
      <c r="M241" s="18" t="s">
        <v>977</v>
      </c>
      <c r="N241" s="16">
        <v>324</v>
      </c>
      <c r="O241" s="19">
        <v>0.49</v>
      </c>
      <c r="P241" s="16">
        <v>150</v>
      </c>
      <c r="Q241" s="16">
        <v>220</v>
      </c>
      <c r="R241" s="16">
        <v>10</v>
      </c>
      <c r="S241" s="18" t="s">
        <v>43</v>
      </c>
      <c r="T241" s="18"/>
      <c r="U241" s="17">
        <v>1000</v>
      </c>
      <c r="V241" s="18" t="s">
        <v>77</v>
      </c>
      <c r="W241" s="18" t="s">
        <v>184</v>
      </c>
      <c r="X241" s="16">
        <v>10</v>
      </c>
      <c r="Y241" s="43" t="str">
        <f>HYPERLINK("https://api-enni.alpina.ru/FilePrivilegesApproval/152","https://api-enni.alpina.ru/FilePrivilegesApproval/152")</f>
        <v>https://api-enni.alpina.ru/FilePrivilegesApproval/152</v>
      </c>
      <c r="Z241" s="18" t="s">
        <v>119</v>
      </c>
      <c r="AS241" s="1">
        <f>IF($A241&lt;&gt;0,1,0)</f>
        <v>0</v>
      </c>
      <c r="AT241" s="1">
        <f>$A241*$B241</f>
        <v>0</v>
      </c>
      <c r="AU241" s="1">
        <f>$A241*$O241</f>
        <v>0</v>
      </c>
      <c r="AV241" s="1">
        <f>IF($R241=0,0,INT($A241/$R241))</f>
        <v>0</v>
      </c>
      <c r="AW241" s="1">
        <f>$A241-$AV241*$R241</f>
        <v>0</v>
      </c>
    </row>
    <row r="242" ht="24.95" customHeight="1" outlineLevel="1" s="1" customFormat="1">
      <c r="A242" s="15"/>
      <c r="B242" s="16">
        <v>640</v>
      </c>
      <c r="C242" s="16">
        <v>960</v>
      </c>
      <c r="D242" s="16">
        <v>32291</v>
      </c>
      <c r="E242" s="18"/>
      <c r="F242" s="18" t="s">
        <v>978</v>
      </c>
      <c r="G242" s="18" t="s">
        <v>979</v>
      </c>
      <c r="H242" s="18" t="s">
        <v>86</v>
      </c>
      <c r="I242" s="18" t="s">
        <v>74</v>
      </c>
      <c r="J242" s="16">
        <v>2026</v>
      </c>
      <c r="K242" s="18" t="s">
        <v>980</v>
      </c>
      <c r="L242" s="16">
        <v>9785006302167</v>
      </c>
      <c r="M242" s="18" t="s">
        <v>981</v>
      </c>
      <c r="N242" s="16">
        <v>268</v>
      </c>
      <c r="O242" s="19">
        <v>0.43</v>
      </c>
      <c r="P242" s="16">
        <v>150</v>
      </c>
      <c r="Q242" s="16">
        <v>220</v>
      </c>
      <c r="R242" s="16">
        <v>14</v>
      </c>
      <c r="S242" s="18" t="s">
        <v>43</v>
      </c>
      <c r="T242" s="18"/>
      <c r="U242" s="17">
        <v>3000</v>
      </c>
      <c r="V242" s="18" t="s">
        <v>77</v>
      </c>
      <c r="W242" s="18" t="s">
        <v>69</v>
      </c>
      <c r="X242" s="16">
        <v>10</v>
      </c>
      <c r="Y242" s="43" t="str">
        <f>HYPERLINK("https://api-enni.alpina.ru/FilePrivilegesApproval/771","https://api-enni.alpina.ru/FilePrivilegesApproval/771")</f>
        <v>https://api-enni.alpina.ru/FilePrivilegesApproval/771</v>
      </c>
      <c r="Z242" s="18"/>
      <c r="AS242" s="1">
        <f>IF($A242&lt;&gt;0,1,0)</f>
        <v>0</v>
      </c>
      <c r="AT242" s="1">
        <f>$A242*$B242</f>
        <v>0</v>
      </c>
      <c r="AU242" s="1">
        <f>$A242*$O242</f>
        <v>0</v>
      </c>
      <c r="AV242" s="1">
        <f>IF($R242=0,0,INT($A242/$R242))</f>
        <v>0</v>
      </c>
      <c r="AW242" s="1">
        <f>$A242-$AV242*$R242</f>
        <v>0</v>
      </c>
    </row>
    <row r="243" ht="24.95" customHeight="1" outlineLevel="1" s="1" customFormat="1">
      <c r="A243" s="15"/>
      <c r="B243" s="16">
        <v>690</v>
      </c>
      <c r="C243" s="17">
        <v>1035</v>
      </c>
      <c r="D243" s="16">
        <v>25680</v>
      </c>
      <c r="E243" s="18"/>
      <c r="F243" s="18" t="s">
        <v>982</v>
      </c>
      <c r="G243" s="18" t="s">
        <v>983</v>
      </c>
      <c r="H243" s="18" t="s">
        <v>86</v>
      </c>
      <c r="I243" s="18"/>
      <c r="J243" s="16">
        <v>2025</v>
      </c>
      <c r="K243" s="18" t="s">
        <v>984</v>
      </c>
      <c r="L243" s="16">
        <v>9785961474541</v>
      </c>
      <c r="M243" s="18" t="s">
        <v>985</v>
      </c>
      <c r="N243" s="16">
        <v>208</v>
      </c>
      <c r="O243" s="19">
        <v>0.33</v>
      </c>
      <c r="P243" s="16">
        <v>140</v>
      </c>
      <c r="Q243" s="16">
        <v>210</v>
      </c>
      <c r="R243" s="16">
        <v>10</v>
      </c>
      <c r="S243" s="18" t="s">
        <v>43</v>
      </c>
      <c r="T243" s="18"/>
      <c r="U243" s="17">
        <v>2000</v>
      </c>
      <c r="V243" s="18" t="s">
        <v>44</v>
      </c>
      <c r="W243" s="18" t="s">
        <v>69</v>
      </c>
      <c r="X243" s="16">
        <v>10</v>
      </c>
      <c r="Y243" s="43" t="str">
        <f>HYPERLINK("https://api-enni.alpina.ru/FilePrivilegesApproval/307","https://api-enni.alpina.ru/FilePrivilegesApproval/307")</f>
        <v>https://api-enni.alpina.ru/FilePrivilegesApproval/307</v>
      </c>
      <c r="Z243" s="18"/>
      <c r="AS243" s="1">
        <f>IF($A243&lt;&gt;0,1,0)</f>
        <v>0</v>
      </c>
      <c r="AT243" s="1">
        <f>$A243*$B243</f>
        <v>0</v>
      </c>
      <c r="AU243" s="1">
        <f>$A243*$O243</f>
        <v>0</v>
      </c>
      <c r="AV243" s="1">
        <f>IF($R243=0,0,INT($A243/$R243))</f>
        <v>0</v>
      </c>
      <c r="AW243" s="1">
        <f>$A243-$AV243*$R243</f>
        <v>0</v>
      </c>
    </row>
    <row r="244" ht="24.95" customHeight="1" outlineLevel="1" s="1" customFormat="1">
      <c r="A244" s="15"/>
      <c r="B244" s="17">
        <v>2990</v>
      </c>
      <c r="C244" s="17">
        <v>3887</v>
      </c>
      <c r="D244" s="16">
        <v>22994</v>
      </c>
      <c r="E244" s="18"/>
      <c r="F244" s="18" t="s">
        <v>986</v>
      </c>
      <c r="G244" s="18" t="s">
        <v>987</v>
      </c>
      <c r="H244" s="18" t="s">
        <v>95</v>
      </c>
      <c r="I244" s="18" t="s">
        <v>74</v>
      </c>
      <c r="J244" s="16">
        <v>2023</v>
      </c>
      <c r="K244" s="18" t="s">
        <v>988</v>
      </c>
      <c r="L244" s="16">
        <v>9785206000221</v>
      </c>
      <c r="M244" s="18" t="s">
        <v>989</v>
      </c>
      <c r="N244" s="17">
        <v>1109</v>
      </c>
      <c r="O244" s="19">
        <v>1.54</v>
      </c>
      <c r="P244" s="16">
        <v>180</v>
      </c>
      <c r="Q244" s="16">
        <v>250</v>
      </c>
      <c r="R244" s="16">
        <v>5</v>
      </c>
      <c r="S244" s="18" t="s">
        <v>123</v>
      </c>
      <c r="T244" s="18"/>
      <c r="U244" s="17">
        <v>1000</v>
      </c>
      <c r="V244" s="18" t="s">
        <v>77</v>
      </c>
      <c r="W244" s="18" t="s">
        <v>45</v>
      </c>
      <c r="X244" s="16">
        <v>10</v>
      </c>
      <c r="Y244" s="43" t="str">
        <f>HYPERLINK("https://api-enni.alpina.ru/FilePrivilegesApproval/168","https://api-enni.alpina.ru/FilePrivilegesApproval/168")</f>
        <v>https://api-enni.alpina.ru/FilePrivilegesApproval/168</v>
      </c>
      <c r="Z244" s="18" t="s">
        <v>78</v>
      </c>
      <c r="AS244" s="1">
        <f>IF($A244&lt;&gt;0,1,0)</f>
        <v>0</v>
      </c>
      <c r="AT244" s="1">
        <f>$A244*$B244</f>
        <v>0</v>
      </c>
      <c r="AU244" s="1">
        <f>$A244*$O244</f>
        <v>0</v>
      </c>
      <c r="AV244" s="1">
        <f>IF($R244=0,0,INT($A244/$R244))</f>
        <v>0</v>
      </c>
      <c r="AW244" s="1">
        <f>$A244-$AV244*$R244</f>
        <v>0</v>
      </c>
    </row>
    <row r="245" ht="24.95" customHeight="1" outlineLevel="1" s="1" customFormat="1">
      <c r="A245" s="15"/>
      <c r="B245" s="16">
        <v>890</v>
      </c>
      <c r="C245" s="17">
        <v>1246</v>
      </c>
      <c r="D245" s="16">
        <v>29770</v>
      </c>
      <c r="E245" s="18"/>
      <c r="F245" s="18" t="s">
        <v>990</v>
      </c>
      <c r="G245" s="18" t="s">
        <v>991</v>
      </c>
      <c r="H245" s="18" t="s">
        <v>95</v>
      </c>
      <c r="I245" s="18"/>
      <c r="J245" s="16">
        <v>2024</v>
      </c>
      <c r="K245" s="18" t="s">
        <v>992</v>
      </c>
      <c r="L245" s="16">
        <v>9785206002942</v>
      </c>
      <c r="M245" s="18" t="s">
        <v>993</v>
      </c>
      <c r="N245" s="16">
        <v>242</v>
      </c>
      <c r="O245" s="19">
        <v>0.48</v>
      </c>
      <c r="P245" s="16">
        <v>150</v>
      </c>
      <c r="Q245" s="16">
        <v>220</v>
      </c>
      <c r="R245" s="16">
        <v>8</v>
      </c>
      <c r="S245" s="18" t="s">
        <v>43</v>
      </c>
      <c r="T245" s="18"/>
      <c r="U245" s="17">
        <v>1000</v>
      </c>
      <c r="V245" s="18" t="s">
        <v>77</v>
      </c>
      <c r="W245" s="18" t="s">
        <v>69</v>
      </c>
      <c r="X245" s="16">
        <v>10</v>
      </c>
      <c r="Y245" s="43" t="str">
        <f>HYPERLINK("https://api-enni.alpina.ru/FilePrivilegesApproval/372","https://api-enni.alpina.ru/FilePrivilegesApproval/372")</f>
        <v>https://api-enni.alpina.ru/FilePrivilegesApproval/372</v>
      </c>
      <c r="Z245" s="18"/>
      <c r="AS245" s="1">
        <f>IF($A245&lt;&gt;0,1,0)</f>
        <v>0</v>
      </c>
      <c r="AT245" s="1">
        <f>$A245*$B245</f>
        <v>0</v>
      </c>
      <c r="AU245" s="1">
        <f>$A245*$O245</f>
        <v>0</v>
      </c>
      <c r="AV245" s="1">
        <f>IF($R245=0,0,INT($A245/$R245))</f>
        <v>0</v>
      </c>
      <c r="AW245" s="1">
        <f>$A245-$AV245*$R245</f>
        <v>0</v>
      </c>
    </row>
    <row r="246" ht="24.95" customHeight="1" outlineLevel="1" s="1" customFormat="1">
      <c r="A246" s="15"/>
      <c r="B246" s="16">
        <v>990</v>
      </c>
      <c r="C246" s="17">
        <v>1386</v>
      </c>
      <c r="D246" s="16">
        <v>28727</v>
      </c>
      <c r="E246" s="18"/>
      <c r="F246" s="18" t="s">
        <v>994</v>
      </c>
      <c r="G246" s="18" t="s">
        <v>995</v>
      </c>
      <c r="H246" s="18" t="s">
        <v>49</v>
      </c>
      <c r="I246" s="18"/>
      <c r="J246" s="16">
        <v>2026</v>
      </c>
      <c r="K246" s="18" t="s">
        <v>996</v>
      </c>
      <c r="L246" s="16">
        <v>9785961489866</v>
      </c>
      <c r="M246" s="18" t="s">
        <v>997</v>
      </c>
      <c r="N246" s="16">
        <v>14</v>
      </c>
      <c r="O246" s="19">
        <v>0.63</v>
      </c>
      <c r="P246" s="16">
        <v>250</v>
      </c>
      <c r="Q246" s="16">
        <v>300</v>
      </c>
      <c r="R246" s="16">
        <v>20</v>
      </c>
      <c r="S246" s="18" t="s">
        <v>83</v>
      </c>
      <c r="T246" s="18" t="s">
        <v>998</v>
      </c>
      <c r="U246" s="17">
        <v>1000</v>
      </c>
      <c r="V246" s="18" t="s">
        <v>44</v>
      </c>
      <c r="W246" s="18" t="s">
        <v>184</v>
      </c>
      <c r="X246" s="16">
        <v>10</v>
      </c>
      <c r="Y246" s="18" t="s">
        <v>999</v>
      </c>
      <c r="Z246" s="18"/>
      <c r="AS246" s="1">
        <f>IF($A246&lt;&gt;0,1,0)</f>
        <v>0</v>
      </c>
      <c r="AT246" s="1">
        <f>$A246*$B246</f>
        <v>0</v>
      </c>
      <c r="AU246" s="1">
        <f>$A246*$O246</f>
        <v>0</v>
      </c>
      <c r="AV246" s="1">
        <f>IF($R246=0,0,INT($A246/$R246))</f>
        <v>0</v>
      </c>
      <c r="AW246" s="1">
        <f>$A246-$AV246*$R246</f>
        <v>0</v>
      </c>
    </row>
    <row r="247" ht="24.95" customHeight="1" outlineLevel="1" s="1" customFormat="1">
      <c r="A247" s="15"/>
      <c r="B247" s="16">
        <v>840</v>
      </c>
      <c r="C247" s="17">
        <v>1218</v>
      </c>
      <c r="D247" s="16">
        <v>8035</v>
      </c>
      <c r="E247" s="18"/>
      <c r="F247" s="18" t="s">
        <v>561</v>
      </c>
      <c r="G247" s="18" t="s">
        <v>1000</v>
      </c>
      <c r="H247" s="18" t="s">
        <v>86</v>
      </c>
      <c r="I247" s="18"/>
      <c r="J247" s="16">
        <v>2025</v>
      </c>
      <c r="K247" s="18" t="s">
        <v>1001</v>
      </c>
      <c r="L247" s="16">
        <v>9785961465419</v>
      </c>
      <c r="M247" s="18" t="s">
        <v>1002</v>
      </c>
      <c r="N247" s="16">
        <v>376</v>
      </c>
      <c r="O247" s="19">
        <v>0.57</v>
      </c>
      <c r="P247" s="16">
        <v>140</v>
      </c>
      <c r="Q247" s="16">
        <v>210</v>
      </c>
      <c r="R247" s="16">
        <v>6</v>
      </c>
      <c r="S247" s="18" t="s">
        <v>43</v>
      </c>
      <c r="T247" s="18"/>
      <c r="U247" s="17">
        <v>6000</v>
      </c>
      <c r="V247" s="18" t="s">
        <v>44</v>
      </c>
      <c r="W247" s="18" t="s">
        <v>91</v>
      </c>
      <c r="X247" s="16">
        <v>10</v>
      </c>
      <c r="Y247" s="43" t="str">
        <f>HYPERLINK("https://api-enni.alpina.ru/FilePrivilegesApproval/152","https://api-enni.alpina.ru/FilePrivilegesApproval/152")</f>
        <v>https://api-enni.alpina.ru/FilePrivilegesApproval/152</v>
      </c>
      <c r="Z247" s="18"/>
      <c r="AS247" s="1">
        <f>IF($A247&lt;&gt;0,1,0)</f>
        <v>0</v>
      </c>
      <c r="AT247" s="1">
        <f>$A247*$B247</f>
        <v>0</v>
      </c>
      <c r="AU247" s="1">
        <f>$A247*$O247</f>
        <v>0</v>
      </c>
      <c r="AV247" s="1">
        <f>IF($R247=0,0,INT($A247/$R247))</f>
        <v>0</v>
      </c>
      <c r="AW247" s="1">
        <f>$A247-$AV247*$R247</f>
        <v>0</v>
      </c>
    </row>
    <row r="248" ht="24.95" customHeight="1" outlineLevel="1" s="1" customFormat="1">
      <c r="A248" s="15"/>
      <c r="B248" s="16">
        <v>490</v>
      </c>
      <c r="C248" s="16">
        <v>760</v>
      </c>
      <c r="D248" s="16">
        <v>23649</v>
      </c>
      <c r="E248" s="18"/>
      <c r="F248" s="18" t="s">
        <v>1003</v>
      </c>
      <c r="G248" s="18" t="s">
        <v>1004</v>
      </c>
      <c r="H248" s="18" t="s">
        <v>49</v>
      </c>
      <c r="I248" s="18" t="s">
        <v>87</v>
      </c>
      <c r="J248" s="16">
        <v>2026</v>
      </c>
      <c r="K248" s="18" t="s">
        <v>1005</v>
      </c>
      <c r="L248" s="16">
        <v>9785961477535</v>
      </c>
      <c r="M248" s="18" t="s">
        <v>1006</v>
      </c>
      <c r="N248" s="16">
        <v>12</v>
      </c>
      <c r="O248" s="19">
        <v>0.15</v>
      </c>
      <c r="P248" s="16">
        <v>180</v>
      </c>
      <c r="Q248" s="16">
        <v>180</v>
      </c>
      <c r="R248" s="16">
        <v>96</v>
      </c>
      <c r="S248" s="18" t="s">
        <v>83</v>
      </c>
      <c r="T248" s="18" t="s">
        <v>1007</v>
      </c>
      <c r="U248" s="17">
        <v>2000</v>
      </c>
      <c r="V248" s="18" t="s">
        <v>44</v>
      </c>
      <c r="W248" s="18" t="s">
        <v>184</v>
      </c>
      <c r="X248" s="16">
        <v>10</v>
      </c>
      <c r="Y248" s="18" t="s">
        <v>1008</v>
      </c>
      <c r="Z248" s="18"/>
      <c r="AS248" s="1">
        <f>IF($A248&lt;&gt;0,1,0)</f>
        <v>0</v>
      </c>
      <c r="AT248" s="1">
        <f>$A248*$B248</f>
        <v>0</v>
      </c>
      <c r="AU248" s="1">
        <f>$A248*$O248</f>
        <v>0</v>
      </c>
      <c r="AV248" s="1">
        <f>IF($R248=0,0,INT($A248/$R248))</f>
        <v>0</v>
      </c>
      <c r="AW248" s="1">
        <f>$A248-$AV248*$R248</f>
        <v>0</v>
      </c>
    </row>
    <row r="249" ht="24.95" customHeight="1" outlineLevel="1" s="1" customFormat="1">
      <c r="A249" s="15"/>
      <c r="B249" s="16">
        <v>490</v>
      </c>
      <c r="C249" s="16">
        <v>760</v>
      </c>
      <c r="D249" s="16">
        <v>27257</v>
      </c>
      <c r="E249" s="18"/>
      <c r="F249" s="18" t="s">
        <v>1003</v>
      </c>
      <c r="G249" s="18" t="s">
        <v>1009</v>
      </c>
      <c r="H249" s="18" t="s">
        <v>49</v>
      </c>
      <c r="I249" s="18" t="s">
        <v>87</v>
      </c>
      <c r="J249" s="16">
        <v>2026</v>
      </c>
      <c r="K249" s="18" t="s">
        <v>1010</v>
      </c>
      <c r="L249" s="16">
        <v>9785961484434</v>
      </c>
      <c r="M249" s="18" t="s">
        <v>1011</v>
      </c>
      <c r="N249" s="16">
        <v>12</v>
      </c>
      <c r="O249" s="19">
        <v>0.15</v>
      </c>
      <c r="P249" s="16">
        <v>180</v>
      </c>
      <c r="Q249" s="16">
        <v>180</v>
      </c>
      <c r="R249" s="16">
        <v>96</v>
      </c>
      <c r="S249" s="18" t="s">
        <v>83</v>
      </c>
      <c r="T249" s="18" t="s">
        <v>1007</v>
      </c>
      <c r="U249" s="17">
        <v>1000</v>
      </c>
      <c r="V249" s="18" t="s">
        <v>44</v>
      </c>
      <c r="W249" s="18" t="s">
        <v>184</v>
      </c>
      <c r="X249" s="16">
        <v>10</v>
      </c>
      <c r="Y249" s="18" t="s">
        <v>1008</v>
      </c>
      <c r="Z249" s="18"/>
      <c r="AS249" s="1">
        <f>IF($A249&lt;&gt;0,1,0)</f>
        <v>0</v>
      </c>
      <c r="AT249" s="1">
        <f>$A249*$B249</f>
        <v>0</v>
      </c>
      <c r="AU249" s="1">
        <f>$A249*$O249</f>
        <v>0</v>
      </c>
      <c r="AV249" s="1">
        <f>IF($R249=0,0,INT($A249/$R249))</f>
        <v>0</v>
      </c>
      <c r="AW249" s="1">
        <f>$A249-$AV249*$R249</f>
        <v>0</v>
      </c>
    </row>
    <row r="250" ht="24.95" customHeight="1" outlineLevel="1" s="1" customFormat="1">
      <c r="A250" s="15"/>
      <c r="B250" s="16">
        <v>490</v>
      </c>
      <c r="C250" s="16">
        <v>760</v>
      </c>
      <c r="D250" s="16">
        <v>27260</v>
      </c>
      <c r="E250" s="18"/>
      <c r="F250" s="18" t="s">
        <v>1003</v>
      </c>
      <c r="G250" s="18" t="s">
        <v>1012</v>
      </c>
      <c r="H250" s="18" t="s">
        <v>49</v>
      </c>
      <c r="I250" s="18" t="s">
        <v>87</v>
      </c>
      <c r="J250" s="16">
        <v>2026</v>
      </c>
      <c r="K250" s="18" t="s">
        <v>1013</v>
      </c>
      <c r="L250" s="16">
        <v>9785961484465</v>
      </c>
      <c r="M250" s="18" t="s">
        <v>1014</v>
      </c>
      <c r="N250" s="16">
        <v>12</v>
      </c>
      <c r="O250" s="19">
        <v>0.14</v>
      </c>
      <c r="P250" s="16">
        <v>180</v>
      </c>
      <c r="Q250" s="16">
        <v>180</v>
      </c>
      <c r="R250" s="16">
        <v>96</v>
      </c>
      <c r="S250" s="18" t="s">
        <v>83</v>
      </c>
      <c r="T250" s="18" t="s">
        <v>1007</v>
      </c>
      <c r="U250" s="17">
        <v>2000</v>
      </c>
      <c r="V250" s="18" t="s">
        <v>44</v>
      </c>
      <c r="W250" s="18" t="s">
        <v>184</v>
      </c>
      <c r="X250" s="16">
        <v>10</v>
      </c>
      <c r="Y250" s="18" t="s">
        <v>1008</v>
      </c>
      <c r="Z250" s="18"/>
      <c r="AS250" s="1">
        <f>IF($A250&lt;&gt;0,1,0)</f>
        <v>0</v>
      </c>
      <c r="AT250" s="1">
        <f>$A250*$B250</f>
        <v>0</v>
      </c>
      <c r="AU250" s="1">
        <f>$A250*$O250</f>
        <v>0</v>
      </c>
      <c r="AV250" s="1">
        <f>IF($R250=0,0,INT($A250/$R250))</f>
        <v>0</v>
      </c>
      <c r="AW250" s="1">
        <f>$A250-$AV250*$R250</f>
        <v>0</v>
      </c>
    </row>
    <row r="251" ht="24.95" customHeight="1" outlineLevel="1" s="1" customFormat="1">
      <c r="A251" s="15"/>
      <c r="B251" s="16">
        <v>890</v>
      </c>
      <c r="C251" s="17">
        <v>1246</v>
      </c>
      <c r="D251" s="16">
        <v>32322</v>
      </c>
      <c r="E251" s="18"/>
      <c r="F251" s="18" t="s">
        <v>1015</v>
      </c>
      <c r="G251" s="18" t="s">
        <v>1016</v>
      </c>
      <c r="H251" s="18" t="s">
        <v>49</v>
      </c>
      <c r="I251" s="18" t="s">
        <v>87</v>
      </c>
      <c r="J251" s="16">
        <v>2026</v>
      </c>
      <c r="K251" s="18" t="s">
        <v>1017</v>
      </c>
      <c r="L251" s="16">
        <v>9785006302020</v>
      </c>
      <c r="M251" s="18" t="s">
        <v>1018</v>
      </c>
      <c r="N251" s="16">
        <v>144</v>
      </c>
      <c r="O251" s="19">
        <v>0.62</v>
      </c>
      <c r="P251" s="16">
        <v>210</v>
      </c>
      <c r="Q251" s="16">
        <v>270</v>
      </c>
      <c r="R251" s="16">
        <v>10</v>
      </c>
      <c r="S251" s="18" t="s">
        <v>83</v>
      </c>
      <c r="T251" s="18" t="s">
        <v>1007</v>
      </c>
      <c r="U251" s="17">
        <v>10000</v>
      </c>
      <c r="V251" s="18" t="s">
        <v>77</v>
      </c>
      <c r="W251" s="18" t="s">
        <v>184</v>
      </c>
      <c r="X251" s="16">
        <v>10</v>
      </c>
      <c r="Y251" s="18" t="s">
        <v>540</v>
      </c>
      <c r="Z251" s="18"/>
      <c r="AS251" s="1">
        <f>IF($A251&lt;&gt;0,1,0)</f>
        <v>0</v>
      </c>
      <c r="AT251" s="1">
        <f>$A251*$B251</f>
        <v>0</v>
      </c>
      <c r="AU251" s="1">
        <f>$A251*$O251</f>
        <v>0</v>
      </c>
      <c r="AV251" s="1">
        <f>IF($R251=0,0,INT($A251/$R251))</f>
        <v>0</v>
      </c>
      <c r="AW251" s="1">
        <f>$A251-$AV251*$R251</f>
        <v>0</v>
      </c>
    </row>
    <row r="252" ht="24.95" customHeight="1" outlineLevel="1" s="1" customFormat="1">
      <c r="A252" s="15"/>
      <c r="B252" s="16">
        <v>490</v>
      </c>
      <c r="C252" s="16">
        <v>760</v>
      </c>
      <c r="D252" s="16">
        <v>32425</v>
      </c>
      <c r="E252" s="18"/>
      <c r="F252" s="18" t="s">
        <v>1019</v>
      </c>
      <c r="G252" s="18" t="s">
        <v>1020</v>
      </c>
      <c r="H252" s="18" t="s">
        <v>49</v>
      </c>
      <c r="I252" s="18" t="s">
        <v>87</v>
      </c>
      <c r="J252" s="16">
        <v>2026</v>
      </c>
      <c r="K252" s="18" t="s">
        <v>1021</v>
      </c>
      <c r="L252" s="16">
        <v>9785006302211</v>
      </c>
      <c r="M252" s="18" t="s">
        <v>1022</v>
      </c>
      <c r="N252" s="16">
        <v>12</v>
      </c>
      <c r="O252" s="19">
        <v>0.13</v>
      </c>
      <c r="P252" s="16">
        <v>180</v>
      </c>
      <c r="Q252" s="16">
        <v>180</v>
      </c>
      <c r="R252" s="16">
        <v>96</v>
      </c>
      <c r="S252" s="18" t="s">
        <v>83</v>
      </c>
      <c r="T252" s="18" t="s">
        <v>1007</v>
      </c>
      <c r="U252" s="17">
        <v>3000</v>
      </c>
      <c r="V252" s="18" t="s">
        <v>44</v>
      </c>
      <c r="W252" s="18" t="s">
        <v>184</v>
      </c>
      <c r="X252" s="16">
        <v>10</v>
      </c>
      <c r="Y252" s="18" t="s">
        <v>1008</v>
      </c>
      <c r="Z252" s="18"/>
      <c r="AS252" s="1">
        <f>IF($A252&lt;&gt;0,1,0)</f>
        <v>0</v>
      </c>
      <c r="AT252" s="1">
        <f>$A252*$B252</f>
        <v>0</v>
      </c>
      <c r="AU252" s="1">
        <f>$A252*$O252</f>
        <v>0</v>
      </c>
      <c r="AV252" s="1">
        <f>IF($R252=0,0,INT($A252/$R252))</f>
        <v>0</v>
      </c>
      <c r="AW252" s="1">
        <f>$A252-$AV252*$R252</f>
        <v>0</v>
      </c>
    </row>
    <row r="253" ht="15" customHeight="1">
      <c r="A253" s="38" t="s">
        <v>1023</v>
      </c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21"/>
    </row>
    <row r="254" ht="24.95" customHeight="1" outlineLevel="1" s="1" customFormat="1">
      <c r="A254" s="15"/>
      <c r="B254" s="16">
        <v>490</v>
      </c>
      <c r="C254" s="16">
        <v>760</v>
      </c>
      <c r="D254" s="16">
        <v>1768</v>
      </c>
      <c r="E254" s="18"/>
      <c r="F254" s="18" t="s">
        <v>869</v>
      </c>
      <c r="G254" s="18" t="s">
        <v>870</v>
      </c>
      <c r="H254" s="18" t="s">
        <v>73</v>
      </c>
      <c r="I254" s="18" t="s">
        <v>87</v>
      </c>
      <c r="J254" s="16">
        <v>2026</v>
      </c>
      <c r="K254" s="18" t="s">
        <v>871</v>
      </c>
      <c r="L254" s="16">
        <v>9785916718386</v>
      </c>
      <c r="M254" s="18" t="s">
        <v>872</v>
      </c>
      <c r="N254" s="16">
        <v>239</v>
      </c>
      <c r="O254" s="19">
        <v>0.21</v>
      </c>
      <c r="P254" s="16">
        <v>110</v>
      </c>
      <c r="Q254" s="16">
        <v>170</v>
      </c>
      <c r="R254" s="16">
        <v>20</v>
      </c>
      <c r="S254" s="18" t="s">
        <v>873</v>
      </c>
      <c r="T254" s="18"/>
      <c r="U254" s="17">
        <v>30000</v>
      </c>
      <c r="V254" s="18" t="s">
        <v>77</v>
      </c>
      <c r="W254" s="18" t="s">
        <v>69</v>
      </c>
      <c r="X254" s="16">
        <v>10</v>
      </c>
      <c r="Y254" s="43" t="str">
        <f>HYPERLINK("https://api-enni.alpina.ru/FilePrivilegesApproval/146","https://api-enni.alpina.ru/FilePrivilegesApproval/146")</f>
        <v>https://api-enni.alpina.ru/FilePrivilegesApproval/146</v>
      </c>
      <c r="Z254" s="18" t="s">
        <v>874</v>
      </c>
      <c r="AS254" s="1">
        <f>IF($A254&lt;&gt;0,1,0)</f>
        <v>0</v>
      </c>
      <c r="AT254" s="1">
        <f>$A254*$B254</f>
        <v>0</v>
      </c>
      <c r="AU254" s="1">
        <f>$A254*$O254</f>
        <v>0</v>
      </c>
      <c r="AV254" s="1">
        <f>IF($R254=0,0,INT($A254/$R254))</f>
        <v>0</v>
      </c>
      <c r="AW254" s="1">
        <f>$A254-$AV254*$R254</f>
        <v>0</v>
      </c>
    </row>
    <row r="255" ht="24.95" customHeight="1" outlineLevel="1" s="1" customFormat="1">
      <c r="A255" s="15"/>
      <c r="B255" s="16">
        <v>340</v>
      </c>
      <c r="C255" s="16">
        <v>544</v>
      </c>
      <c r="D255" s="16">
        <v>11082</v>
      </c>
      <c r="E255" s="18"/>
      <c r="F255" s="18" t="s">
        <v>643</v>
      </c>
      <c r="G255" s="18" t="s">
        <v>644</v>
      </c>
      <c r="H255" s="18" t="s">
        <v>86</v>
      </c>
      <c r="I255" s="18" t="s">
        <v>74</v>
      </c>
      <c r="J255" s="16">
        <v>2025</v>
      </c>
      <c r="K255" s="18" t="s">
        <v>645</v>
      </c>
      <c r="L255" s="16">
        <v>9785961411799</v>
      </c>
      <c r="M255" s="18" t="s">
        <v>646</v>
      </c>
      <c r="N255" s="16">
        <v>224</v>
      </c>
      <c r="O255" s="19">
        <v>0.15</v>
      </c>
      <c r="P255" s="16">
        <v>115</v>
      </c>
      <c r="Q255" s="16">
        <v>165</v>
      </c>
      <c r="R255" s="16">
        <v>14</v>
      </c>
      <c r="S255" s="18" t="s">
        <v>190</v>
      </c>
      <c r="T255" s="18" t="s">
        <v>451</v>
      </c>
      <c r="U255" s="17">
        <v>20000</v>
      </c>
      <c r="V255" s="18" t="s">
        <v>44</v>
      </c>
      <c r="W255" s="18" t="s">
        <v>184</v>
      </c>
      <c r="X255" s="16">
        <v>10</v>
      </c>
      <c r="Y255" s="43" t="str">
        <f>HYPERLINK("https://api-enni.alpina.ru/FilePrivilegesApproval/152","https://api-enni.alpina.ru/FilePrivilegesApproval/152")</f>
        <v>https://api-enni.alpina.ru/FilePrivilegesApproval/152</v>
      </c>
      <c r="Z255" s="18"/>
      <c r="AS255" s="1">
        <f>IF($A255&lt;&gt;0,1,0)</f>
        <v>0</v>
      </c>
      <c r="AT255" s="1">
        <f>$A255*$B255</f>
        <v>0</v>
      </c>
      <c r="AU255" s="1">
        <f>$A255*$O255</f>
        <v>0</v>
      </c>
      <c r="AV255" s="1">
        <f>IF($R255=0,0,INT($A255/$R255))</f>
        <v>0</v>
      </c>
      <c r="AW255" s="1">
        <f>$A255-$AV255*$R255</f>
        <v>0</v>
      </c>
    </row>
    <row r="256" ht="24.95" customHeight="1" outlineLevel="1" s="1" customFormat="1">
      <c r="A256" s="15"/>
      <c r="B256" s="17">
        <v>1390</v>
      </c>
      <c r="C256" s="17">
        <v>1876</v>
      </c>
      <c r="D256" s="16">
        <v>1350</v>
      </c>
      <c r="E256" s="18"/>
      <c r="F256" s="18" t="s">
        <v>496</v>
      </c>
      <c r="G256" s="18" t="s">
        <v>497</v>
      </c>
      <c r="H256" s="18" t="s">
        <v>86</v>
      </c>
      <c r="I256" s="18" t="s">
        <v>74</v>
      </c>
      <c r="J256" s="16">
        <v>2025</v>
      </c>
      <c r="K256" s="18" t="s">
        <v>498</v>
      </c>
      <c r="L256" s="16">
        <v>9785961467420</v>
      </c>
      <c r="M256" s="18" t="s">
        <v>499</v>
      </c>
      <c r="N256" s="17">
        <v>1408</v>
      </c>
      <c r="O256" s="19">
        <v>1.58</v>
      </c>
      <c r="P256" s="16">
        <v>150</v>
      </c>
      <c r="Q256" s="16">
        <v>220</v>
      </c>
      <c r="R256" s="16">
        <v>2</v>
      </c>
      <c r="S256" s="18" t="s">
        <v>43</v>
      </c>
      <c r="T256" s="18"/>
      <c r="U256" s="17">
        <v>20000</v>
      </c>
      <c r="V256" s="18" t="s">
        <v>77</v>
      </c>
      <c r="W256" s="18" t="s">
        <v>69</v>
      </c>
      <c r="X256" s="16">
        <v>10</v>
      </c>
      <c r="Y256" s="43" t="str">
        <f>HYPERLINK("https://api-enni.alpina.ru/FilePrivilegesApproval/156","https://api-enni.alpina.ru/FilePrivilegesApproval/156")</f>
        <v>https://api-enni.alpina.ru/FilePrivilegesApproval/156</v>
      </c>
      <c r="Z256" s="18"/>
      <c r="AS256" s="1">
        <f>IF($A256&lt;&gt;0,1,0)</f>
        <v>0</v>
      </c>
      <c r="AT256" s="1">
        <f>$A256*$B256</f>
        <v>0</v>
      </c>
      <c r="AU256" s="1">
        <f>$A256*$O256</f>
        <v>0</v>
      </c>
      <c r="AV256" s="1">
        <f>IF($R256=0,0,INT($A256/$R256))</f>
        <v>0</v>
      </c>
      <c r="AW256" s="1">
        <f>$A256-$AV256*$R256</f>
        <v>0</v>
      </c>
    </row>
    <row r="257" ht="24.95" customHeight="1" outlineLevel="1" s="1" customFormat="1">
      <c r="A257" s="15"/>
      <c r="B257" s="16">
        <v>940</v>
      </c>
      <c r="C257" s="17">
        <v>1316</v>
      </c>
      <c r="D257" s="16">
        <v>28083</v>
      </c>
      <c r="E257" s="18"/>
      <c r="F257" s="18" t="s">
        <v>469</v>
      </c>
      <c r="G257" s="18" t="s">
        <v>859</v>
      </c>
      <c r="H257" s="18" t="s">
        <v>86</v>
      </c>
      <c r="I257" s="18" t="s">
        <v>74</v>
      </c>
      <c r="J257" s="16">
        <v>2026</v>
      </c>
      <c r="K257" s="18" t="s">
        <v>860</v>
      </c>
      <c r="L257" s="16">
        <v>9785961487220</v>
      </c>
      <c r="M257" s="18" t="s">
        <v>861</v>
      </c>
      <c r="N257" s="16">
        <v>488</v>
      </c>
      <c r="O257" s="19">
        <v>0.86</v>
      </c>
      <c r="P257" s="16">
        <v>170</v>
      </c>
      <c r="Q257" s="16">
        <v>240</v>
      </c>
      <c r="R257" s="16">
        <v>5</v>
      </c>
      <c r="S257" s="18" t="s">
        <v>123</v>
      </c>
      <c r="T257" s="18"/>
      <c r="U257" s="17">
        <v>10000</v>
      </c>
      <c r="V257" s="18" t="s">
        <v>77</v>
      </c>
      <c r="W257" s="18" t="s">
        <v>91</v>
      </c>
      <c r="X257" s="16">
        <v>10</v>
      </c>
      <c r="Y257" s="43" t="str">
        <f>HYPERLINK("https://api-enni.alpina.ru/FilePrivilegesApproval/177","https://api-enni.alpina.ru/FilePrivilegesApproval/177")</f>
        <v>https://api-enni.alpina.ru/FilePrivilegesApproval/177</v>
      </c>
      <c r="Z257" s="18"/>
      <c r="AS257" s="1">
        <f>IF($A257&lt;&gt;0,1,0)</f>
        <v>0</v>
      </c>
      <c r="AT257" s="1">
        <f>$A257*$B257</f>
        <v>0</v>
      </c>
      <c r="AU257" s="1">
        <f>$A257*$O257</f>
        <v>0</v>
      </c>
      <c r="AV257" s="1">
        <f>IF($R257=0,0,INT($A257/$R257))</f>
        <v>0</v>
      </c>
      <c r="AW257" s="1">
        <f>$A257-$AV257*$R257</f>
        <v>0</v>
      </c>
    </row>
    <row r="258" ht="24.95" customHeight="1" outlineLevel="1" s="1" customFormat="1">
      <c r="A258" s="15"/>
      <c r="B258" s="16">
        <v>590</v>
      </c>
      <c r="C258" s="16">
        <v>885</v>
      </c>
      <c r="D258" s="16">
        <v>29153</v>
      </c>
      <c r="E258" s="18"/>
      <c r="F258" s="18" t="s">
        <v>150</v>
      </c>
      <c r="G258" s="18" t="s">
        <v>306</v>
      </c>
      <c r="H258" s="18" t="s">
        <v>64</v>
      </c>
      <c r="I258" s="18" t="s">
        <v>65</v>
      </c>
      <c r="J258" s="16">
        <v>2026</v>
      </c>
      <c r="K258" s="18" t="s">
        <v>821</v>
      </c>
      <c r="L258" s="16">
        <v>9785961491647</v>
      </c>
      <c r="M258" s="18" t="s">
        <v>822</v>
      </c>
      <c r="N258" s="16">
        <v>592</v>
      </c>
      <c r="O258" s="19">
        <v>0.5</v>
      </c>
      <c r="P258" s="16">
        <v>140</v>
      </c>
      <c r="Q258" s="16">
        <v>200</v>
      </c>
      <c r="R258" s="16">
        <v>6</v>
      </c>
      <c r="S258" s="18" t="s">
        <v>43</v>
      </c>
      <c r="T258" s="18"/>
      <c r="U258" s="17">
        <v>10000</v>
      </c>
      <c r="V258" s="18" t="s">
        <v>44</v>
      </c>
      <c r="W258" s="18" t="s">
        <v>91</v>
      </c>
      <c r="X258" s="16">
        <v>10</v>
      </c>
      <c r="Y258" s="43" t="str">
        <f>HYPERLINK("https://api-enni.alpina.ru/FilePrivilegesApproval/510","https://api-enni.alpina.ru/FilePrivilegesApproval/510")</f>
        <v>https://api-enni.alpina.ru/FilePrivilegesApproval/510</v>
      </c>
      <c r="Z258" s="18" t="s">
        <v>46</v>
      </c>
      <c r="AS258" s="1">
        <f>IF($A258&lt;&gt;0,1,0)</f>
        <v>0</v>
      </c>
      <c r="AT258" s="1">
        <f>$A258*$B258</f>
        <v>0</v>
      </c>
      <c r="AU258" s="1">
        <f>$A258*$O258</f>
        <v>0</v>
      </c>
      <c r="AV258" s="1">
        <f>IF($R258=0,0,INT($A258/$R258))</f>
        <v>0</v>
      </c>
      <c r="AW258" s="1">
        <f>$A258-$AV258*$R258</f>
        <v>0</v>
      </c>
    </row>
    <row r="259" ht="24.95" customHeight="1" outlineLevel="1" s="1" customFormat="1">
      <c r="A259" s="15"/>
      <c r="B259" s="17">
        <v>1410</v>
      </c>
      <c r="C259" s="17">
        <v>1904</v>
      </c>
      <c r="D259" s="16">
        <v>7091</v>
      </c>
      <c r="E259" s="18"/>
      <c r="F259" s="18" t="s">
        <v>517</v>
      </c>
      <c r="G259" s="18" t="s">
        <v>518</v>
      </c>
      <c r="H259" s="18" t="s">
        <v>73</v>
      </c>
      <c r="I259" s="18" t="s">
        <v>74</v>
      </c>
      <c r="J259" s="16">
        <v>2026</v>
      </c>
      <c r="K259" s="18" t="s">
        <v>519</v>
      </c>
      <c r="L259" s="16">
        <v>9785001390398</v>
      </c>
      <c r="M259" s="18" t="s">
        <v>520</v>
      </c>
      <c r="N259" s="16">
        <v>766</v>
      </c>
      <c r="O259" s="19">
        <v>1.12</v>
      </c>
      <c r="P259" s="16">
        <v>176</v>
      </c>
      <c r="Q259" s="16">
        <v>243</v>
      </c>
      <c r="R259" s="16">
        <v>4</v>
      </c>
      <c r="S259" s="18" t="s">
        <v>123</v>
      </c>
      <c r="T259" s="18"/>
      <c r="U259" s="17">
        <v>7000</v>
      </c>
      <c r="V259" s="18" t="s">
        <v>77</v>
      </c>
      <c r="W259" s="18" t="s">
        <v>69</v>
      </c>
      <c r="X259" s="16">
        <v>10</v>
      </c>
      <c r="Y259" s="43" t="str">
        <f>HYPERLINK("https://api-enni.alpina.ru/FilePrivilegesApproval/131","https://api-enni.alpina.ru/FilePrivilegesApproval/131")</f>
        <v>https://api-enni.alpina.ru/FilePrivilegesApproval/131</v>
      </c>
      <c r="Z259" s="18" t="s">
        <v>113</v>
      </c>
      <c r="AS259" s="1">
        <f>IF($A259&lt;&gt;0,1,0)</f>
        <v>0</v>
      </c>
      <c r="AT259" s="1">
        <f>$A259*$B259</f>
        <v>0</v>
      </c>
      <c r="AU259" s="1">
        <f>$A259*$O259</f>
        <v>0</v>
      </c>
      <c r="AV259" s="1">
        <f>IF($R259=0,0,INT($A259/$R259))</f>
        <v>0</v>
      </c>
      <c r="AW259" s="1">
        <f>$A259-$AV259*$R259</f>
        <v>0</v>
      </c>
    </row>
    <row r="260" ht="24.95" customHeight="1" outlineLevel="1" s="1" customFormat="1">
      <c r="A260" s="15"/>
      <c r="B260" s="17">
        <v>1490</v>
      </c>
      <c r="C260" s="17">
        <v>2012</v>
      </c>
      <c r="D260" s="16">
        <v>26796</v>
      </c>
      <c r="E260" s="18"/>
      <c r="F260" s="18" t="s">
        <v>541</v>
      </c>
      <c r="G260" s="18" t="s">
        <v>542</v>
      </c>
      <c r="H260" s="18" t="s">
        <v>171</v>
      </c>
      <c r="I260" s="18"/>
      <c r="J260" s="16">
        <v>2026</v>
      </c>
      <c r="K260" s="18" t="s">
        <v>543</v>
      </c>
      <c r="L260" s="16">
        <v>9785001398394</v>
      </c>
      <c r="M260" s="18" t="s">
        <v>544</v>
      </c>
      <c r="N260" s="16">
        <v>872</v>
      </c>
      <c r="O260" s="19">
        <v>1.1</v>
      </c>
      <c r="P260" s="16">
        <v>150</v>
      </c>
      <c r="Q260" s="16">
        <v>220</v>
      </c>
      <c r="R260" s="16">
        <v>6</v>
      </c>
      <c r="S260" s="18" t="s">
        <v>43</v>
      </c>
      <c r="T260" s="18"/>
      <c r="U260" s="17">
        <v>3000</v>
      </c>
      <c r="V260" s="18" t="s">
        <v>77</v>
      </c>
      <c r="W260" s="18" t="s">
        <v>45</v>
      </c>
      <c r="X260" s="16">
        <v>10</v>
      </c>
      <c r="Y260" s="43" t="str">
        <f>HYPERLINK("https://api-enni.alpina.ru/FilePrivilegesApproval/147","https://api-enni.alpina.ru/FilePrivilegesApproval/147")</f>
        <v>https://api-enni.alpina.ru/FilePrivilegesApproval/147</v>
      </c>
      <c r="Z260" s="18" t="s">
        <v>545</v>
      </c>
      <c r="AS260" s="1">
        <f>IF($A260&lt;&gt;0,1,0)</f>
        <v>0</v>
      </c>
      <c r="AT260" s="1">
        <f>$A260*$B260</f>
        <v>0</v>
      </c>
      <c r="AU260" s="1">
        <f>$A260*$O260</f>
        <v>0</v>
      </c>
      <c r="AV260" s="1">
        <f>IF($R260=0,0,INT($A260/$R260))</f>
        <v>0</v>
      </c>
      <c r="AW260" s="1">
        <f>$A260-$AV260*$R260</f>
        <v>0</v>
      </c>
    </row>
    <row r="261" ht="24.95" customHeight="1" outlineLevel="1" s="1" customFormat="1">
      <c r="A261" s="15"/>
      <c r="B261" s="16">
        <v>460</v>
      </c>
      <c r="C261" s="16">
        <v>713</v>
      </c>
      <c r="D261" s="16">
        <v>11185</v>
      </c>
      <c r="E261" s="18"/>
      <c r="F261" s="18" t="s">
        <v>745</v>
      </c>
      <c r="G261" s="18" t="s">
        <v>746</v>
      </c>
      <c r="H261" s="18" t="s">
        <v>73</v>
      </c>
      <c r="I261" s="18" t="s">
        <v>74</v>
      </c>
      <c r="J261" s="16">
        <v>2022</v>
      </c>
      <c r="K261" s="18" t="s">
        <v>747</v>
      </c>
      <c r="L261" s="16">
        <v>9785001390244</v>
      </c>
      <c r="M261" s="18" t="s">
        <v>748</v>
      </c>
      <c r="N261" s="16">
        <v>576</v>
      </c>
      <c r="O261" s="19">
        <v>0.37</v>
      </c>
      <c r="P261" s="16">
        <v>110</v>
      </c>
      <c r="Q261" s="16">
        <v>170</v>
      </c>
      <c r="R261" s="16">
        <v>6</v>
      </c>
      <c r="S261" s="18" t="s">
        <v>190</v>
      </c>
      <c r="T261" s="18" t="s">
        <v>491</v>
      </c>
      <c r="U261" s="17">
        <v>6000</v>
      </c>
      <c r="V261" s="18" t="s">
        <v>44</v>
      </c>
      <c r="W261" s="18" t="s">
        <v>69</v>
      </c>
      <c r="X261" s="16">
        <v>10</v>
      </c>
      <c r="Y261" s="43" t="str">
        <f>HYPERLINK("https://api-enni.alpina.ru/FilePrivilegesApproval/149","https://api-enni.alpina.ru/FilePrivilegesApproval/149")</f>
        <v>https://api-enni.alpina.ru/FilePrivilegesApproval/149</v>
      </c>
      <c r="Z261" s="18"/>
      <c r="AS261" s="1">
        <f>IF($A261&lt;&gt;0,1,0)</f>
        <v>0</v>
      </c>
      <c r="AT261" s="1">
        <f>$A261*$B261</f>
        <v>0</v>
      </c>
      <c r="AU261" s="1">
        <f>$A261*$O261</f>
        <v>0</v>
      </c>
      <c r="AV261" s="1">
        <f>IF($R261=0,0,INT($A261/$R261))</f>
        <v>0</v>
      </c>
      <c r="AW261" s="1">
        <f>$A261-$AV261*$R261</f>
        <v>0</v>
      </c>
    </row>
    <row r="262" ht="24.95" customHeight="1" outlineLevel="1" s="1" customFormat="1">
      <c r="A262" s="15"/>
      <c r="B262" s="16">
        <v>690</v>
      </c>
      <c r="C262" s="17">
        <v>1035</v>
      </c>
      <c r="D262" s="16">
        <v>31181</v>
      </c>
      <c r="E262" s="18"/>
      <c r="F262" s="18" t="s">
        <v>256</v>
      </c>
      <c r="G262" s="18" t="s">
        <v>473</v>
      </c>
      <c r="H262" s="18" t="s">
        <v>86</v>
      </c>
      <c r="I262" s="18"/>
      <c r="J262" s="16">
        <v>2025</v>
      </c>
      <c r="K262" s="18" t="s">
        <v>474</v>
      </c>
      <c r="L262" s="16">
        <v>9785961497823</v>
      </c>
      <c r="M262" s="18" t="s">
        <v>475</v>
      </c>
      <c r="N262" s="16">
        <v>308</v>
      </c>
      <c r="O262" s="19">
        <v>0.4</v>
      </c>
      <c r="P262" s="16">
        <v>150</v>
      </c>
      <c r="Q262" s="16">
        <v>210</v>
      </c>
      <c r="R262" s="16">
        <v>16</v>
      </c>
      <c r="S262" s="18" t="s">
        <v>43</v>
      </c>
      <c r="T262" s="18"/>
      <c r="U262" s="17">
        <v>10000</v>
      </c>
      <c r="V262" s="18" t="s">
        <v>44</v>
      </c>
      <c r="W262" s="18" t="s">
        <v>91</v>
      </c>
      <c r="X262" s="16">
        <v>10</v>
      </c>
      <c r="Y262" s="43" t="str">
        <f>HYPERLINK("https://api-enni.alpina.ru/FilePrivilegesApproval/571","https://api-enni.alpina.ru/FilePrivilegesApproval/571")</f>
        <v>https://api-enni.alpina.ru/FilePrivilegesApproval/571</v>
      </c>
      <c r="Z262" s="18"/>
      <c r="AS262" s="1">
        <f>IF($A262&lt;&gt;0,1,0)</f>
        <v>0</v>
      </c>
      <c r="AT262" s="1">
        <f>$A262*$B262</f>
        <v>0</v>
      </c>
      <c r="AU262" s="1">
        <f>$A262*$O262</f>
        <v>0</v>
      </c>
      <c r="AV262" s="1">
        <f>IF($R262=0,0,INT($A262/$R262))</f>
        <v>0</v>
      </c>
      <c r="AW262" s="1">
        <f>$A262-$AV262*$R262</f>
        <v>0</v>
      </c>
    </row>
    <row r="263" ht="24.95" customHeight="1" outlineLevel="1" s="1" customFormat="1">
      <c r="A263" s="15"/>
      <c r="B263" s="16">
        <v>790</v>
      </c>
      <c r="C263" s="17">
        <v>1146</v>
      </c>
      <c r="D263" s="16">
        <v>35407</v>
      </c>
      <c r="E263" s="18"/>
      <c r="F263" s="18" t="s">
        <v>836</v>
      </c>
      <c r="G263" s="18" t="s">
        <v>840</v>
      </c>
      <c r="H263" s="18" t="s">
        <v>86</v>
      </c>
      <c r="I263" s="18"/>
      <c r="J263" s="16">
        <v>2026</v>
      </c>
      <c r="K263" s="18" t="s">
        <v>841</v>
      </c>
      <c r="L263" s="16">
        <v>9785006312029</v>
      </c>
      <c r="M263" s="18" t="s">
        <v>842</v>
      </c>
      <c r="N263" s="16">
        <v>360</v>
      </c>
      <c r="O263" s="19">
        <v>0.68</v>
      </c>
      <c r="P263" s="16">
        <v>170</v>
      </c>
      <c r="Q263" s="16">
        <v>240</v>
      </c>
      <c r="R263" s="16">
        <v>6</v>
      </c>
      <c r="S263" s="18" t="s">
        <v>123</v>
      </c>
      <c r="T263" s="18"/>
      <c r="U263" s="17">
        <v>10000</v>
      </c>
      <c r="V263" s="18" t="s">
        <v>77</v>
      </c>
      <c r="W263" s="18" t="s">
        <v>69</v>
      </c>
      <c r="X263" s="16">
        <v>10</v>
      </c>
      <c r="Y263" s="43" t="str">
        <f>HYPERLINK("https://api-enni.alpina.ru/FilePrivilegesApproval/1097","https://api-enni.alpina.ru/FilePrivilegesApproval/1097")</f>
        <v>https://api-enni.alpina.ru/FilePrivilegesApproval/1097</v>
      </c>
      <c r="Z263" s="18" t="s">
        <v>843</v>
      </c>
      <c r="AS263" s="1">
        <f>IF($A263&lt;&gt;0,1,0)</f>
        <v>0</v>
      </c>
      <c r="AT263" s="1">
        <f>$A263*$B263</f>
        <v>0</v>
      </c>
      <c r="AU263" s="1">
        <f>$A263*$O263</f>
        <v>0</v>
      </c>
      <c r="AV263" s="1">
        <f>IF($R263=0,0,INT($A263/$R263))</f>
        <v>0</v>
      </c>
      <c r="AW263" s="1">
        <f>$A263-$AV263*$R263</f>
        <v>0</v>
      </c>
    </row>
    <row r="264" ht="24.95" customHeight="1" outlineLevel="1" s="1" customFormat="1">
      <c r="A264" s="15"/>
      <c r="B264" s="16">
        <v>590</v>
      </c>
      <c r="C264" s="16">
        <v>885</v>
      </c>
      <c r="D264" s="16">
        <v>11456</v>
      </c>
      <c r="E264" s="18"/>
      <c r="F264" s="18" t="s">
        <v>758</v>
      </c>
      <c r="G264" s="18" t="s">
        <v>759</v>
      </c>
      <c r="H264" s="18" t="s">
        <v>86</v>
      </c>
      <c r="I264" s="18" t="s">
        <v>74</v>
      </c>
      <c r="J264" s="16">
        <v>2025</v>
      </c>
      <c r="K264" s="18" t="s">
        <v>760</v>
      </c>
      <c r="L264" s="16">
        <v>9785961432121</v>
      </c>
      <c r="M264" s="18" t="s">
        <v>761</v>
      </c>
      <c r="N264" s="16">
        <v>300</v>
      </c>
      <c r="O264" s="19">
        <v>0.44</v>
      </c>
      <c r="P264" s="16">
        <v>140</v>
      </c>
      <c r="Q264" s="16">
        <v>200</v>
      </c>
      <c r="R264" s="16">
        <v>8</v>
      </c>
      <c r="S264" s="18" t="s">
        <v>43</v>
      </c>
      <c r="T264" s="18"/>
      <c r="U264" s="17">
        <v>15000</v>
      </c>
      <c r="V264" s="18" t="s">
        <v>44</v>
      </c>
      <c r="W264" s="18" t="s">
        <v>69</v>
      </c>
      <c r="X264" s="16">
        <v>10</v>
      </c>
      <c r="Y264" s="43" t="str">
        <f>HYPERLINK("https://api-enni.alpina.ru/FilePrivilegesApproval/51","https://api-enni.alpina.ru/FilePrivilegesApproval/51")</f>
        <v>https://api-enni.alpina.ru/FilePrivilegesApproval/51</v>
      </c>
      <c r="Z264" s="18"/>
      <c r="AS264" s="1">
        <f>IF($A264&lt;&gt;0,1,0)</f>
        <v>0</v>
      </c>
      <c r="AT264" s="1">
        <f>$A264*$B264</f>
        <v>0</v>
      </c>
      <c r="AU264" s="1">
        <f>$A264*$O264</f>
        <v>0</v>
      </c>
      <c r="AV264" s="1">
        <f>IF($R264=0,0,INT($A264/$R264))</f>
        <v>0</v>
      </c>
      <c r="AW264" s="1">
        <f>$A264-$AV264*$R264</f>
        <v>0</v>
      </c>
    </row>
    <row r="265" ht="24.95" customHeight="1" outlineLevel="1" s="1" customFormat="1">
      <c r="A265" s="15"/>
      <c r="B265" s="16">
        <v>640</v>
      </c>
      <c r="C265" s="16">
        <v>960</v>
      </c>
      <c r="D265" s="16">
        <v>1629</v>
      </c>
      <c r="E265" s="18"/>
      <c r="F265" s="18" t="s">
        <v>728</v>
      </c>
      <c r="G265" s="18" t="s">
        <v>729</v>
      </c>
      <c r="H265" s="18" t="s">
        <v>86</v>
      </c>
      <c r="I265" s="18" t="s">
        <v>74</v>
      </c>
      <c r="J265" s="16">
        <v>2025</v>
      </c>
      <c r="K265" s="18" t="s">
        <v>730</v>
      </c>
      <c r="L265" s="16">
        <v>9785961467451</v>
      </c>
      <c r="M265" s="18" t="s">
        <v>731</v>
      </c>
      <c r="N265" s="16">
        <v>216</v>
      </c>
      <c r="O265" s="19">
        <v>0.36</v>
      </c>
      <c r="P265" s="16">
        <v>146</v>
      </c>
      <c r="Q265" s="16">
        <v>216</v>
      </c>
      <c r="R265" s="16">
        <v>18</v>
      </c>
      <c r="S265" s="18" t="s">
        <v>43</v>
      </c>
      <c r="T265" s="18"/>
      <c r="U265" s="17">
        <v>10000</v>
      </c>
      <c r="V265" s="18" t="s">
        <v>77</v>
      </c>
      <c r="W265" s="18" t="s">
        <v>184</v>
      </c>
      <c r="X265" s="16">
        <v>10</v>
      </c>
      <c r="Y265" s="43" t="str">
        <f>HYPERLINK("https://api-enni.alpina.ru/FilePrivilegesApproval/2","https://api-enni.alpina.ru/FilePrivilegesApproval/2")</f>
        <v>https://api-enni.alpina.ru/FilePrivilegesApproval/2</v>
      </c>
      <c r="Z265" s="18"/>
      <c r="AS265" s="1">
        <f>IF($A265&lt;&gt;0,1,0)</f>
        <v>0</v>
      </c>
      <c r="AT265" s="1">
        <f>$A265*$B265</f>
        <v>0</v>
      </c>
      <c r="AU265" s="1">
        <f>$A265*$O265</f>
        <v>0</v>
      </c>
      <c r="AV265" s="1">
        <f>IF($R265=0,0,INT($A265/$R265))</f>
        <v>0</v>
      </c>
      <c r="AW265" s="1">
        <f>$A265-$AV265*$R265</f>
        <v>0</v>
      </c>
    </row>
    <row r="266" ht="24.95" customHeight="1" outlineLevel="1" s="1" customFormat="1">
      <c r="A266" s="15"/>
      <c r="B266" s="16">
        <v>830</v>
      </c>
      <c r="C266" s="17">
        <v>1890</v>
      </c>
      <c r="D266" s="16">
        <v>35073</v>
      </c>
      <c r="E266" s="18"/>
      <c r="F266" s="18" t="s">
        <v>412</v>
      </c>
      <c r="G266" s="18" t="s">
        <v>770</v>
      </c>
      <c r="H266" s="18" t="s">
        <v>171</v>
      </c>
      <c r="I266" s="18"/>
      <c r="J266" s="16">
        <v>2026</v>
      </c>
      <c r="K266" s="18" t="s">
        <v>771</v>
      </c>
      <c r="L266" s="16">
        <v>9785002237333</v>
      </c>
      <c r="M266" s="18" t="s">
        <v>772</v>
      </c>
      <c r="N266" s="16">
        <v>428</v>
      </c>
      <c r="O266" s="19">
        <v>0.49</v>
      </c>
      <c r="P266" s="16">
        <v>150</v>
      </c>
      <c r="Q266" s="16">
        <v>220</v>
      </c>
      <c r="R266" s="16">
        <v>6</v>
      </c>
      <c r="S266" s="18" t="s">
        <v>43</v>
      </c>
      <c r="T266" s="18"/>
      <c r="U266" s="17">
        <v>20000</v>
      </c>
      <c r="V266" s="18" t="s">
        <v>77</v>
      </c>
      <c r="W266" s="18" t="s">
        <v>69</v>
      </c>
      <c r="X266" s="16">
        <v>10</v>
      </c>
      <c r="Y266" s="43" t="str">
        <f>HYPERLINK("https://api-enni.alpina.ru/FilePrivilegesApproval/1058","https://api-enni.alpina.ru/FilePrivilegesApproval/1058")</f>
        <v>https://api-enni.alpina.ru/FilePrivilegesApproval/1058</v>
      </c>
      <c r="Z266" s="18" t="s">
        <v>773</v>
      </c>
      <c r="AS266" s="1">
        <f>IF($A266&lt;&gt;0,1,0)</f>
        <v>0</v>
      </c>
      <c r="AT266" s="1">
        <f>$A266*$B266</f>
        <v>0</v>
      </c>
      <c r="AU266" s="1">
        <f>$A266*$O266</f>
        <v>0</v>
      </c>
      <c r="AV266" s="1">
        <f>IF($R266=0,0,INT($A266/$R266))</f>
        <v>0</v>
      </c>
      <c r="AW266" s="1">
        <f>$A266-$AV266*$R266</f>
        <v>0</v>
      </c>
    </row>
    <row r="267" ht="24.95" customHeight="1" outlineLevel="1" s="1" customFormat="1">
      <c r="A267" s="15"/>
      <c r="B267" s="16">
        <v>990</v>
      </c>
      <c r="C267" s="17">
        <v>1386</v>
      </c>
      <c r="D267" s="16">
        <v>11572</v>
      </c>
      <c r="E267" s="18"/>
      <c r="F267" s="18" t="s">
        <v>517</v>
      </c>
      <c r="G267" s="18" t="s">
        <v>550</v>
      </c>
      <c r="H267" s="18" t="s">
        <v>73</v>
      </c>
      <c r="I267" s="18" t="s">
        <v>74</v>
      </c>
      <c r="J267" s="16">
        <v>2025</v>
      </c>
      <c r="K267" s="18" t="s">
        <v>551</v>
      </c>
      <c r="L267" s="16">
        <v>9785002231584</v>
      </c>
      <c r="M267" s="18" t="s">
        <v>552</v>
      </c>
      <c r="N267" s="16">
        <v>536</v>
      </c>
      <c r="O267" s="19">
        <v>0.8</v>
      </c>
      <c r="P267" s="16">
        <v>170</v>
      </c>
      <c r="Q267" s="16">
        <v>240</v>
      </c>
      <c r="R267" s="16">
        <v>4</v>
      </c>
      <c r="S267" s="18" t="s">
        <v>123</v>
      </c>
      <c r="T267" s="18"/>
      <c r="U267" s="17">
        <v>10000</v>
      </c>
      <c r="V267" s="18" t="s">
        <v>77</v>
      </c>
      <c r="W267" s="18" t="s">
        <v>45</v>
      </c>
      <c r="X267" s="16">
        <v>10</v>
      </c>
      <c r="Y267" s="43" t="str">
        <f>HYPERLINK("https://api-enni.alpina.ru/FilePrivilegesApproval/813","https://api-enni.alpina.ru/FilePrivilegesApproval/813")</f>
        <v>https://api-enni.alpina.ru/FilePrivilegesApproval/813</v>
      </c>
      <c r="Z267" s="18"/>
      <c r="AS267" s="1">
        <f>IF($A267&lt;&gt;0,1,0)</f>
        <v>0</v>
      </c>
      <c r="AT267" s="1">
        <f>$A267*$B267</f>
        <v>0</v>
      </c>
      <c r="AU267" s="1">
        <f>$A267*$O267</f>
        <v>0</v>
      </c>
      <c r="AV267" s="1">
        <f>IF($R267=0,0,INT($A267/$R267))</f>
        <v>0</v>
      </c>
      <c r="AW267" s="1">
        <f>$A267-$AV267*$R267</f>
        <v>0</v>
      </c>
    </row>
    <row r="268" ht="24.95" customHeight="1" outlineLevel="1" s="1" customFormat="1">
      <c r="A268" s="15"/>
      <c r="B268" s="16">
        <v>590</v>
      </c>
      <c r="C268" s="16">
        <v>885</v>
      </c>
      <c r="D268" s="16">
        <v>34027</v>
      </c>
      <c r="E268" s="18"/>
      <c r="F268" s="18" t="s">
        <v>256</v>
      </c>
      <c r="G268" s="18" t="s">
        <v>774</v>
      </c>
      <c r="H268" s="18" t="s">
        <v>86</v>
      </c>
      <c r="I268" s="18"/>
      <c r="J268" s="16">
        <v>2026</v>
      </c>
      <c r="K268" s="18" t="s">
        <v>775</v>
      </c>
      <c r="L268" s="16">
        <v>9785006306103</v>
      </c>
      <c r="M268" s="18" t="s">
        <v>776</v>
      </c>
      <c r="N268" s="16">
        <v>392</v>
      </c>
      <c r="O268" s="19">
        <v>0.48</v>
      </c>
      <c r="P268" s="16">
        <v>140</v>
      </c>
      <c r="Q268" s="16">
        <v>210</v>
      </c>
      <c r="R268" s="16">
        <v>12</v>
      </c>
      <c r="S268" s="18" t="s">
        <v>43</v>
      </c>
      <c r="T268" s="18"/>
      <c r="U268" s="17">
        <v>8000</v>
      </c>
      <c r="V268" s="18" t="s">
        <v>44</v>
      </c>
      <c r="W268" s="18" t="s">
        <v>69</v>
      </c>
      <c r="X268" s="16">
        <v>10</v>
      </c>
      <c r="Y268" s="43" t="str">
        <f>HYPERLINK("https://api-enni.alpina.ru/FilePrivilegesApproval/986","https://api-enni.alpina.ru/FilePrivilegesApproval/986")</f>
        <v>https://api-enni.alpina.ru/FilePrivilegesApproval/986</v>
      </c>
      <c r="Z268" s="18" t="s">
        <v>777</v>
      </c>
      <c r="AS268" s="1">
        <f>IF($A268&lt;&gt;0,1,0)</f>
        <v>0</v>
      </c>
      <c r="AT268" s="1">
        <f>$A268*$B268</f>
        <v>0</v>
      </c>
      <c r="AU268" s="1">
        <f>$A268*$O268</f>
        <v>0</v>
      </c>
      <c r="AV268" s="1">
        <f>IF($R268=0,0,INT($A268/$R268))</f>
        <v>0</v>
      </c>
      <c r="AW268" s="1">
        <f>$A268-$AV268*$R268</f>
        <v>0</v>
      </c>
    </row>
    <row r="269" ht="24.95" customHeight="1" outlineLevel="1" s="1" customFormat="1">
      <c r="A269" s="15"/>
      <c r="B269" s="16">
        <v>840</v>
      </c>
      <c r="C269" s="17">
        <v>1218</v>
      </c>
      <c r="D269" s="16">
        <v>28037</v>
      </c>
      <c r="E269" s="18"/>
      <c r="F269" s="18" t="s">
        <v>291</v>
      </c>
      <c r="G269" s="18" t="s">
        <v>292</v>
      </c>
      <c r="H269" s="18" t="s">
        <v>86</v>
      </c>
      <c r="I269" s="18"/>
      <c r="J269" s="16">
        <v>2025</v>
      </c>
      <c r="K269" s="18" t="s">
        <v>797</v>
      </c>
      <c r="L269" s="16">
        <v>9785961487145</v>
      </c>
      <c r="M269" s="18" t="s">
        <v>798</v>
      </c>
      <c r="N269" s="16">
        <v>400</v>
      </c>
      <c r="O269" s="19">
        <v>0.57</v>
      </c>
      <c r="P269" s="16">
        <v>140</v>
      </c>
      <c r="Q269" s="16">
        <v>200</v>
      </c>
      <c r="R269" s="16">
        <v>6</v>
      </c>
      <c r="S269" s="18" t="s">
        <v>43</v>
      </c>
      <c r="T269" s="18"/>
      <c r="U269" s="17">
        <v>15000</v>
      </c>
      <c r="V269" s="18" t="s">
        <v>44</v>
      </c>
      <c r="W269" s="18" t="s">
        <v>91</v>
      </c>
      <c r="X269" s="16">
        <v>10</v>
      </c>
      <c r="Y269" s="43" t="str">
        <f>HYPERLINK("https://api-enni.alpina.ru/FilePrivilegesApproval/339","https://api-enni.alpina.ru/FilePrivilegesApproval/339")</f>
        <v>https://api-enni.alpina.ru/FilePrivilegesApproval/339</v>
      </c>
      <c r="Z269" s="18"/>
      <c r="AS269" s="1">
        <f>IF($A269&lt;&gt;0,1,0)</f>
        <v>0</v>
      </c>
      <c r="AT269" s="1">
        <f>$A269*$B269</f>
        <v>0</v>
      </c>
      <c r="AU269" s="1">
        <f>$A269*$O269</f>
        <v>0</v>
      </c>
      <c r="AV269" s="1">
        <f>IF($R269=0,0,INT($A269/$R269))</f>
        <v>0</v>
      </c>
      <c r="AW269" s="1">
        <f>$A269-$AV269*$R269</f>
        <v>0</v>
      </c>
    </row>
    <row r="270" ht="24.95" customHeight="1" outlineLevel="1" s="1" customFormat="1">
      <c r="A270" s="15"/>
      <c r="B270" s="16">
        <v>340</v>
      </c>
      <c r="C270" s="16">
        <v>544</v>
      </c>
      <c r="D270" s="16">
        <v>12585</v>
      </c>
      <c r="E270" s="18"/>
      <c r="F270" s="18" t="s">
        <v>622</v>
      </c>
      <c r="G270" s="18" t="s">
        <v>623</v>
      </c>
      <c r="H270" s="18" t="s">
        <v>86</v>
      </c>
      <c r="I270" s="18" t="s">
        <v>87</v>
      </c>
      <c r="J270" s="16">
        <v>2026</v>
      </c>
      <c r="K270" s="18" t="s">
        <v>624</v>
      </c>
      <c r="L270" s="16">
        <v>9785961426151</v>
      </c>
      <c r="M270" s="18" t="s">
        <v>625</v>
      </c>
      <c r="N270" s="16">
        <v>218</v>
      </c>
      <c r="O270" s="19">
        <v>0.13</v>
      </c>
      <c r="P270" s="16">
        <v>120</v>
      </c>
      <c r="Q270" s="16">
        <v>170</v>
      </c>
      <c r="R270" s="16">
        <v>16</v>
      </c>
      <c r="S270" s="18" t="s">
        <v>190</v>
      </c>
      <c r="T270" s="18" t="s">
        <v>565</v>
      </c>
      <c r="U270" s="17">
        <v>10000</v>
      </c>
      <c r="V270" s="18" t="s">
        <v>44</v>
      </c>
      <c r="W270" s="18" t="s">
        <v>184</v>
      </c>
      <c r="X270" s="16">
        <v>10</v>
      </c>
      <c r="Y270" s="43" t="str">
        <f>HYPERLINK("https://api-enni.alpina.ru/FilePrivilegesApproval/156","https://api-enni.alpina.ru/FilePrivilegesApproval/156")</f>
        <v>https://api-enni.alpina.ru/FilePrivilegesApproval/156</v>
      </c>
      <c r="Z270" s="18" t="s">
        <v>251</v>
      </c>
      <c r="AS270" s="1">
        <f>IF($A270&lt;&gt;0,1,0)</f>
        <v>0</v>
      </c>
      <c r="AT270" s="1">
        <f>$A270*$B270</f>
        <v>0</v>
      </c>
      <c r="AU270" s="1">
        <f>$A270*$O270</f>
        <v>0</v>
      </c>
      <c r="AV270" s="1">
        <f>IF($R270=0,0,INT($A270/$R270))</f>
        <v>0</v>
      </c>
      <c r="AW270" s="1">
        <f>$A270-$AV270*$R270</f>
        <v>0</v>
      </c>
    </row>
    <row r="271" ht="24.95" customHeight="1" outlineLevel="1" s="1" customFormat="1">
      <c r="A271" s="15"/>
      <c r="B271" s="16">
        <v>890</v>
      </c>
      <c r="C271" s="17">
        <v>1246</v>
      </c>
      <c r="D271" s="16">
        <v>28919</v>
      </c>
      <c r="E271" s="18"/>
      <c r="F271" s="18" t="s">
        <v>377</v>
      </c>
      <c r="G271" s="18" t="s">
        <v>900</v>
      </c>
      <c r="H271" s="18" t="s">
        <v>49</v>
      </c>
      <c r="I271" s="18"/>
      <c r="J271" s="16">
        <v>2026</v>
      </c>
      <c r="K271" s="18" t="s">
        <v>901</v>
      </c>
      <c r="L271" s="16">
        <v>9785961490718</v>
      </c>
      <c r="M271" s="18" t="s">
        <v>902</v>
      </c>
      <c r="N271" s="16">
        <v>464</v>
      </c>
      <c r="O271" s="19">
        <v>0.57</v>
      </c>
      <c r="P271" s="16">
        <v>140</v>
      </c>
      <c r="Q271" s="16">
        <v>210</v>
      </c>
      <c r="R271" s="16">
        <v>10</v>
      </c>
      <c r="S271" s="18" t="s">
        <v>90</v>
      </c>
      <c r="T271" s="18" t="s">
        <v>381</v>
      </c>
      <c r="U271" s="17">
        <v>5000</v>
      </c>
      <c r="V271" s="18" t="s">
        <v>77</v>
      </c>
      <c r="W271" s="18" t="s">
        <v>91</v>
      </c>
      <c r="X271" s="16">
        <v>10</v>
      </c>
      <c r="Y271" s="18" t="s">
        <v>528</v>
      </c>
      <c r="Z271" s="18"/>
      <c r="AS271" s="1">
        <f>IF($A271&lt;&gt;0,1,0)</f>
        <v>0</v>
      </c>
      <c r="AT271" s="1">
        <f>$A271*$B271</f>
        <v>0</v>
      </c>
      <c r="AU271" s="1">
        <f>$A271*$O271</f>
        <v>0</v>
      </c>
      <c r="AV271" s="1">
        <f>IF($R271=0,0,INT($A271/$R271))</f>
        <v>0</v>
      </c>
      <c r="AW271" s="1">
        <f>$A271-$AV271*$R271</f>
        <v>0</v>
      </c>
    </row>
    <row r="272" ht="24.95" customHeight="1" outlineLevel="1" s="1" customFormat="1">
      <c r="A272" s="15"/>
      <c r="B272" s="17">
        <v>1190</v>
      </c>
      <c r="C272" s="17">
        <v>1606</v>
      </c>
      <c r="D272" s="16">
        <v>17536</v>
      </c>
      <c r="E272" s="18"/>
      <c r="F272" s="18" t="s">
        <v>945</v>
      </c>
      <c r="G272" s="18" t="s">
        <v>946</v>
      </c>
      <c r="H272" s="18" t="s">
        <v>73</v>
      </c>
      <c r="I272" s="18"/>
      <c r="J272" s="16">
        <v>2026</v>
      </c>
      <c r="K272" s="18" t="s">
        <v>947</v>
      </c>
      <c r="L272" s="16">
        <v>9785001393016</v>
      </c>
      <c r="M272" s="18" t="s">
        <v>948</v>
      </c>
      <c r="N272" s="16">
        <v>542</v>
      </c>
      <c r="O272" s="19">
        <v>0.74</v>
      </c>
      <c r="P272" s="16">
        <v>150</v>
      </c>
      <c r="Q272" s="16">
        <v>220</v>
      </c>
      <c r="R272" s="16">
        <v>8</v>
      </c>
      <c r="S272" s="18" t="s">
        <v>43</v>
      </c>
      <c r="T272" s="18" t="s">
        <v>949</v>
      </c>
      <c r="U272" s="17">
        <v>5000</v>
      </c>
      <c r="V272" s="18" t="s">
        <v>77</v>
      </c>
      <c r="W272" s="18" t="s">
        <v>69</v>
      </c>
      <c r="X272" s="16">
        <v>10</v>
      </c>
      <c r="Y272" s="43" t="str">
        <f>HYPERLINK("https://api-enni.alpina.ru/FilePrivilegesApproval/131","https://api-enni.alpina.ru/FilePrivilegesApproval/131")</f>
        <v>https://api-enni.alpina.ru/FilePrivilegesApproval/131</v>
      </c>
      <c r="Z272" s="18" t="s">
        <v>950</v>
      </c>
      <c r="AS272" s="1">
        <f>IF($A272&lt;&gt;0,1,0)</f>
        <v>0</v>
      </c>
      <c r="AT272" s="1">
        <f>$A272*$B272</f>
        <v>0</v>
      </c>
      <c r="AU272" s="1">
        <f>$A272*$O272</f>
        <v>0</v>
      </c>
      <c r="AV272" s="1">
        <f>IF($R272=0,0,INT($A272/$R272))</f>
        <v>0</v>
      </c>
      <c r="AW272" s="1">
        <f>$A272-$AV272*$R272</f>
        <v>0</v>
      </c>
    </row>
    <row r="273" ht="24.95" customHeight="1" outlineLevel="1" s="1" customFormat="1">
      <c r="A273" s="15"/>
      <c r="B273" s="16">
        <v>340</v>
      </c>
      <c r="C273" s="16">
        <v>544</v>
      </c>
      <c r="D273" s="16">
        <v>27597</v>
      </c>
      <c r="E273" s="18"/>
      <c r="F273" s="18" t="s">
        <v>762</v>
      </c>
      <c r="G273" s="18" t="s">
        <v>763</v>
      </c>
      <c r="H273" s="18" t="s">
        <v>86</v>
      </c>
      <c r="I273" s="18" t="s">
        <v>764</v>
      </c>
      <c r="J273" s="16">
        <v>2025</v>
      </c>
      <c r="K273" s="18" t="s">
        <v>765</v>
      </c>
      <c r="L273" s="16">
        <v>9785961485813</v>
      </c>
      <c r="M273" s="18" t="s">
        <v>766</v>
      </c>
      <c r="N273" s="16">
        <v>316</v>
      </c>
      <c r="O273" s="19">
        <v>0.21</v>
      </c>
      <c r="P273" s="16">
        <v>120</v>
      </c>
      <c r="Q273" s="16">
        <v>170</v>
      </c>
      <c r="R273" s="16">
        <v>10</v>
      </c>
      <c r="S273" s="18" t="s">
        <v>190</v>
      </c>
      <c r="T273" s="18" t="s">
        <v>491</v>
      </c>
      <c r="U273" s="17">
        <v>8000</v>
      </c>
      <c r="V273" s="18" t="s">
        <v>44</v>
      </c>
      <c r="W273" s="18" t="s">
        <v>184</v>
      </c>
      <c r="X273" s="16">
        <v>10</v>
      </c>
      <c r="Y273" s="43" t="str">
        <f>HYPERLINK("https://api-enni.alpina.ru/FilePrivilegesApproval/205","https://api-enni.alpina.ru/FilePrivilegesApproval/205")</f>
        <v>https://api-enni.alpina.ru/FilePrivilegesApproval/205</v>
      </c>
      <c r="Z273" s="18"/>
      <c r="AS273" s="1">
        <f>IF($A273&lt;&gt;0,1,0)</f>
        <v>0</v>
      </c>
      <c r="AT273" s="1">
        <f>$A273*$B273</f>
        <v>0</v>
      </c>
      <c r="AU273" s="1">
        <f>$A273*$O273</f>
        <v>0</v>
      </c>
      <c r="AV273" s="1">
        <f>IF($R273=0,0,INT($A273/$R273))</f>
        <v>0</v>
      </c>
      <c r="AW273" s="1">
        <f>$A273-$AV273*$R273</f>
        <v>0</v>
      </c>
    </row>
    <row r="274" ht="24.95" customHeight="1" outlineLevel="1" s="1" customFormat="1">
      <c r="A274" s="15"/>
      <c r="B274" s="16">
        <v>890</v>
      </c>
      <c r="C274" s="17">
        <v>1246</v>
      </c>
      <c r="D274" s="16">
        <v>32322</v>
      </c>
      <c r="E274" s="18"/>
      <c r="F274" s="18" t="s">
        <v>1015</v>
      </c>
      <c r="G274" s="18" t="s">
        <v>1016</v>
      </c>
      <c r="H274" s="18" t="s">
        <v>49</v>
      </c>
      <c r="I274" s="18" t="s">
        <v>87</v>
      </c>
      <c r="J274" s="16">
        <v>2026</v>
      </c>
      <c r="K274" s="18" t="s">
        <v>1017</v>
      </c>
      <c r="L274" s="16">
        <v>9785006302020</v>
      </c>
      <c r="M274" s="18" t="s">
        <v>1018</v>
      </c>
      <c r="N274" s="16">
        <v>144</v>
      </c>
      <c r="O274" s="19">
        <v>0.62</v>
      </c>
      <c r="P274" s="16">
        <v>210</v>
      </c>
      <c r="Q274" s="16">
        <v>270</v>
      </c>
      <c r="R274" s="16">
        <v>10</v>
      </c>
      <c r="S274" s="18" t="s">
        <v>83</v>
      </c>
      <c r="T274" s="18" t="s">
        <v>1007</v>
      </c>
      <c r="U274" s="17">
        <v>10000</v>
      </c>
      <c r="V274" s="18" t="s">
        <v>77</v>
      </c>
      <c r="W274" s="18" t="s">
        <v>184</v>
      </c>
      <c r="X274" s="16">
        <v>10</v>
      </c>
      <c r="Y274" s="18" t="s">
        <v>540</v>
      </c>
      <c r="Z274" s="18"/>
      <c r="AS274" s="1">
        <f>IF($A274&lt;&gt;0,1,0)</f>
        <v>0</v>
      </c>
      <c r="AT274" s="1">
        <f>$A274*$B274</f>
        <v>0</v>
      </c>
      <c r="AU274" s="1">
        <f>$A274*$O274</f>
        <v>0</v>
      </c>
      <c r="AV274" s="1">
        <f>IF($R274=0,0,INT($A274/$R274))</f>
        <v>0</v>
      </c>
      <c r="AW274" s="1">
        <f>$A274-$AV274*$R274</f>
        <v>0</v>
      </c>
    </row>
    <row r="275" ht="24.95" customHeight="1" outlineLevel="1" s="1" customFormat="1">
      <c r="A275" s="15"/>
      <c r="B275" s="16">
        <v>650</v>
      </c>
      <c r="C275" s="16">
        <v>975</v>
      </c>
      <c r="D275" s="16">
        <v>32048</v>
      </c>
      <c r="E275" s="18"/>
      <c r="F275" s="18" t="s">
        <v>848</v>
      </c>
      <c r="G275" s="18" t="s">
        <v>849</v>
      </c>
      <c r="H275" s="18" t="s">
        <v>39</v>
      </c>
      <c r="I275" s="18"/>
      <c r="J275" s="16">
        <v>2026</v>
      </c>
      <c r="K275" s="18" t="s">
        <v>850</v>
      </c>
      <c r="L275" s="16">
        <v>9785006301023</v>
      </c>
      <c r="M275" s="18" t="s">
        <v>851</v>
      </c>
      <c r="N275" s="16">
        <v>528</v>
      </c>
      <c r="O275" s="19">
        <v>0.49</v>
      </c>
      <c r="P275" s="16">
        <v>140</v>
      </c>
      <c r="Q275" s="16">
        <v>210</v>
      </c>
      <c r="R275" s="16">
        <v>4</v>
      </c>
      <c r="S275" s="18" t="s">
        <v>43</v>
      </c>
      <c r="T275" s="18"/>
      <c r="U275" s="17">
        <v>10000</v>
      </c>
      <c r="V275" s="18" t="s">
        <v>44</v>
      </c>
      <c r="W275" s="18" t="s">
        <v>69</v>
      </c>
      <c r="X275" s="16">
        <v>10</v>
      </c>
      <c r="Y275" s="43" t="str">
        <f>HYPERLINK("https://api-enni.alpina.ru/FilePrivilegesApproval/853","https://api-enni.alpina.ru/FilePrivilegesApproval/853")</f>
        <v>https://api-enni.alpina.ru/FilePrivilegesApproval/853</v>
      </c>
      <c r="Z275" s="18"/>
      <c r="AS275" s="1">
        <f>IF($A275&lt;&gt;0,1,0)</f>
        <v>0</v>
      </c>
      <c r="AT275" s="1">
        <f>$A275*$B275</f>
        <v>0</v>
      </c>
      <c r="AU275" s="1">
        <f>$A275*$O275</f>
        <v>0</v>
      </c>
      <c r="AV275" s="1">
        <f>IF($R275=0,0,INT($A275/$R275))</f>
        <v>0</v>
      </c>
      <c r="AW275" s="1">
        <f>$A275-$AV275*$R275</f>
        <v>0</v>
      </c>
    </row>
    <row r="276" ht="24.95" customHeight="1" outlineLevel="1" s="1" customFormat="1">
      <c r="A276" s="15"/>
      <c r="B276" s="16">
        <v>590</v>
      </c>
      <c r="C276" s="16">
        <v>885</v>
      </c>
      <c r="D276" s="16">
        <v>2458</v>
      </c>
      <c r="E276" s="18"/>
      <c r="F276" s="18" t="s">
        <v>622</v>
      </c>
      <c r="G276" s="18" t="s">
        <v>971</v>
      </c>
      <c r="H276" s="18" t="s">
        <v>86</v>
      </c>
      <c r="I276" s="18" t="s">
        <v>87</v>
      </c>
      <c r="J276" s="16">
        <v>2025</v>
      </c>
      <c r="K276" s="18" t="s">
        <v>972</v>
      </c>
      <c r="L276" s="16">
        <v>9785961469585</v>
      </c>
      <c r="M276" s="18" t="s">
        <v>973</v>
      </c>
      <c r="N276" s="16">
        <v>184</v>
      </c>
      <c r="O276" s="19">
        <v>0.32</v>
      </c>
      <c r="P276" s="16">
        <v>146</v>
      </c>
      <c r="Q276" s="16">
        <v>216</v>
      </c>
      <c r="R276" s="16">
        <v>10</v>
      </c>
      <c r="S276" s="18" t="s">
        <v>43</v>
      </c>
      <c r="T276" s="18"/>
      <c r="U276" s="17">
        <v>10000</v>
      </c>
      <c r="V276" s="18" t="s">
        <v>77</v>
      </c>
      <c r="W276" s="18" t="s">
        <v>69</v>
      </c>
      <c r="X276" s="16">
        <v>10</v>
      </c>
      <c r="Y276" s="43" t="str">
        <f>HYPERLINK("https://api-enni.alpina.ru/FilePrivilegesApproval/2","https://api-enni.alpina.ru/FilePrivilegesApproval/2")</f>
        <v>https://api-enni.alpina.ru/FilePrivilegesApproval/2</v>
      </c>
      <c r="Z276" s="18"/>
      <c r="AS276" s="1">
        <f>IF($A276&lt;&gt;0,1,0)</f>
        <v>0</v>
      </c>
      <c r="AT276" s="1">
        <f>$A276*$B276</f>
        <v>0</v>
      </c>
      <c r="AU276" s="1">
        <f>$A276*$O276</f>
        <v>0</v>
      </c>
      <c r="AV276" s="1">
        <f>IF($R276=0,0,INT($A276/$R276))</f>
        <v>0</v>
      </c>
      <c r="AW276" s="1">
        <f>$A276-$AV276*$R276</f>
        <v>0</v>
      </c>
    </row>
    <row r="277" ht="24.95" customHeight="1" outlineLevel="1" s="1" customFormat="1">
      <c r="A277" s="15"/>
      <c r="B277" s="17">
        <v>1490</v>
      </c>
      <c r="C277" s="17">
        <v>2012</v>
      </c>
      <c r="D277" s="16">
        <v>34373</v>
      </c>
      <c r="E277" s="18"/>
      <c r="F277" s="18" t="s">
        <v>964</v>
      </c>
      <c r="G277" s="18" t="s">
        <v>965</v>
      </c>
      <c r="H277" s="18" t="s">
        <v>95</v>
      </c>
      <c r="I277" s="18" t="s">
        <v>74</v>
      </c>
      <c r="J277" s="16">
        <v>2025</v>
      </c>
      <c r="K277" s="18" t="s">
        <v>966</v>
      </c>
      <c r="L277" s="16">
        <v>9785206004977</v>
      </c>
      <c r="M277" s="18" t="s">
        <v>967</v>
      </c>
      <c r="N277" s="16">
        <v>512</v>
      </c>
      <c r="O277" s="19">
        <v>0.7</v>
      </c>
      <c r="P277" s="16">
        <v>150</v>
      </c>
      <c r="Q277" s="16">
        <v>220</v>
      </c>
      <c r="R277" s="16">
        <v>5</v>
      </c>
      <c r="S277" s="18" t="s">
        <v>43</v>
      </c>
      <c r="T277" s="18"/>
      <c r="U277" s="17">
        <v>2000</v>
      </c>
      <c r="V277" s="18" t="s">
        <v>77</v>
      </c>
      <c r="W277" s="18" t="s">
        <v>69</v>
      </c>
      <c r="X277" s="16">
        <v>10</v>
      </c>
      <c r="Y277" s="43" t="str">
        <f>HYPERLINK("https://api-enni.alpina.ru/FilePrivilegesApproval/920","https://api-enni.alpina.ru/FilePrivilegesApproval/920")</f>
        <v>https://api-enni.alpina.ru/FilePrivilegesApproval/920</v>
      </c>
      <c r="Z277" s="18" t="s">
        <v>251</v>
      </c>
      <c r="AS277" s="1">
        <f>IF($A277&lt;&gt;0,1,0)</f>
        <v>0</v>
      </c>
      <c r="AT277" s="1">
        <f>$A277*$B277</f>
        <v>0</v>
      </c>
      <c r="AU277" s="1">
        <f>$A277*$O277</f>
        <v>0</v>
      </c>
      <c r="AV277" s="1">
        <f>IF($R277=0,0,INT($A277/$R277))</f>
        <v>0</v>
      </c>
      <c r="AW277" s="1">
        <f>$A277-$AV277*$R277</f>
        <v>0</v>
      </c>
    </row>
    <row r="278" ht="24.95" customHeight="1" outlineLevel="1" s="1" customFormat="1">
      <c r="A278" s="15"/>
      <c r="B278" s="16">
        <v>790</v>
      </c>
      <c r="C278" s="17">
        <v>1146</v>
      </c>
      <c r="D278" s="16">
        <v>2312</v>
      </c>
      <c r="E278" s="18"/>
      <c r="F278" s="18" t="s">
        <v>496</v>
      </c>
      <c r="G278" s="18" t="s">
        <v>767</v>
      </c>
      <c r="H278" s="18" t="s">
        <v>86</v>
      </c>
      <c r="I278" s="18" t="s">
        <v>74</v>
      </c>
      <c r="J278" s="16">
        <v>2026</v>
      </c>
      <c r="K278" s="18" t="s">
        <v>768</v>
      </c>
      <c r="L278" s="16">
        <v>9785961467468</v>
      </c>
      <c r="M278" s="18" t="s">
        <v>769</v>
      </c>
      <c r="N278" s="16">
        <v>480</v>
      </c>
      <c r="O278" s="19">
        <v>0.57</v>
      </c>
      <c r="P278" s="16">
        <v>150</v>
      </c>
      <c r="Q278" s="16">
        <v>220</v>
      </c>
      <c r="R278" s="16">
        <v>5</v>
      </c>
      <c r="S278" s="18" t="s">
        <v>43</v>
      </c>
      <c r="T278" s="18"/>
      <c r="U278" s="17">
        <v>5000</v>
      </c>
      <c r="V278" s="18" t="s">
        <v>77</v>
      </c>
      <c r="W278" s="18" t="s">
        <v>184</v>
      </c>
      <c r="X278" s="16">
        <v>10</v>
      </c>
      <c r="Y278" s="43" t="str">
        <f>HYPERLINK("https://api-enni.alpina.ru/FilePrivilegesApproval/141","https://api-enni.alpina.ru/FilePrivilegesApproval/141")</f>
        <v>https://api-enni.alpina.ru/FilePrivilegesApproval/141</v>
      </c>
      <c r="Z278" s="18"/>
      <c r="AS278" s="1">
        <f>IF($A278&lt;&gt;0,1,0)</f>
        <v>0</v>
      </c>
      <c r="AT278" s="1">
        <f>$A278*$B278</f>
        <v>0</v>
      </c>
      <c r="AU278" s="1">
        <f>$A278*$O278</f>
        <v>0</v>
      </c>
      <c r="AV278" s="1">
        <f>IF($R278=0,0,INT($A278/$R278))</f>
        <v>0</v>
      </c>
      <c r="AW278" s="1">
        <f>$A278-$AV278*$R278</f>
        <v>0</v>
      </c>
    </row>
    <row r="279" ht="24.95" customHeight="1" outlineLevel="1" s="1" customFormat="1">
      <c r="A279" s="15"/>
      <c r="B279" s="16">
        <v>390</v>
      </c>
      <c r="C279" s="16">
        <v>624</v>
      </c>
      <c r="D279" s="16">
        <v>28410</v>
      </c>
      <c r="E279" s="18"/>
      <c r="F279" s="18" t="s">
        <v>696</v>
      </c>
      <c r="G279" s="18" t="s">
        <v>697</v>
      </c>
      <c r="H279" s="18" t="s">
        <v>39</v>
      </c>
      <c r="I279" s="18"/>
      <c r="J279" s="16">
        <v>2026</v>
      </c>
      <c r="K279" s="18" t="s">
        <v>698</v>
      </c>
      <c r="L279" s="16">
        <v>9785961488814</v>
      </c>
      <c r="M279" s="18" t="s">
        <v>699</v>
      </c>
      <c r="N279" s="16">
        <v>144</v>
      </c>
      <c r="O279" s="19">
        <v>0.15</v>
      </c>
      <c r="P279" s="16">
        <v>140</v>
      </c>
      <c r="Q279" s="16">
        <v>210</v>
      </c>
      <c r="R279" s="16">
        <v>12</v>
      </c>
      <c r="S279" s="18" t="s">
        <v>43</v>
      </c>
      <c r="T279" s="18" t="s">
        <v>381</v>
      </c>
      <c r="U279" s="17">
        <v>5000</v>
      </c>
      <c r="V279" s="18" t="s">
        <v>44</v>
      </c>
      <c r="W279" s="18" t="s">
        <v>69</v>
      </c>
      <c r="X279" s="16">
        <v>10</v>
      </c>
      <c r="Y279" s="43" t="str">
        <f>HYPERLINK("https://api-enni.alpina.ru/FilePrivilegesApproval/335","https://api-enni.alpina.ru/FilePrivilegesApproval/335")</f>
        <v>https://api-enni.alpina.ru/FilePrivilegesApproval/335</v>
      </c>
      <c r="Z279" s="18" t="s">
        <v>700</v>
      </c>
      <c r="AS279" s="1">
        <f>IF($A279&lt;&gt;0,1,0)</f>
        <v>0</v>
      </c>
      <c r="AT279" s="1">
        <f>$A279*$B279</f>
        <v>0</v>
      </c>
      <c r="AU279" s="1">
        <f>$A279*$O279</f>
        <v>0</v>
      </c>
      <c r="AV279" s="1">
        <f>IF($R279=0,0,INT($A279/$R279))</f>
        <v>0</v>
      </c>
      <c r="AW279" s="1">
        <f>$A279-$AV279*$R279</f>
        <v>0</v>
      </c>
    </row>
    <row r="280" ht="21.95" customHeight="1" outlineLevel="1" s="1" customFormat="1">
      <c r="A280" s="15"/>
      <c r="B280" s="16">
        <v>905</v>
      </c>
      <c r="C280" s="17">
        <v>1267</v>
      </c>
      <c r="D280" s="16">
        <v>35492</v>
      </c>
      <c r="E280" s="18"/>
      <c r="F280" s="18" t="s">
        <v>500</v>
      </c>
      <c r="G280" s="18" t="s">
        <v>501</v>
      </c>
      <c r="H280" s="18" t="s">
        <v>49</v>
      </c>
      <c r="I280" s="18" t="s">
        <v>74</v>
      </c>
      <c r="J280" s="16">
        <v>2026</v>
      </c>
      <c r="K280" s="18" t="s">
        <v>502</v>
      </c>
      <c r="L280" s="16">
        <v>9785006312227</v>
      </c>
      <c r="M280" s="18" t="s">
        <v>503</v>
      </c>
      <c r="N280" s="16">
        <v>112</v>
      </c>
      <c r="O280" s="19">
        <v>0.34</v>
      </c>
      <c r="P280" s="16">
        <v>160</v>
      </c>
      <c r="Q280" s="16">
        <v>240</v>
      </c>
      <c r="R280" s="16">
        <v>16</v>
      </c>
      <c r="S280" s="18" t="s">
        <v>43</v>
      </c>
      <c r="T280" s="18" t="s">
        <v>504</v>
      </c>
      <c r="U280" s="17">
        <v>5000</v>
      </c>
      <c r="V280" s="18" t="s">
        <v>54</v>
      </c>
      <c r="W280" s="18" t="s">
        <v>55</v>
      </c>
      <c r="X280" s="16">
        <v>22</v>
      </c>
      <c r="Y280" s="43" t="str">
        <f>HYPERLINK("","")</f>
      </c>
      <c r="Z280" s="18" t="s">
        <v>505</v>
      </c>
      <c r="AS280" s="1">
        <f>IF($A280&lt;&gt;0,1,0)</f>
        <v>0</v>
      </c>
      <c r="AT280" s="1">
        <f>$A280*$B280</f>
        <v>0</v>
      </c>
      <c r="AU280" s="1">
        <f>$A280*$O280</f>
        <v>0</v>
      </c>
      <c r="AV280" s="1">
        <f>IF($R280=0,0,INT($A280/$R280))</f>
        <v>0</v>
      </c>
      <c r="AW280" s="1">
        <f>$A280-$AV280*$R280</f>
        <v>0</v>
      </c>
    </row>
    <row r="281" ht="24.95" customHeight="1" outlineLevel="1" s="1" customFormat="1">
      <c r="A281" s="15"/>
      <c r="B281" s="16">
        <v>340</v>
      </c>
      <c r="C281" s="16">
        <v>544</v>
      </c>
      <c r="D281" s="16">
        <v>9123</v>
      </c>
      <c r="E281" s="18"/>
      <c r="F281" s="18" t="s">
        <v>936</v>
      </c>
      <c r="G281" s="18" t="s">
        <v>937</v>
      </c>
      <c r="H281" s="18" t="s">
        <v>86</v>
      </c>
      <c r="I281" s="18" t="s">
        <v>74</v>
      </c>
      <c r="J281" s="16">
        <v>2025</v>
      </c>
      <c r="K281" s="18" t="s">
        <v>938</v>
      </c>
      <c r="L281" s="16">
        <v>9785961471403</v>
      </c>
      <c r="M281" s="18" t="s">
        <v>939</v>
      </c>
      <c r="N281" s="16">
        <v>430</v>
      </c>
      <c r="O281" s="19">
        <v>0.29</v>
      </c>
      <c r="P281" s="16">
        <v>120</v>
      </c>
      <c r="Q281" s="16">
        <v>170</v>
      </c>
      <c r="R281" s="16">
        <v>8</v>
      </c>
      <c r="S281" s="18" t="s">
        <v>190</v>
      </c>
      <c r="T281" s="18" t="s">
        <v>451</v>
      </c>
      <c r="U281" s="17">
        <v>20000</v>
      </c>
      <c r="V281" s="18" t="s">
        <v>44</v>
      </c>
      <c r="W281" s="18" t="s">
        <v>184</v>
      </c>
      <c r="X281" s="16">
        <v>10</v>
      </c>
      <c r="Y281" s="43" t="str">
        <f>HYPERLINK("https://api-enni.alpina.ru/FilePrivilegesApproval/156","https://api-enni.alpina.ru/FilePrivilegesApproval/156")</f>
        <v>https://api-enni.alpina.ru/FilePrivilegesApproval/156</v>
      </c>
      <c r="Z281" s="18"/>
      <c r="AS281" s="1">
        <f>IF($A281&lt;&gt;0,1,0)</f>
        <v>0</v>
      </c>
      <c r="AT281" s="1">
        <f>$A281*$B281</f>
        <v>0</v>
      </c>
      <c r="AU281" s="1">
        <f>$A281*$O281</f>
        <v>0</v>
      </c>
      <c r="AV281" s="1">
        <f>IF($R281=0,0,INT($A281/$R281))</f>
        <v>0</v>
      </c>
      <c r="AW281" s="1">
        <f>$A281-$AV281*$R281</f>
        <v>0</v>
      </c>
    </row>
    <row r="282" ht="24.95" customHeight="1" outlineLevel="1" s="1" customFormat="1">
      <c r="A282" s="15"/>
      <c r="B282" s="16">
        <v>990</v>
      </c>
      <c r="C282" s="17">
        <v>1386</v>
      </c>
      <c r="D282" s="16">
        <v>34363</v>
      </c>
      <c r="E282" s="18"/>
      <c r="F282" s="18" t="s">
        <v>817</v>
      </c>
      <c r="G282" s="18" t="s">
        <v>818</v>
      </c>
      <c r="H282" s="18" t="s">
        <v>73</v>
      </c>
      <c r="I282" s="18" t="s">
        <v>74</v>
      </c>
      <c r="J282" s="16">
        <v>2026</v>
      </c>
      <c r="K282" s="18" t="s">
        <v>819</v>
      </c>
      <c r="L282" s="16">
        <v>9785002236701</v>
      </c>
      <c r="M282" s="18" t="s">
        <v>820</v>
      </c>
      <c r="N282" s="16">
        <v>461</v>
      </c>
      <c r="O282" s="19">
        <v>0.56</v>
      </c>
      <c r="P282" s="16">
        <v>150</v>
      </c>
      <c r="Q282" s="16">
        <v>220</v>
      </c>
      <c r="R282" s="16">
        <v>10</v>
      </c>
      <c r="S282" s="18" t="s">
        <v>43</v>
      </c>
      <c r="T282" s="18"/>
      <c r="U282" s="17">
        <v>5000</v>
      </c>
      <c r="V282" s="18" t="s">
        <v>77</v>
      </c>
      <c r="W282" s="18" t="s">
        <v>69</v>
      </c>
      <c r="X282" s="16">
        <v>10</v>
      </c>
      <c r="Y282" s="43" t="str">
        <f>HYPERLINK("https://api-enni.alpina.ru/FilePrivilegesApproval/149","https://api-enni.alpina.ru/FilePrivilegesApproval/149")</f>
        <v>https://api-enni.alpina.ru/FilePrivilegesApproval/149</v>
      </c>
      <c r="Z282" s="18" t="s">
        <v>545</v>
      </c>
      <c r="AS282" s="1">
        <f>IF($A282&lt;&gt;0,1,0)</f>
        <v>0</v>
      </c>
      <c r="AT282" s="1">
        <f>$A282*$B282</f>
        <v>0</v>
      </c>
      <c r="AU282" s="1">
        <f>$A282*$O282</f>
        <v>0</v>
      </c>
      <c r="AV282" s="1">
        <f>IF($R282=0,0,INT($A282/$R282))</f>
        <v>0</v>
      </c>
      <c r="AW282" s="1">
        <f>$A282-$AV282*$R282</f>
        <v>0</v>
      </c>
    </row>
    <row r="283" ht="24.95" customHeight="1" outlineLevel="1" s="1" customFormat="1">
      <c r="A283" s="15"/>
      <c r="B283" s="17">
        <v>1140</v>
      </c>
      <c r="C283" s="17">
        <v>1539</v>
      </c>
      <c r="D283" s="16">
        <v>1747</v>
      </c>
      <c r="E283" s="18"/>
      <c r="F283" s="18" t="s">
        <v>496</v>
      </c>
      <c r="G283" s="18" t="s">
        <v>626</v>
      </c>
      <c r="H283" s="18" t="s">
        <v>86</v>
      </c>
      <c r="I283" s="18" t="s">
        <v>74</v>
      </c>
      <c r="J283" s="16">
        <v>2026</v>
      </c>
      <c r="K283" s="18" t="s">
        <v>627</v>
      </c>
      <c r="L283" s="16">
        <v>9785961465372</v>
      </c>
      <c r="M283" s="18" t="s">
        <v>628</v>
      </c>
      <c r="N283" s="16">
        <v>808</v>
      </c>
      <c r="O283" s="19">
        <v>0.99</v>
      </c>
      <c r="P283" s="16">
        <v>150</v>
      </c>
      <c r="Q283" s="16">
        <v>210</v>
      </c>
      <c r="R283" s="16">
        <v>4</v>
      </c>
      <c r="S283" s="18" t="s">
        <v>43</v>
      </c>
      <c r="T283" s="18"/>
      <c r="U283" s="17">
        <v>6000</v>
      </c>
      <c r="V283" s="18" t="s">
        <v>77</v>
      </c>
      <c r="W283" s="18" t="s">
        <v>69</v>
      </c>
      <c r="X283" s="16">
        <v>10</v>
      </c>
      <c r="Y283" s="43" t="str">
        <f>HYPERLINK("https://api-enni.alpina.ru/FilePrivilegesApproval/2","https://api-enni.alpina.ru/FilePrivilegesApproval/2")</f>
        <v>https://api-enni.alpina.ru/FilePrivilegesApproval/2</v>
      </c>
      <c r="Z283" s="18" t="s">
        <v>629</v>
      </c>
      <c r="AS283" s="1">
        <f>IF($A283&lt;&gt;0,1,0)</f>
        <v>0</v>
      </c>
      <c r="AT283" s="1">
        <f>$A283*$B283</f>
        <v>0</v>
      </c>
      <c r="AU283" s="1">
        <f>$A283*$O283</f>
        <v>0</v>
      </c>
      <c r="AV283" s="1">
        <f>IF($R283=0,0,INT($A283/$R283))</f>
        <v>0</v>
      </c>
      <c r="AW283" s="1">
        <f>$A283-$AV283*$R283</f>
        <v>0</v>
      </c>
    </row>
    <row r="284" ht="24.95" customHeight="1" outlineLevel="1" s="1" customFormat="1">
      <c r="A284" s="15"/>
      <c r="B284" s="16">
        <v>990</v>
      </c>
      <c r="C284" s="17">
        <v>1690</v>
      </c>
      <c r="D284" s="16">
        <v>32325</v>
      </c>
      <c r="E284" s="18"/>
      <c r="F284" s="18" t="s">
        <v>740</v>
      </c>
      <c r="G284" s="18" t="s">
        <v>741</v>
      </c>
      <c r="H284" s="18" t="s">
        <v>95</v>
      </c>
      <c r="I284" s="18"/>
      <c r="J284" s="16">
        <v>2026</v>
      </c>
      <c r="K284" s="18" t="s">
        <v>742</v>
      </c>
      <c r="L284" s="16">
        <v>9785206004236</v>
      </c>
      <c r="M284" s="18" t="s">
        <v>743</v>
      </c>
      <c r="N284" s="16">
        <v>448</v>
      </c>
      <c r="O284" s="19">
        <v>0.62</v>
      </c>
      <c r="P284" s="16">
        <v>150</v>
      </c>
      <c r="Q284" s="16">
        <v>220</v>
      </c>
      <c r="R284" s="16">
        <v>8</v>
      </c>
      <c r="S284" s="18" t="s">
        <v>43</v>
      </c>
      <c r="T284" s="18"/>
      <c r="U284" s="17">
        <v>2000</v>
      </c>
      <c r="V284" s="18" t="s">
        <v>77</v>
      </c>
      <c r="W284" s="18" t="s">
        <v>69</v>
      </c>
      <c r="X284" s="16">
        <v>10</v>
      </c>
      <c r="Y284" s="43" t="str">
        <f>HYPERLINK("https://api-enni.alpina.ru/FilePrivilegesApproval/1034","https://api-enni.alpina.ru/FilePrivilegesApproval/1034")</f>
        <v>https://api-enni.alpina.ru/FilePrivilegesApproval/1034</v>
      </c>
      <c r="Z284" s="18" t="s">
        <v>744</v>
      </c>
      <c r="AS284" s="1">
        <f>IF($A284&lt;&gt;0,1,0)</f>
        <v>0</v>
      </c>
      <c r="AT284" s="1">
        <f>$A284*$B284</f>
        <v>0</v>
      </c>
      <c r="AU284" s="1">
        <f>$A284*$O284</f>
        <v>0</v>
      </c>
      <c r="AV284" s="1">
        <f>IF($R284=0,0,INT($A284/$R284))</f>
        <v>0</v>
      </c>
      <c r="AW284" s="1">
        <f>$A284-$AV284*$R284</f>
        <v>0</v>
      </c>
    </row>
    <row r="285" ht="24.95" customHeight="1" outlineLevel="1" s="1" customFormat="1">
      <c r="A285" s="15"/>
      <c r="B285" s="17">
        <v>1290</v>
      </c>
      <c r="C285" s="17">
        <v>1742</v>
      </c>
      <c r="D285" s="16">
        <v>17911</v>
      </c>
      <c r="E285" s="18"/>
      <c r="F285" s="18" t="s">
        <v>610</v>
      </c>
      <c r="G285" s="18" t="s">
        <v>611</v>
      </c>
      <c r="H285" s="18" t="s">
        <v>86</v>
      </c>
      <c r="I285" s="18" t="s">
        <v>74</v>
      </c>
      <c r="J285" s="16">
        <v>2025</v>
      </c>
      <c r="K285" s="18" t="s">
        <v>612</v>
      </c>
      <c r="L285" s="16">
        <v>9785961440157</v>
      </c>
      <c r="M285" s="18" t="s">
        <v>613</v>
      </c>
      <c r="N285" s="16">
        <v>935</v>
      </c>
      <c r="O285" s="19">
        <v>1.02</v>
      </c>
      <c r="P285" s="16">
        <v>146</v>
      </c>
      <c r="Q285" s="16">
        <v>216</v>
      </c>
      <c r="R285" s="16">
        <v>4</v>
      </c>
      <c r="S285" s="18" t="s">
        <v>43</v>
      </c>
      <c r="T285" s="18"/>
      <c r="U285" s="17">
        <v>5000</v>
      </c>
      <c r="V285" s="18" t="s">
        <v>77</v>
      </c>
      <c r="W285" s="18" t="s">
        <v>69</v>
      </c>
      <c r="X285" s="16">
        <v>10</v>
      </c>
      <c r="Y285" s="43" t="str">
        <f>HYPERLINK("https://api-enni.alpina.ru/FilePrivilegesApproval/128","https://api-enni.alpina.ru/FilePrivilegesApproval/128")</f>
        <v>https://api-enni.alpina.ru/FilePrivilegesApproval/128</v>
      </c>
      <c r="Z285" s="18"/>
      <c r="AS285" s="1">
        <f>IF($A285&lt;&gt;0,1,0)</f>
        <v>0</v>
      </c>
      <c r="AT285" s="1">
        <f>$A285*$B285</f>
        <v>0</v>
      </c>
      <c r="AU285" s="1">
        <f>$A285*$O285</f>
        <v>0</v>
      </c>
      <c r="AV285" s="1">
        <f>IF($R285=0,0,INT($A285/$R285))</f>
        <v>0</v>
      </c>
      <c r="AW285" s="1">
        <f>$A285-$AV285*$R285</f>
        <v>0</v>
      </c>
    </row>
    <row r="286" ht="24.95" customHeight="1" outlineLevel="1" s="1" customFormat="1">
      <c r="A286" s="15"/>
      <c r="B286" s="16">
        <v>890</v>
      </c>
      <c r="C286" s="17">
        <v>1246</v>
      </c>
      <c r="D286" s="16">
        <v>32177</v>
      </c>
      <c r="E286" s="18"/>
      <c r="F286" s="18" t="s">
        <v>836</v>
      </c>
      <c r="G286" s="18" t="s">
        <v>837</v>
      </c>
      <c r="H286" s="18" t="s">
        <v>86</v>
      </c>
      <c r="I286" s="18"/>
      <c r="J286" s="16">
        <v>2026</v>
      </c>
      <c r="K286" s="18" t="s">
        <v>838</v>
      </c>
      <c r="L286" s="16">
        <v>9785006301573</v>
      </c>
      <c r="M286" s="18" t="s">
        <v>839</v>
      </c>
      <c r="N286" s="16">
        <v>398</v>
      </c>
      <c r="O286" s="19">
        <v>0.74</v>
      </c>
      <c r="P286" s="16">
        <v>170</v>
      </c>
      <c r="Q286" s="16">
        <v>240</v>
      </c>
      <c r="R286" s="16">
        <v>6</v>
      </c>
      <c r="S286" s="18" t="s">
        <v>123</v>
      </c>
      <c r="T286" s="18"/>
      <c r="U286" s="17">
        <v>6000</v>
      </c>
      <c r="V286" s="18" t="s">
        <v>77</v>
      </c>
      <c r="W286" s="18" t="s">
        <v>69</v>
      </c>
      <c r="X286" s="16">
        <v>10</v>
      </c>
      <c r="Y286" s="43" t="str">
        <f>HYPERLINK("https://api-enni.alpina.ru/FilePrivilegesApproval/831","https://api-enni.alpina.ru/FilePrivilegesApproval/831")</f>
        <v>https://api-enni.alpina.ru/FilePrivilegesApproval/831</v>
      </c>
      <c r="Z286" s="18" t="s">
        <v>251</v>
      </c>
      <c r="AS286" s="1">
        <f>IF($A286&lt;&gt;0,1,0)</f>
        <v>0</v>
      </c>
      <c r="AT286" s="1">
        <f>$A286*$B286</f>
        <v>0</v>
      </c>
      <c r="AU286" s="1">
        <f>$A286*$O286</f>
        <v>0</v>
      </c>
      <c r="AV286" s="1">
        <f>IF($R286=0,0,INT($A286/$R286))</f>
        <v>0</v>
      </c>
      <c r="AW286" s="1">
        <f>$A286-$AV286*$R286</f>
        <v>0</v>
      </c>
    </row>
    <row r="287" ht="24.95" customHeight="1" outlineLevel="1" s="1" customFormat="1">
      <c r="A287" s="15"/>
      <c r="B287" s="17">
        <v>1390</v>
      </c>
      <c r="C287" s="17">
        <v>1876</v>
      </c>
      <c r="D287" s="16">
        <v>32874</v>
      </c>
      <c r="E287" s="18"/>
      <c r="F287" s="18" t="s">
        <v>852</v>
      </c>
      <c r="G287" s="18" t="s">
        <v>853</v>
      </c>
      <c r="H287" s="18" t="s">
        <v>86</v>
      </c>
      <c r="I287" s="18" t="s">
        <v>74</v>
      </c>
      <c r="J287" s="16">
        <v>2025</v>
      </c>
      <c r="K287" s="18" t="s">
        <v>854</v>
      </c>
      <c r="L287" s="16">
        <v>9785006304833</v>
      </c>
      <c r="M287" s="18" t="s">
        <v>855</v>
      </c>
      <c r="N287" s="16">
        <v>576</v>
      </c>
      <c r="O287" s="19">
        <v>0.85</v>
      </c>
      <c r="P287" s="16">
        <v>170</v>
      </c>
      <c r="Q287" s="16">
        <v>240</v>
      </c>
      <c r="R287" s="16">
        <v>5</v>
      </c>
      <c r="S287" s="18" t="s">
        <v>123</v>
      </c>
      <c r="T287" s="18"/>
      <c r="U287" s="17">
        <v>5000</v>
      </c>
      <c r="V287" s="18" t="s">
        <v>77</v>
      </c>
      <c r="W287" s="18" t="s">
        <v>184</v>
      </c>
      <c r="X287" s="16">
        <v>10</v>
      </c>
      <c r="Y287" s="43" t="str">
        <f>HYPERLINK("https://api-enni.alpina.ru/FilePrivilegesApproval/2","https://api-enni.alpina.ru/FilePrivilegesApproval/2")</f>
        <v>https://api-enni.alpina.ru/FilePrivilegesApproval/2</v>
      </c>
      <c r="Z287" s="18"/>
      <c r="AS287" s="1">
        <f>IF($A287&lt;&gt;0,1,0)</f>
        <v>0</v>
      </c>
      <c r="AT287" s="1">
        <f>$A287*$B287</f>
        <v>0</v>
      </c>
      <c r="AU287" s="1">
        <f>$A287*$O287</f>
        <v>0</v>
      </c>
      <c r="AV287" s="1">
        <f>IF($R287=0,0,INT($A287/$R287))</f>
        <v>0</v>
      </c>
      <c r="AW287" s="1">
        <f>$A287-$AV287*$R287</f>
        <v>0</v>
      </c>
    </row>
    <row r="288" ht="24.95" customHeight="1" outlineLevel="1" s="1" customFormat="1">
      <c r="A288" s="15"/>
      <c r="B288" s="16">
        <v>340</v>
      </c>
      <c r="C288" s="16">
        <v>544</v>
      </c>
      <c r="D288" s="16">
        <v>27601</v>
      </c>
      <c r="E288" s="18"/>
      <c r="F288" s="18" t="s">
        <v>713</v>
      </c>
      <c r="G288" s="18" t="s">
        <v>714</v>
      </c>
      <c r="H288" s="18" t="s">
        <v>86</v>
      </c>
      <c r="I288" s="18"/>
      <c r="J288" s="16">
        <v>2026</v>
      </c>
      <c r="K288" s="18" t="s">
        <v>715</v>
      </c>
      <c r="L288" s="16">
        <v>9785961485820</v>
      </c>
      <c r="M288" s="18" t="s">
        <v>716</v>
      </c>
      <c r="N288" s="16">
        <v>316</v>
      </c>
      <c r="O288" s="19">
        <v>0.21</v>
      </c>
      <c r="P288" s="16">
        <v>120</v>
      </c>
      <c r="Q288" s="16">
        <v>170</v>
      </c>
      <c r="R288" s="16">
        <v>12</v>
      </c>
      <c r="S288" s="18" t="s">
        <v>190</v>
      </c>
      <c r="T288" s="18"/>
      <c r="U288" s="17">
        <v>6000</v>
      </c>
      <c r="V288" s="18" t="s">
        <v>44</v>
      </c>
      <c r="W288" s="18" t="s">
        <v>69</v>
      </c>
      <c r="X288" s="16">
        <v>10</v>
      </c>
      <c r="Y288" s="43" t="str">
        <f>HYPERLINK("https://api-enni.alpina.ru/FilePrivilegesApproval/205","https://api-enni.alpina.ru/FilePrivilegesApproval/205")</f>
        <v>https://api-enni.alpina.ru/FilePrivilegesApproval/205</v>
      </c>
      <c r="Z288" s="18" t="s">
        <v>717</v>
      </c>
      <c r="AS288" s="1">
        <f>IF($A288&lt;&gt;0,1,0)</f>
        <v>0</v>
      </c>
      <c r="AT288" s="1">
        <f>$A288*$B288</f>
        <v>0</v>
      </c>
      <c r="AU288" s="1">
        <f>$A288*$O288</f>
        <v>0</v>
      </c>
      <c r="AV288" s="1">
        <f>IF($R288=0,0,INT($A288/$R288))</f>
        <v>0</v>
      </c>
      <c r="AW288" s="1">
        <f>$A288-$AV288*$R288</f>
        <v>0</v>
      </c>
    </row>
    <row r="289" ht="24.95" customHeight="1" outlineLevel="1" s="1" customFormat="1">
      <c r="A289" s="15"/>
      <c r="B289" s="16">
        <v>740</v>
      </c>
      <c r="C289" s="17">
        <v>1073</v>
      </c>
      <c r="D289" s="16">
        <v>23275</v>
      </c>
      <c r="E289" s="18"/>
      <c r="F289" s="18" t="s">
        <v>758</v>
      </c>
      <c r="G289" s="18" t="s">
        <v>903</v>
      </c>
      <c r="H289" s="18" t="s">
        <v>86</v>
      </c>
      <c r="I289" s="18" t="s">
        <v>74</v>
      </c>
      <c r="J289" s="16">
        <v>2025</v>
      </c>
      <c r="K289" s="18" t="s">
        <v>904</v>
      </c>
      <c r="L289" s="16">
        <v>9785961472196</v>
      </c>
      <c r="M289" s="18" t="s">
        <v>905</v>
      </c>
      <c r="N289" s="16">
        <v>192</v>
      </c>
      <c r="O289" s="19">
        <v>0.36</v>
      </c>
      <c r="P289" s="16">
        <v>150</v>
      </c>
      <c r="Q289" s="16">
        <v>210</v>
      </c>
      <c r="R289" s="16">
        <v>16</v>
      </c>
      <c r="S289" s="18" t="s">
        <v>43</v>
      </c>
      <c r="T289" s="18"/>
      <c r="U289" s="17">
        <v>10000</v>
      </c>
      <c r="V289" s="18" t="s">
        <v>77</v>
      </c>
      <c r="W289" s="18" t="s">
        <v>69</v>
      </c>
      <c r="X289" s="16">
        <v>10</v>
      </c>
      <c r="Y289" s="43" t="str">
        <f>HYPERLINK("https://api-enni.alpina.ru/FilePrivilegesApproval/140","https://api-enni.alpina.ru/FilePrivilegesApproval/140")</f>
        <v>https://api-enni.alpina.ru/FilePrivilegesApproval/140</v>
      </c>
      <c r="Z289" s="18"/>
      <c r="AS289" s="1">
        <f>IF($A289&lt;&gt;0,1,0)</f>
        <v>0</v>
      </c>
      <c r="AT289" s="1">
        <f>$A289*$B289</f>
        <v>0</v>
      </c>
      <c r="AU289" s="1">
        <f>$A289*$O289</f>
        <v>0</v>
      </c>
      <c r="AV289" s="1">
        <f>IF($R289=0,0,INT($A289/$R289))</f>
        <v>0</v>
      </c>
      <c r="AW289" s="1">
        <f>$A289-$AV289*$R289</f>
        <v>0</v>
      </c>
    </row>
    <row r="290" ht="24.95" customHeight="1" outlineLevel="1" s="1" customFormat="1">
      <c r="A290" s="15"/>
      <c r="B290" s="16">
        <v>990</v>
      </c>
      <c r="C290" s="17">
        <v>1386</v>
      </c>
      <c r="D290" s="16">
        <v>28842</v>
      </c>
      <c r="E290" s="18"/>
      <c r="F290" s="18" t="s">
        <v>785</v>
      </c>
      <c r="G290" s="18" t="s">
        <v>786</v>
      </c>
      <c r="H290" s="18" t="s">
        <v>86</v>
      </c>
      <c r="I290" s="18"/>
      <c r="J290" s="16">
        <v>2025</v>
      </c>
      <c r="K290" s="18" t="s">
        <v>787</v>
      </c>
      <c r="L290" s="16">
        <v>9785961490268</v>
      </c>
      <c r="M290" s="18" t="s">
        <v>788</v>
      </c>
      <c r="N290" s="16">
        <v>588</v>
      </c>
      <c r="O290" s="19">
        <v>0.93</v>
      </c>
      <c r="P290" s="16">
        <v>170</v>
      </c>
      <c r="Q290" s="16">
        <v>240</v>
      </c>
      <c r="R290" s="16">
        <v>6</v>
      </c>
      <c r="S290" s="18" t="s">
        <v>123</v>
      </c>
      <c r="T290" s="18"/>
      <c r="U290" s="17">
        <v>6000</v>
      </c>
      <c r="V290" s="18" t="s">
        <v>44</v>
      </c>
      <c r="W290" s="18" t="s">
        <v>69</v>
      </c>
      <c r="X290" s="16">
        <v>10</v>
      </c>
      <c r="Y290" s="43" t="str">
        <f>HYPERLINK("https://api-enni.alpina.ru/FilePrivilegesApproval/336","https://api-enni.alpina.ru/FilePrivilegesApproval/336")</f>
        <v>https://api-enni.alpina.ru/FilePrivilegesApproval/336</v>
      </c>
      <c r="Z290" s="18"/>
      <c r="AS290" s="1">
        <f>IF($A290&lt;&gt;0,1,0)</f>
        <v>0</v>
      </c>
      <c r="AT290" s="1">
        <f>$A290*$B290</f>
        <v>0</v>
      </c>
      <c r="AU290" s="1">
        <f>$A290*$O290</f>
        <v>0</v>
      </c>
      <c r="AV290" s="1">
        <f>IF($R290=0,0,INT($A290/$R290))</f>
        <v>0</v>
      </c>
      <c r="AW290" s="1">
        <f>$A290-$AV290*$R290</f>
        <v>0</v>
      </c>
    </row>
    <row r="291" ht="24.95" customHeight="1" outlineLevel="1" s="1" customFormat="1">
      <c r="A291" s="15"/>
      <c r="B291" s="17">
        <v>1990</v>
      </c>
      <c r="C291" s="17">
        <v>2587</v>
      </c>
      <c r="D291" s="16">
        <v>23546</v>
      </c>
      <c r="E291" s="18"/>
      <c r="F291" s="18" t="s">
        <v>553</v>
      </c>
      <c r="G291" s="18" t="s">
        <v>554</v>
      </c>
      <c r="H291" s="18" t="s">
        <v>73</v>
      </c>
      <c r="I291" s="18"/>
      <c r="J291" s="16">
        <v>2026</v>
      </c>
      <c r="K291" s="18" t="s">
        <v>555</v>
      </c>
      <c r="L291" s="16">
        <v>9785001397496</v>
      </c>
      <c r="M291" s="18" t="s">
        <v>556</v>
      </c>
      <c r="N291" s="16">
        <v>627</v>
      </c>
      <c r="O291" s="19">
        <v>1.26</v>
      </c>
      <c r="P291" s="16">
        <v>200</v>
      </c>
      <c r="Q291" s="16">
        <v>250</v>
      </c>
      <c r="R291" s="16">
        <v>4</v>
      </c>
      <c r="S291" s="18" t="s">
        <v>328</v>
      </c>
      <c r="T291" s="18"/>
      <c r="U291" s="17">
        <v>5000</v>
      </c>
      <c r="V291" s="18" t="s">
        <v>77</v>
      </c>
      <c r="W291" s="18" t="s">
        <v>91</v>
      </c>
      <c r="X291" s="16">
        <v>10</v>
      </c>
      <c r="Y291" s="43" t="str">
        <f>HYPERLINK("https://api-enni.alpina.ru/FilePrivilegesApproval/185","https://api-enni.alpina.ru/FilePrivilegesApproval/185")</f>
        <v>https://api-enni.alpina.ru/FilePrivilegesApproval/185</v>
      </c>
      <c r="Z291" s="18"/>
      <c r="AS291" s="1">
        <f>IF($A291&lt;&gt;0,1,0)</f>
        <v>0</v>
      </c>
      <c r="AT291" s="1">
        <f>$A291*$B291</f>
        <v>0</v>
      </c>
      <c r="AU291" s="1">
        <f>$A291*$O291</f>
        <v>0</v>
      </c>
      <c r="AV291" s="1">
        <f>IF($R291=0,0,INT($A291/$R291))</f>
        <v>0</v>
      </c>
      <c r="AW291" s="1">
        <f>$A291-$AV291*$R291</f>
        <v>0</v>
      </c>
    </row>
    <row r="292" ht="24.95" customHeight="1" outlineLevel="1" s="1" customFormat="1">
      <c r="A292" s="15"/>
      <c r="B292" s="17">
        <v>2300</v>
      </c>
      <c r="C292" s="17">
        <v>2990</v>
      </c>
      <c r="D292" s="16">
        <v>7726</v>
      </c>
      <c r="E292" s="18"/>
      <c r="F292" s="18" t="s">
        <v>686</v>
      </c>
      <c r="G292" s="18" t="s">
        <v>687</v>
      </c>
      <c r="H292" s="18" t="s">
        <v>73</v>
      </c>
      <c r="I292" s="18" t="s">
        <v>74</v>
      </c>
      <c r="J292" s="16">
        <v>2026</v>
      </c>
      <c r="K292" s="18" t="s">
        <v>688</v>
      </c>
      <c r="L292" s="16">
        <v>9785916710007</v>
      </c>
      <c r="M292" s="18" t="s">
        <v>689</v>
      </c>
      <c r="N292" s="16">
        <v>558</v>
      </c>
      <c r="O292" s="19">
        <v>1.46</v>
      </c>
      <c r="P292" s="16">
        <v>200</v>
      </c>
      <c r="Q292" s="16">
        <v>240</v>
      </c>
      <c r="R292" s="16">
        <v>3</v>
      </c>
      <c r="S292" s="18" t="s">
        <v>328</v>
      </c>
      <c r="T292" s="18"/>
      <c r="U292" s="17">
        <v>3000</v>
      </c>
      <c r="V292" s="18" t="s">
        <v>77</v>
      </c>
      <c r="W292" s="18" t="s">
        <v>69</v>
      </c>
      <c r="X292" s="16">
        <v>10</v>
      </c>
      <c r="Y292" s="43" t="str">
        <f>HYPERLINK("https://api-enni.alpina.ru/FilePrivilegesApproval/131","https://api-enni.alpina.ru/FilePrivilegesApproval/131")</f>
        <v>https://api-enni.alpina.ru/FilePrivilegesApproval/131</v>
      </c>
      <c r="Z292" s="18" t="s">
        <v>690</v>
      </c>
      <c r="AS292" s="1">
        <f>IF($A292&lt;&gt;0,1,0)</f>
        <v>0</v>
      </c>
      <c r="AT292" s="1">
        <f>$A292*$B292</f>
        <v>0</v>
      </c>
      <c r="AU292" s="1">
        <f>$A292*$O292</f>
        <v>0</v>
      </c>
      <c r="AV292" s="1">
        <f>IF($R292=0,0,INT($A292/$R292))</f>
        <v>0</v>
      </c>
      <c r="AW292" s="1">
        <f>$A292-$AV292*$R292</f>
        <v>0</v>
      </c>
    </row>
    <row r="293" ht="24.95" customHeight="1" outlineLevel="1" s="1" customFormat="1">
      <c r="A293" s="15"/>
      <c r="B293" s="17">
        <v>1990</v>
      </c>
      <c r="C293" s="17">
        <v>2587</v>
      </c>
      <c r="D293" s="16">
        <v>4681</v>
      </c>
      <c r="E293" s="18"/>
      <c r="F293" s="18" t="s">
        <v>602</v>
      </c>
      <c r="G293" s="18" t="s">
        <v>603</v>
      </c>
      <c r="H293" s="18" t="s">
        <v>95</v>
      </c>
      <c r="I293" s="18" t="s">
        <v>74</v>
      </c>
      <c r="J293" s="16">
        <v>2022</v>
      </c>
      <c r="K293" s="18" t="s">
        <v>604</v>
      </c>
      <c r="L293" s="16">
        <v>9785961437881</v>
      </c>
      <c r="M293" s="18" t="s">
        <v>605</v>
      </c>
      <c r="N293" s="16">
        <v>960</v>
      </c>
      <c r="O293" s="19">
        <v>1.44</v>
      </c>
      <c r="P293" s="16">
        <v>168</v>
      </c>
      <c r="Q293" s="16">
        <v>241</v>
      </c>
      <c r="R293" s="16">
        <v>2</v>
      </c>
      <c r="S293" s="18" t="s">
        <v>123</v>
      </c>
      <c r="T293" s="18"/>
      <c r="U293" s="17">
        <v>3000</v>
      </c>
      <c r="V293" s="18" t="s">
        <v>77</v>
      </c>
      <c r="W293" s="18" t="s">
        <v>184</v>
      </c>
      <c r="X293" s="16">
        <v>10</v>
      </c>
      <c r="Y293" s="43" t="str">
        <f>HYPERLINK("https://api-enni.alpina.ru/FilePrivilegesApproval/2","https://api-enni.alpina.ru/FilePrivilegesApproval/2")</f>
        <v>https://api-enni.alpina.ru/FilePrivilegesApproval/2</v>
      </c>
      <c r="Z293" s="18"/>
      <c r="AS293" s="1">
        <f>IF($A293&lt;&gt;0,1,0)</f>
        <v>0</v>
      </c>
      <c r="AT293" s="1">
        <f>$A293*$B293</f>
        <v>0</v>
      </c>
      <c r="AU293" s="1">
        <f>$A293*$O293</f>
        <v>0</v>
      </c>
      <c r="AV293" s="1">
        <f>IF($R293=0,0,INT($A293/$R293))</f>
        <v>0</v>
      </c>
      <c r="AW293" s="1">
        <f>$A293-$AV293*$R293</f>
        <v>0</v>
      </c>
    </row>
    <row r="294" ht="24.95" customHeight="1" outlineLevel="1" s="1" customFormat="1">
      <c r="A294" s="15"/>
      <c r="B294" s="16">
        <v>740</v>
      </c>
      <c r="C294" s="17">
        <v>1073</v>
      </c>
      <c r="D294" s="16">
        <v>32282</v>
      </c>
      <c r="E294" s="18"/>
      <c r="F294" s="18" t="s">
        <v>831</v>
      </c>
      <c r="G294" s="18" t="s">
        <v>832</v>
      </c>
      <c r="H294" s="18" t="s">
        <v>86</v>
      </c>
      <c r="I294" s="18" t="s">
        <v>40</v>
      </c>
      <c r="J294" s="16">
        <v>2026</v>
      </c>
      <c r="K294" s="18" t="s">
        <v>833</v>
      </c>
      <c r="L294" s="16">
        <v>9785006301856</v>
      </c>
      <c r="M294" s="18" t="s">
        <v>834</v>
      </c>
      <c r="N294" s="16">
        <v>308</v>
      </c>
      <c r="O294" s="19">
        <v>0.47</v>
      </c>
      <c r="P294" s="16">
        <v>150</v>
      </c>
      <c r="Q294" s="16">
        <v>220</v>
      </c>
      <c r="R294" s="16">
        <v>14</v>
      </c>
      <c r="S294" s="18" t="s">
        <v>43</v>
      </c>
      <c r="T294" s="18"/>
      <c r="U294" s="17">
        <v>3000</v>
      </c>
      <c r="V294" s="18" t="s">
        <v>77</v>
      </c>
      <c r="W294" s="18" t="s">
        <v>69</v>
      </c>
      <c r="X294" s="16">
        <v>10</v>
      </c>
      <c r="Y294" s="43" t="str">
        <f>HYPERLINK("https://api-enni.alpina.ru/FilePrivilegesApproval/993","https://api-enni.alpina.ru/FilePrivilegesApproval/993")</f>
        <v>https://api-enni.alpina.ru/FilePrivilegesApproval/993</v>
      </c>
      <c r="Z294" s="18" t="s">
        <v>835</v>
      </c>
      <c r="AS294" s="1">
        <f>IF($A294&lt;&gt;0,1,0)</f>
        <v>0</v>
      </c>
      <c r="AT294" s="1">
        <f>$A294*$B294</f>
        <v>0</v>
      </c>
      <c r="AU294" s="1">
        <f>$A294*$O294</f>
        <v>0</v>
      </c>
      <c r="AV294" s="1">
        <f>IF($R294=0,0,INT($A294/$R294))</f>
        <v>0</v>
      </c>
      <c r="AW294" s="1">
        <f>$A294-$AV294*$R294</f>
        <v>0</v>
      </c>
    </row>
    <row r="295" ht="24.95" customHeight="1" outlineLevel="1" s="1" customFormat="1">
      <c r="A295" s="15"/>
      <c r="B295" s="16">
        <v>840</v>
      </c>
      <c r="C295" s="17">
        <v>1218</v>
      </c>
      <c r="D295" s="16">
        <v>8035</v>
      </c>
      <c r="E295" s="18"/>
      <c r="F295" s="18" t="s">
        <v>561</v>
      </c>
      <c r="G295" s="18" t="s">
        <v>1000</v>
      </c>
      <c r="H295" s="18" t="s">
        <v>86</v>
      </c>
      <c r="I295" s="18"/>
      <c r="J295" s="16">
        <v>2025</v>
      </c>
      <c r="K295" s="18" t="s">
        <v>1001</v>
      </c>
      <c r="L295" s="16">
        <v>9785961465419</v>
      </c>
      <c r="M295" s="18" t="s">
        <v>1002</v>
      </c>
      <c r="N295" s="16">
        <v>376</v>
      </c>
      <c r="O295" s="19">
        <v>0.57</v>
      </c>
      <c r="P295" s="16">
        <v>140</v>
      </c>
      <c r="Q295" s="16">
        <v>210</v>
      </c>
      <c r="R295" s="16">
        <v>6</v>
      </c>
      <c r="S295" s="18" t="s">
        <v>43</v>
      </c>
      <c r="T295" s="18"/>
      <c r="U295" s="17">
        <v>6000</v>
      </c>
      <c r="V295" s="18" t="s">
        <v>44</v>
      </c>
      <c r="W295" s="18" t="s">
        <v>91</v>
      </c>
      <c r="X295" s="16">
        <v>10</v>
      </c>
      <c r="Y295" s="43" t="str">
        <f>HYPERLINK("https://api-enni.alpina.ru/FilePrivilegesApproval/152","https://api-enni.alpina.ru/FilePrivilegesApproval/152")</f>
        <v>https://api-enni.alpina.ru/FilePrivilegesApproval/152</v>
      </c>
      <c r="Z295" s="18"/>
      <c r="AS295" s="1">
        <f>IF($A295&lt;&gt;0,1,0)</f>
        <v>0</v>
      </c>
      <c r="AT295" s="1">
        <f>$A295*$B295</f>
        <v>0</v>
      </c>
      <c r="AU295" s="1">
        <f>$A295*$O295</f>
        <v>0</v>
      </c>
      <c r="AV295" s="1">
        <f>IF($R295=0,0,INT($A295/$R295))</f>
        <v>0</v>
      </c>
      <c r="AW295" s="1">
        <f>$A295-$AV295*$R295</f>
        <v>0</v>
      </c>
    </row>
    <row r="296" ht="21.95" customHeight="1" outlineLevel="1" s="1" customFormat="1">
      <c r="A296" s="15"/>
      <c r="B296" s="16">
        <v>590</v>
      </c>
      <c r="C296" s="16">
        <v>885</v>
      </c>
      <c r="D296" s="16">
        <v>29012</v>
      </c>
      <c r="E296" s="18"/>
      <c r="F296" s="18" t="s">
        <v>57</v>
      </c>
      <c r="G296" s="18" t="s">
        <v>782</v>
      </c>
      <c r="H296" s="18" t="s">
        <v>86</v>
      </c>
      <c r="I296" s="18" t="s">
        <v>74</v>
      </c>
      <c r="J296" s="16">
        <v>2026</v>
      </c>
      <c r="K296" s="18" t="s">
        <v>783</v>
      </c>
      <c r="L296" s="16">
        <v>9785961491043</v>
      </c>
      <c r="M296" s="18" t="s">
        <v>784</v>
      </c>
      <c r="N296" s="16">
        <v>370</v>
      </c>
      <c r="O296" s="19">
        <v>0.54</v>
      </c>
      <c r="P296" s="16">
        <v>150</v>
      </c>
      <c r="Q296" s="16">
        <v>220</v>
      </c>
      <c r="R296" s="16">
        <v>10</v>
      </c>
      <c r="S296" s="18" t="s">
        <v>43</v>
      </c>
      <c r="T296" s="18"/>
      <c r="U296" s="17">
        <v>10000</v>
      </c>
      <c r="V296" s="18" t="s">
        <v>77</v>
      </c>
      <c r="W296" s="18" t="s">
        <v>91</v>
      </c>
      <c r="X296" s="16">
        <v>22</v>
      </c>
      <c r="Y296" s="43" t="str">
        <f>HYPERLINK("","")</f>
      </c>
      <c r="Z296" s="18" t="s">
        <v>545</v>
      </c>
      <c r="AS296" s="1">
        <f>IF($A296&lt;&gt;0,1,0)</f>
        <v>0</v>
      </c>
      <c r="AT296" s="1">
        <f>$A296*$B296</f>
        <v>0</v>
      </c>
      <c r="AU296" s="1">
        <f>$A296*$O296</f>
        <v>0</v>
      </c>
      <c r="AV296" s="1">
        <f>IF($R296=0,0,INT($A296/$R296))</f>
        <v>0</v>
      </c>
      <c r="AW296" s="1">
        <f>$A296-$AV296*$R296</f>
        <v>0</v>
      </c>
    </row>
    <row r="297" ht="24.95" customHeight="1" outlineLevel="1" s="1" customFormat="1">
      <c r="A297" s="15"/>
      <c r="B297" s="17">
        <v>1690</v>
      </c>
      <c r="C297" s="17">
        <v>2197</v>
      </c>
      <c r="D297" s="16">
        <v>11409</v>
      </c>
      <c r="E297" s="18"/>
      <c r="F297" s="18" t="s">
        <v>701</v>
      </c>
      <c r="G297" s="18" t="s">
        <v>702</v>
      </c>
      <c r="H297" s="18" t="s">
        <v>86</v>
      </c>
      <c r="I297" s="18"/>
      <c r="J297" s="16">
        <v>2025</v>
      </c>
      <c r="K297" s="18" t="s">
        <v>703</v>
      </c>
      <c r="L297" s="16">
        <v>9785961423747</v>
      </c>
      <c r="M297" s="18" t="s">
        <v>704</v>
      </c>
      <c r="N297" s="16">
        <v>342</v>
      </c>
      <c r="O297" s="19">
        <v>0.65</v>
      </c>
      <c r="P297" s="16">
        <v>170</v>
      </c>
      <c r="Q297" s="16">
        <v>240</v>
      </c>
      <c r="R297" s="16">
        <v>6</v>
      </c>
      <c r="S297" s="18" t="s">
        <v>123</v>
      </c>
      <c r="T297" s="18"/>
      <c r="U297" s="17">
        <v>5000</v>
      </c>
      <c r="V297" s="18" t="s">
        <v>77</v>
      </c>
      <c r="W297" s="18" t="s">
        <v>55</v>
      </c>
      <c r="X297" s="16">
        <v>10</v>
      </c>
      <c r="Y297" s="43" t="str">
        <f>HYPERLINK("https://api-enni.alpina.ru/FilePrivilegesApproval/122","https://api-enni.alpina.ru/FilePrivilegesApproval/122")</f>
        <v>https://api-enni.alpina.ru/FilePrivilegesApproval/122</v>
      </c>
      <c r="Z297" s="18"/>
      <c r="AS297" s="1">
        <f>IF($A297&lt;&gt;0,1,0)</f>
        <v>0</v>
      </c>
      <c r="AT297" s="1">
        <f>$A297*$B297</f>
        <v>0</v>
      </c>
      <c r="AU297" s="1">
        <f>$A297*$O297</f>
        <v>0</v>
      </c>
      <c r="AV297" s="1">
        <f>IF($R297=0,0,INT($A297/$R297))</f>
        <v>0</v>
      </c>
      <c r="AW297" s="1">
        <f>$A297-$AV297*$R297</f>
        <v>0</v>
      </c>
    </row>
    <row r="298" ht="24.95" customHeight="1" outlineLevel="1" s="1" customFormat="1">
      <c r="A298" s="15"/>
      <c r="B298" s="16">
        <v>540</v>
      </c>
      <c r="C298" s="16">
        <v>837</v>
      </c>
      <c r="D298" s="16">
        <v>31499</v>
      </c>
      <c r="E298" s="18"/>
      <c r="F298" s="18" t="s">
        <v>844</v>
      </c>
      <c r="G298" s="18" t="s">
        <v>845</v>
      </c>
      <c r="H298" s="18" t="s">
        <v>39</v>
      </c>
      <c r="I298" s="18"/>
      <c r="J298" s="16">
        <v>2026</v>
      </c>
      <c r="K298" s="18" t="s">
        <v>846</v>
      </c>
      <c r="L298" s="16">
        <v>9785961499063</v>
      </c>
      <c r="M298" s="18" t="s">
        <v>847</v>
      </c>
      <c r="N298" s="16">
        <v>272</v>
      </c>
      <c r="O298" s="19">
        <v>0.24</v>
      </c>
      <c r="P298" s="16">
        <v>140</v>
      </c>
      <c r="Q298" s="16">
        <v>210</v>
      </c>
      <c r="R298" s="16">
        <v>8</v>
      </c>
      <c r="S298" s="18" t="s">
        <v>43</v>
      </c>
      <c r="T298" s="18"/>
      <c r="U298" s="17">
        <v>5000</v>
      </c>
      <c r="V298" s="18" t="s">
        <v>44</v>
      </c>
      <c r="W298" s="18" t="s">
        <v>45</v>
      </c>
      <c r="X298" s="16">
        <v>10</v>
      </c>
      <c r="Y298" s="43" t="str">
        <f>HYPERLINK("https://api-enni.alpina.ru/FilePrivilegesApproval/768","https://api-enni.alpina.ru/FilePrivilegesApproval/768")</f>
        <v>https://api-enni.alpina.ru/FilePrivilegesApproval/768</v>
      </c>
      <c r="Z298" s="18"/>
      <c r="AS298" s="1">
        <f>IF($A298&lt;&gt;0,1,0)</f>
        <v>0</v>
      </c>
      <c r="AT298" s="1">
        <f>$A298*$B298</f>
        <v>0</v>
      </c>
      <c r="AU298" s="1">
        <f>$A298*$O298</f>
        <v>0</v>
      </c>
      <c r="AV298" s="1">
        <f>IF($R298=0,0,INT($A298/$R298))</f>
        <v>0</v>
      </c>
      <c r="AW298" s="1">
        <f>$A298-$AV298*$R298</f>
        <v>0</v>
      </c>
    </row>
    <row r="299" ht="24.95" customHeight="1" outlineLevel="1" s="1" customFormat="1">
      <c r="A299" s="15"/>
      <c r="B299" s="16">
        <v>390</v>
      </c>
      <c r="C299" s="16">
        <v>624</v>
      </c>
      <c r="D299" s="16">
        <v>12811</v>
      </c>
      <c r="E299" s="18"/>
      <c r="F299" s="18" t="s">
        <v>940</v>
      </c>
      <c r="G299" s="18" t="s">
        <v>941</v>
      </c>
      <c r="H299" s="18" t="s">
        <v>86</v>
      </c>
      <c r="I299" s="18" t="s">
        <v>74</v>
      </c>
      <c r="J299" s="16">
        <v>2026</v>
      </c>
      <c r="K299" s="18" t="s">
        <v>942</v>
      </c>
      <c r="L299" s="16">
        <v>9785961427417</v>
      </c>
      <c r="M299" s="18" t="s">
        <v>943</v>
      </c>
      <c r="N299" s="16">
        <v>216</v>
      </c>
      <c r="O299" s="19">
        <v>0.27</v>
      </c>
      <c r="P299" s="16">
        <v>141</v>
      </c>
      <c r="Q299" s="16">
        <v>210</v>
      </c>
      <c r="R299" s="16">
        <v>16</v>
      </c>
      <c r="S299" s="18" t="s">
        <v>43</v>
      </c>
      <c r="T299" s="18" t="s">
        <v>944</v>
      </c>
      <c r="U299" s="17">
        <v>10000</v>
      </c>
      <c r="V299" s="18" t="s">
        <v>44</v>
      </c>
      <c r="W299" s="18" t="s">
        <v>69</v>
      </c>
      <c r="X299" s="16">
        <v>10</v>
      </c>
      <c r="Y299" s="43" t="str">
        <f>HYPERLINK("https://api-enni.alpina.ru/FilePrivilegesApproval/140","https://api-enni.alpina.ru/FilePrivilegesApproval/140")</f>
        <v>https://api-enni.alpina.ru/FilePrivilegesApproval/140</v>
      </c>
      <c r="Z299" s="18" t="s">
        <v>753</v>
      </c>
      <c r="AS299" s="1">
        <f>IF($A299&lt;&gt;0,1,0)</f>
        <v>0</v>
      </c>
      <c r="AT299" s="1">
        <f>$A299*$B299</f>
        <v>0</v>
      </c>
      <c r="AU299" s="1">
        <f>$A299*$O299</f>
        <v>0</v>
      </c>
      <c r="AV299" s="1">
        <f>IF($R299=0,0,INT($A299/$R299))</f>
        <v>0</v>
      </c>
      <c r="AW299" s="1">
        <f>$A299-$AV299*$R299</f>
        <v>0</v>
      </c>
    </row>
    <row r="300" ht="24.95" customHeight="1" outlineLevel="1" s="1" customFormat="1">
      <c r="A300" s="15"/>
      <c r="B300" s="16">
        <v>790</v>
      </c>
      <c r="C300" s="17">
        <v>1146</v>
      </c>
      <c r="D300" s="16">
        <v>17739</v>
      </c>
      <c r="E300" s="18"/>
      <c r="F300" s="18" t="s">
        <v>104</v>
      </c>
      <c r="G300" s="18" t="s">
        <v>105</v>
      </c>
      <c r="H300" s="18" t="s">
        <v>86</v>
      </c>
      <c r="I300" s="18"/>
      <c r="J300" s="16">
        <v>2025</v>
      </c>
      <c r="K300" s="18" t="s">
        <v>580</v>
      </c>
      <c r="L300" s="16">
        <v>9785961433180</v>
      </c>
      <c r="M300" s="18" t="s">
        <v>581</v>
      </c>
      <c r="N300" s="16">
        <v>240</v>
      </c>
      <c r="O300" s="19">
        <v>0.4</v>
      </c>
      <c r="P300" s="16">
        <v>146</v>
      </c>
      <c r="Q300" s="16">
        <v>216</v>
      </c>
      <c r="R300" s="16">
        <v>16</v>
      </c>
      <c r="S300" s="18" t="s">
        <v>43</v>
      </c>
      <c r="T300" s="18"/>
      <c r="U300" s="17">
        <v>6000</v>
      </c>
      <c r="V300" s="18" t="s">
        <v>77</v>
      </c>
      <c r="W300" s="18" t="s">
        <v>55</v>
      </c>
      <c r="X300" s="16">
        <v>10</v>
      </c>
      <c r="Y300" s="43" t="str">
        <f>HYPERLINK("https://api-enni.alpina.ru/FilePrivilegesApproval/77","https://api-enni.alpina.ru/FilePrivilegesApproval/77")</f>
        <v>https://api-enni.alpina.ru/FilePrivilegesApproval/77</v>
      </c>
      <c r="Z300" s="18"/>
      <c r="AS300" s="1">
        <f>IF($A300&lt;&gt;0,1,0)</f>
        <v>0</v>
      </c>
      <c r="AT300" s="1">
        <f>$A300*$B300</f>
        <v>0</v>
      </c>
      <c r="AU300" s="1">
        <f>$A300*$O300</f>
        <v>0</v>
      </c>
      <c r="AV300" s="1">
        <f>IF($R300=0,0,INT($A300/$R300))</f>
        <v>0</v>
      </c>
      <c r="AW300" s="1">
        <f>$A300-$AV300*$R300</f>
        <v>0</v>
      </c>
    </row>
    <row r="301" ht="21.95" customHeight="1" outlineLevel="1" s="1" customFormat="1">
      <c r="A301" s="15"/>
      <c r="B301" s="16">
        <v>854</v>
      </c>
      <c r="C301" s="17">
        <v>1196</v>
      </c>
      <c r="D301" s="16">
        <v>18980</v>
      </c>
      <c r="E301" s="18"/>
      <c r="F301" s="18" t="s">
        <v>452</v>
      </c>
      <c r="G301" s="18" t="s">
        <v>453</v>
      </c>
      <c r="H301" s="18" t="s">
        <v>86</v>
      </c>
      <c r="I301" s="18" t="s">
        <v>87</v>
      </c>
      <c r="J301" s="16">
        <v>2024</v>
      </c>
      <c r="K301" s="18" t="s">
        <v>454</v>
      </c>
      <c r="L301" s="16">
        <v>9785961472929</v>
      </c>
      <c r="M301" s="18" t="s">
        <v>455</v>
      </c>
      <c r="N301" s="16">
        <v>304</v>
      </c>
      <c r="O301" s="19">
        <v>0.54</v>
      </c>
      <c r="P301" s="16">
        <v>150</v>
      </c>
      <c r="Q301" s="16">
        <v>220</v>
      </c>
      <c r="R301" s="16">
        <v>20</v>
      </c>
      <c r="S301" s="18" t="s">
        <v>43</v>
      </c>
      <c r="T301" s="18" t="s">
        <v>53</v>
      </c>
      <c r="U301" s="17">
        <v>24000</v>
      </c>
      <c r="V301" s="18" t="s">
        <v>54</v>
      </c>
      <c r="W301" s="18" t="s">
        <v>55</v>
      </c>
      <c r="X301" s="16">
        <v>22</v>
      </c>
      <c r="Y301" s="43" t="str">
        <f>HYPERLINK("","")</f>
      </c>
      <c r="Z301" s="18"/>
      <c r="AS301" s="1">
        <f>IF($A301&lt;&gt;0,1,0)</f>
        <v>0</v>
      </c>
      <c r="AT301" s="1">
        <f>$A301*$B301</f>
        <v>0</v>
      </c>
      <c r="AU301" s="1">
        <f>$A301*$O301</f>
        <v>0</v>
      </c>
      <c r="AV301" s="1">
        <f>IF($R301=0,0,INT($A301/$R301))</f>
        <v>0</v>
      </c>
      <c r="AW301" s="1">
        <f>$A301-$AV301*$R301</f>
        <v>0</v>
      </c>
    </row>
    <row r="302" ht="24.95" customHeight="1" outlineLevel="1" s="1" customFormat="1">
      <c r="A302" s="15"/>
      <c r="B302" s="16">
        <v>590</v>
      </c>
      <c r="C302" s="16">
        <v>885</v>
      </c>
      <c r="D302" s="16">
        <v>27355</v>
      </c>
      <c r="E302" s="18"/>
      <c r="F302" s="18" t="s">
        <v>827</v>
      </c>
      <c r="G302" s="18" t="s">
        <v>828</v>
      </c>
      <c r="H302" s="18" t="s">
        <v>73</v>
      </c>
      <c r="I302" s="18"/>
      <c r="J302" s="16">
        <v>2026</v>
      </c>
      <c r="K302" s="18" t="s">
        <v>829</v>
      </c>
      <c r="L302" s="16">
        <v>9785001399209</v>
      </c>
      <c r="M302" s="18" t="s">
        <v>830</v>
      </c>
      <c r="N302" s="16">
        <v>686</v>
      </c>
      <c r="O302" s="19">
        <v>0.44</v>
      </c>
      <c r="P302" s="16">
        <v>120</v>
      </c>
      <c r="Q302" s="16">
        <v>170</v>
      </c>
      <c r="R302" s="16">
        <v>4</v>
      </c>
      <c r="S302" s="18" t="s">
        <v>190</v>
      </c>
      <c r="T302" s="18" t="s">
        <v>491</v>
      </c>
      <c r="U302" s="17">
        <v>3000</v>
      </c>
      <c r="V302" s="18" t="s">
        <v>44</v>
      </c>
      <c r="W302" s="18" t="s">
        <v>184</v>
      </c>
      <c r="X302" s="16">
        <v>10</v>
      </c>
      <c r="Y302" s="43" t="str">
        <f>HYPERLINK("https://api-enni.alpina.ru/FilePrivilegesApproval/145","https://api-enni.alpina.ru/FilePrivilegesApproval/145")</f>
        <v>https://api-enni.alpina.ru/FilePrivilegesApproval/145</v>
      </c>
      <c r="Z302" s="18"/>
      <c r="AS302" s="1">
        <f>IF($A302&lt;&gt;0,1,0)</f>
        <v>0</v>
      </c>
      <c r="AT302" s="1">
        <f>$A302*$B302</f>
        <v>0</v>
      </c>
      <c r="AU302" s="1">
        <f>$A302*$O302</f>
        <v>0</v>
      </c>
      <c r="AV302" s="1">
        <f>IF($R302=0,0,INT($A302/$R302))</f>
        <v>0</v>
      </c>
      <c r="AW302" s="1">
        <f>$A302-$AV302*$R302</f>
        <v>0</v>
      </c>
    </row>
    <row r="303" ht="24.95" customHeight="1" outlineLevel="1" s="1" customFormat="1">
      <c r="A303" s="15"/>
      <c r="B303" s="16">
        <v>590</v>
      </c>
      <c r="C303" s="16">
        <v>885</v>
      </c>
      <c r="D303" s="16">
        <v>22620</v>
      </c>
      <c r="E303" s="18"/>
      <c r="F303" s="18" t="s">
        <v>910</v>
      </c>
      <c r="G303" s="18" t="s">
        <v>911</v>
      </c>
      <c r="H303" s="18" t="s">
        <v>86</v>
      </c>
      <c r="I303" s="18"/>
      <c r="J303" s="16">
        <v>2025</v>
      </c>
      <c r="K303" s="18" t="s">
        <v>912</v>
      </c>
      <c r="L303" s="16">
        <v>9785961457766</v>
      </c>
      <c r="M303" s="18" t="s">
        <v>913</v>
      </c>
      <c r="N303" s="16">
        <v>296</v>
      </c>
      <c r="O303" s="19">
        <v>0.46</v>
      </c>
      <c r="P303" s="16">
        <v>150</v>
      </c>
      <c r="Q303" s="16">
        <v>220</v>
      </c>
      <c r="R303" s="16">
        <v>14</v>
      </c>
      <c r="S303" s="18" t="s">
        <v>43</v>
      </c>
      <c r="T303" s="18"/>
      <c r="U303" s="17">
        <v>25000</v>
      </c>
      <c r="V303" s="18" t="s">
        <v>77</v>
      </c>
      <c r="W303" s="18" t="s">
        <v>69</v>
      </c>
      <c r="X303" s="16">
        <v>10</v>
      </c>
      <c r="Y303" s="43" t="str">
        <f>HYPERLINK("https://api-enni.alpina.ru/FilePrivilegesApproval/156","https://api-enni.alpina.ru/FilePrivilegesApproval/156")</f>
        <v>https://api-enni.alpina.ru/FilePrivilegesApproval/156</v>
      </c>
      <c r="Z303" s="18"/>
      <c r="AS303" s="1">
        <f>IF($A303&lt;&gt;0,1,0)</f>
        <v>0</v>
      </c>
      <c r="AT303" s="1">
        <f>$A303*$B303</f>
        <v>0</v>
      </c>
      <c r="AU303" s="1">
        <f>$A303*$O303</f>
        <v>0</v>
      </c>
      <c r="AV303" s="1">
        <f>IF($R303=0,0,INT($A303/$R303))</f>
        <v>0</v>
      </c>
      <c r="AW303" s="1">
        <f>$A303-$AV303*$R303</f>
        <v>0</v>
      </c>
    </row>
    <row r="304" ht="24.95" customHeight="1" outlineLevel="1" s="1" customFormat="1">
      <c r="A304" s="15"/>
      <c r="B304" s="16">
        <v>340</v>
      </c>
      <c r="C304" s="16">
        <v>544</v>
      </c>
      <c r="D304" s="16">
        <v>12081</v>
      </c>
      <c r="E304" s="18"/>
      <c r="F304" s="18" t="s">
        <v>447</v>
      </c>
      <c r="G304" s="18" t="s">
        <v>448</v>
      </c>
      <c r="H304" s="18" t="s">
        <v>86</v>
      </c>
      <c r="I304" s="18" t="s">
        <v>74</v>
      </c>
      <c r="J304" s="16">
        <v>2026</v>
      </c>
      <c r="K304" s="18" t="s">
        <v>449</v>
      </c>
      <c r="L304" s="16">
        <v>9785961421330</v>
      </c>
      <c r="M304" s="18" t="s">
        <v>450</v>
      </c>
      <c r="N304" s="16">
        <v>243</v>
      </c>
      <c r="O304" s="19">
        <v>0.17</v>
      </c>
      <c r="P304" s="16">
        <v>120</v>
      </c>
      <c r="Q304" s="16">
        <v>170</v>
      </c>
      <c r="R304" s="16">
        <v>14</v>
      </c>
      <c r="S304" s="18" t="s">
        <v>190</v>
      </c>
      <c r="T304" s="18" t="s">
        <v>451</v>
      </c>
      <c r="U304" s="17">
        <v>4000</v>
      </c>
      <c r="V304" s="18" t="s">
        <v>44</v>
      </c>
      <c r="W304" s="18" t="s">
        <v>184</v>
      </c>
      <c r="X304" s="16">
        <v>10</v>
      </c>
      <c r="Y304" s="43" t="str">
        <f>HYPERLINK("https://api-enni.alpina.ru/FilePrivilegesApproval/121","https://api-enni.alpina.ru/FilePrivilegesApproval/121")</f>
        <v>https://api-enni.alpina.ru/FilePrivilegesApproval/121</v>
      </c>
      <c r="Z304" s="18"/>
      <c r="AS304" s="1">
        <f>IF($A304&lt;&gt;0,1,0)</f>
        <v>0</v>
      </c>
      <c r="AT304" s="1">
        <f>$A304*$B304</f>
        <v>0</v>
      </c>
      <c r="AU304" s="1">
        <f>$A304*$O304</f>
        <v>0</v>
      </c>
      <c r="AV304" s="1">
        <f>IF($R304=0,0,INT($A304/$R304))</f>
        <v>0</v>
      </c>
      <c r="AW304" s="1">
        <f>$A304-$AV304*$R304</f>
        <v>0</v>
      </c>
    </row>
    <row r="305" ht="24.95" customHeight="1" outlineLevel="1" s="1" customFormat="1">
      <c r="A305" s="15"/>
      <c r="B305" s="16">
        <v>390</v>
      </c>
      <c r="C305" s="16">
        <v>624</v>
      </c>
      <c r="D305" s="16">
        <v>29785</v>
      </c>
      <c r="E305" s="18"/>
      <c r="F305" s="18" t="s">
        <v>884</v>
      </c>
      <c r="G305" s="18" t="s">
        <v>885</v>
      </c>
      <c r="H305" s="18" t="s">
        <v>86</v>
      </c>
      <c r="I305" s="18" t="s">
        <v>74</v>
      </c>
      <c r="J305" s="16">
        <v>2026</v>
      </c>
      <c r="K305" s="18" t="s">
        <v>886</v>
      </c>
      <c r="L305" s="16">
        <v>9785961493887</v>
      </c>
      <c r="M305" s="18" t="s">
        <v>887</v>
      </c>
      <c r="N305" s="16">
        <v>380</v>
      </c>
      <c r="O305" s="19">
        <v>0.3</v>
      </c>
      <c r="P305" s="16">
        <v>120</v>
      </c>
      <c r="Q305" s="16">
        <v>170</v>
      </c>
      <c r="R305" s="16">
        <v>10</v>
      </c>
      <c r="S305" s="18" t="s">
        <v>190</v>
      </c>
      <c r="T305" s="18" t="s">
        <v>491</v>
      </c>
      <c r="U305" s="17">
        <v>5000</v>
      </c>
      <c r="V305" s="18" t="s">
        <v>44</v>
      </c>
      <c r="W305" s="18" t="s">
        <v>45</v>
      </c>
      <c r="X305" s="16">
        <v>10</v>
      </c>
      <c r="Y305" s="43" t="str">
        <f>HYPERLINK("https://api-enni.alpina.ru/FilePrivilegesApproval/1189","https://api-enni.alpina.ru/FilePrivilegesApproval/1189")</f>
        <v>https://api-enni.alpina.ru/FilePrivilegesApproval/1189</v>
      </c>
      <c r="Z305" s="18"/>
      <c r="AS305" s="1">
        <f>IF($A305&lt;&gt;0,1,0)</f>
        <v>0</v>
      </c>
      <c r="AT305" s="1">
        <f>$A305*$B305</f>
        <v>0</v>
      </c>
      <c r="AU305" s="1">
        <f>$A305*$O305</f>
        <v>0</v>
      </c>
      <c r="AV305" s="1">
        <f>IF($R305=0,0,INT($A305/$R305))</f>
        <v>0</v>
      </c>
      <c r="AW305" s="1">
        <f>$A305-$AV305*$R305</f>
        <v>0</v>
      </c>
    </row>
    <row r="306" ht="24.95" customHeight="1" outlineLevel="1" s="1" customFormat="1">
      <c r="A306" s="15"/>
      <c r="B306" s="17">
        <v>1490</v>
      </c>
      <c r="C306" s="17">
        <v>2012</v>
      </c>
      <c r="D306" s="16">
        <v>8429</v>
      </c>
      <c r="E306" s="18"/>
      <c r="F306" s="18" t="s">
        <v>691</v>
      </c>
      <c r="G306" s="18" t="s">
        <v>692</v>
      </c>
      <c r="H306" s="18" t="s">
        <v>86</v>
      </c>
      <c r="I306" s="18" t="s">
        <v>74</v>
      </c>
      <c r="J306" s="16">
        <v>2026</v>
      </c>
      <c r="K306" s="18" t="s">
        <v>693</v>
      </c>
      <c r="L306" s="16">
        <v>9785961420814</v>
      </c>
      <c r="M306" s="18" t="s">
        <v>694</v>
      </c>
      <c r="N306" s="16">
        <v>328</v>
      </c>
      <c r="O306" s="19">
        <v>0.95</v>
      </c>
      <c r="P306" s="16">
        <v>190</v>
      </c>
      <c r="Q306" s="16">
        <v>250</v>
      </c>
      <c r="R306" s="16">
        <v>5</v>
      </c>
      <c r="S306" s="18" t="s">
        <v>328</v>
      </c>
      <c r="T306" s="18"/>
      <c r="U306" s="17">
        <v>3000</v>
      </c>
      <c r="V306" s="18" t="s">
        <v>44</v>
      </c>
      <c r="W306" s="18" t="s">
        <v>91</v>
      </c>
      <c r="X306" s="16">
        <v>10</v>
      </c>
      <c r="Y306" s="43" t="str">
        <f>HYPERLINK("https://api-enni.alpina.ru/FilePrivilegesApproval/141","https://api-enni.alpina.ru/FilePrivilegesApproval/141")</f>
        <v>https://api-enni.alpina.ru/FilePrivilegesApproval/141</v>
      </c>
      <c r="Z306" s="18" t="s">
        <v>695</v>
      </c>
      <c r="AS306" s="1">
        <f>IF($A306&lt;&gt;0,1,0)</f>
        <v>0</v>
      </c>
      <c r="AT306" s="1">
        <f>$A306*$B306</f>
        <v>0</v>
      </c>
      <c r="AU306" s="1">
        <f>$A306*$O306</f>
        <v>0</v>
      </c>
      <c r="AV306" s="1">
        <f>IF($R306=0,0,INT($A306/$R306))</f>
        <v>0</v>
      </c>
      <c r="AW306" s="1">
        <f>$A306-$AV306*$R306</f>
        <v>0</v>
      </c>
    </row>
    <row r="307" ht="24.95" customHeight="1" outlineLevel="1" s="1" customFormat="1">
      <c r="A307" s="15"/>
      <c r="B307" s="16">
        <v>640</v>
      </c>
      <c r="C307" s="16">
        <v>960</v>
      </c>
      <c r="D307" s="16">
        <v>32291</v>
      </c>
      <c r="E307" s="18"/>
      <c r="F307" s="18" t="s">
        <v>978</v>
      </c>
      <c r="G307" s="18" t="s">
        <v>979</v>
      </c>
      <c r="H307" s="18" t="s">
        <v>86</v>
      </c>
      <c r="I307" s="18" t="s">
        <v>74</v>
      </c>
      <c r="J307" s="16">
        <v>2026</v>
      </c>
      <c r="K307" s="18" t="s">
        <v>980</v>
      </c>
      <c r="L307" s="16">
        <v>9785006302167</v>
      </c>
      <c r="M307" s="18" t="s">
        <v>981</v>
      </c>
      <c r="N307" s="16">
        <v>268</v>
      </c>
      <c r="O307" s="19">
        <v>0.43</v>
      </c>
      <c r="P307" s="16">
        <v>150</v>
      </c>
      <c r="Q307" s="16">
        <v>220</v>
      </c>
      <c r="R307" s="16">
        <v>14</v>
      </c>
      <c r="S307" s="18" t="s">
        <v>43</v>
      </c>
      <c r="T307" s="18"/>
      <c r="U307" s="17">
        <v>3000</v>
      </c>
      <c r="V307" s="18" t="s">
        <v>77</v>
      </c>
      <c r="W307" s="18" t="s">
        <v>69</v>
      </c>
      <c r="X307" s="16">
        <v>10</v>
      </c>
      <c r="Y307" s="43" t="str">
        <f>HYPERLINK("https://api-enni.alpina.ru/FilePrivilegesApproval/771","https://api-enni.alpina.ru/FilePrivilegesApproval/771")</f>
        <v>https://api-enni.alpina.ru/FilePrivilegesApproval/771</v>
      </c>
      <c r="Z307" s="18"/>
      <c r="AS307" s="1">
        <f>IF($A307&lt;&gt;0,1,0)</f>
        <v>0</v>
      </c>
      <c r="AT307" s="1">
        <f>$A307*$B307</f>
        <v>0</v>
      </c>
      <c r="AU307" s="1">
        <f>$A307*$O307</f>
        <v>0</v>
      </c>
      <c r="AV307" s="1">
        <f>IF($R307=0,0,INT($A307/$R307))</f>
        <v>0</v>
      </c>
      <c r="AW307" s="1">
        <f>$A307-$AV307*$R307</f>
        <v>0</v>
      </c>
    </row>
    <row r="308" ht="21.95" customHeight="1" outlineLevel="1" s="1" customFormat="1">
      <c r="A308" s="15"/>
      <c r="B308" s="16">
        <v>854</v>
      </c>
      <c r="C308" s="17">
        <v>1196</v>
      </c>
      <c r="D308" s="16">
        <v>18111</v>
      </c>
      <c r="E308" s="18"/>
      <c r="F308" s="18" t="s">
        <v>452</v>
      </c>
      <c r="G308" s="18" t="s">
        <v>466</v>
      </c>
      <c r="H308" s="18" t="s">
        <v>86</v>
      </c>
      <c r="I308" s="18" t="s">
        <v>87</v>
      </c>
      <c r="J308" s="16">
        <v>2025</v>
      </c>
      <c r="K308" s="18" t="s">
        <v>467</v>
      </c>
      <c r="L308" s="16">
        <v>9785961433265</v>
      </c>
      <c r="M308" s="18" t="s">
        <v>468</v>
      </c>
      <c r="N308" s="16">
        <v>286</v>
      </c>
      <c r="O308" s="19">
        <v>0.52</v>
      </c>
      <c r="P308" s="16">
        <v>150</v>
      </c>
      <c r="Q308" s="16">
        <v>215</v>
      </c>
      <c r="R308" s="16">
        <v>20</v>
      </c>
      <c r="S308" s="18" t="s">
        <v>43</v>
      </c>
      <c r="T308" s="18" t="s">
        <v>53</v>
      </c>
      <c r="U308" s="17">
        <v>20000</v>
      </c>
      <c r="V308" s="18" t="s">
        <v>54</v>
      </c>
      <c r="W308" s="18" t="s">
        <v>55</v>
      </c>
      <c r="X308" s="16">
        <v>22</v>
      </c>
      <c r="Y308" s="43" t="str">
        <f>HYPERLINK("","")</f>
      </c>
      <c r="Z308" s="18"/>
      <c r="AS308" s="1">
        <f>IF($A308&lt;&gt;0,1,0)</f>
        <v>0</v>
      </c>
      <c r="AT308" s="1">
        <f>$A308*$B308</f>
        <v>0</v>
      </c>
      <c r="AU308" s="1">
        <f>$A308*$O308</f>
        <v>0</v>
      </c>
      <c r="AV308" s="1">
        <f>IF($R308=0,0,INT($A308/$R308))</f>
        <v>0</v>
      </c>
      <c r="AW308" s="1">
        <f>$A308-$AV308*$R308</f>
        <v>0</v>
      </c>
    </row>
    <row r="309" ht="24.95" customHeight="1" outlineLevel="1" s="1" customFormat="1">
      <c r="A309" s="15"/>
      <c r="B309" s="16">
        <v>970</v>
      </c>
      <c r="C309" s="17">
        <v>1358</v>
      </c>
      <c r="D309" s="16">
        <v>28179</v>
      </c>
      <c r="E309" s="18"/>
      <c r="F309" s="18" t="s">
        <v>524</v>
      </c>
      <c r="G309" s="18" t="s">
        <v>525</v>
      </c>
      <c r="H309" s="18" t="s">
        <v>49</v>
      </c>
      <c r="I309" s="18" t="s">
        <v>87</v>
      </c>
      <c r="J309" s="16">
        <v>2026</v>
      </c>
      <c r="K309" s="18" t="s">
        <v>526</v>
      </c>
      <c r="L309" s="16">
        <v>9785961487497</v>
      </c>
      <c r="M309" s="18" t="s">
        <v>527</v>
      </c>
      <c r="N309" s="16">
        <v>104</v>
      </c>
      <c r="O309" s="19">
        <v>0.33</v>
      </c>
      <c r="P309" s="16">
        <v>210</v>
      </c>
      <c r="Q309" s="16">
        <v>210</v>
      </c>
      <c r="R309" s="16">
        <v>12</v>
      </c>
      <c r="S309" s="18" t="s">
        <v>83</v>
      </c>
      <c r="T309" s="18" t="s">
        <v>183</v>
      </c>
      <c r="U309" s="17">
        <v>5000</v>
      </c>
      <c r="V309" s="18" t="s">
        <v>77</v>
      </c>
      <c r="W309" s="18" t="s">
        <v>184</v>
      </c>
      <c r="X309" s="16">
        <v>10</v>
      </c>
      <c r="Y309" s="18" t="s">
        <v>528</v>
      </c>
      <c r="Z309" s="18" t="s">
        <v>149</v>
      </c>
      <c r="AS309" s="1">
        <f>IF($A309&lt;&gt;0,1,0)</f>
        <v>0</v>
      </c>
      <c r="AT309" s="1">
        <f>$A309*$B309</f>
        <v>0</v>
      </c>
      <c r="AU309" s="1">
        <f>$A309*$O309</f>
        <v>0</v>
      </c>
      <c r="AV309" s="1">
        <f>IF($R309=0,0,INT($A309/$R309))</f>
        <v>0</v>
      </c>
      <c r="AW309" s="1">
        <f>$A309-$AV309*$R309</f>
        <v>0</v>
      </c>
    </row>
    <row r="310" ht="24.95" customHeight="1" outlineLevel="1" s="1" customFormat="1">
      <c r="A310" s="15"/>
      <c r="B310" s="17">
        <v>1990</v>
      </c>
      <c r="C310" s="17">
        <v>2587</v>
      </c>
      <c r="D310" s="16">
        <v>2431</v>
      </c>
      <c r="E310" s="18"/>
      <c r="F310" s="18" t="s">
        <v>812</v>
      </c>
      <c r="G310" s="18" t="s">
        <v>813</v>
      </c>
      <c r="H310" s="18" t="s">
        <v>86</v>
      </c>
      <c r="I310" s="18" t="s">
        <v>74</v>
      </c>
      <c r="J310" s="16">
        <v>2026</v>
      </c>
      <c r="K310" s="18" t="s">
        <v>814</v>
      </c>
      <c r="L310" s="16">
        <v>9785961470758</v>
      </c>
      <c r="M310" s="18" t="s">
        <v>815</v>
      </c>
      <c r="N310" s="16">
        <v>288</v>
      </c>
      <c r="O310" s="19">
        <v>0.69</v>
      </c>
      <c r="P310" s="16">
        <v>240</v>
      </c>
      <c r="Q310" s="16">
        <v>190</v>
      </c>
      <c r="R310" s="16">
        <v>8</v>
      </c>
      <c r="S310" s="18" t="s">
        <v>328</v>
      </c>
      <c r="T310" s="18" t="s">
        <v>816</v>
      </c>
      <c r="U310" s="17">
        <v>3000</v>
      </c>
      <c r="V310" s="18" t="s">
        <v>44</v>
      </c>
      <c r="W310" s="18" t="s">
        <v>184</v>
      </c>
      <c r="X310" s="16">
        <v>10</v>
      </c>
      <c r="Y310" s="43" t="str">
        <f>HYPERLINK("https://api-enni.alpina.ru/FilePrivilegesApproval/2","https://api-enni.alpina.ru/FilePrivilegesApproval/2")</f>
        <v>https://api-enni.alpina.ru/FilePrivilegesApproval/2</v>
      </c>
      <c r="Z310" s="18"/>
      <c r="AS310" s="1">
        <f>IF($A310&lt;&gt;0,1,0)</f>
        <v>0</v>
      </c>
      <c r="AT310" s="1">
        <f>$A310*$B310</f>
        <v>0</v>
      </c>
      <c r="AU310" s="1">
        <f>$A310*$O310</f>
        <v>0</v>
      </c>
      <c r="AV310" s="1">
        <f>IF($R310=0,0,INT($A310/$R310))</f>
        <v>0</v>
      </c>
      <c r="AW310" s="1">
        <f>$A310-$AV310*$R310</f>
        <v>0</v>
      </c>
    </row>
    <row r="311" ht="15" customHeight="1">
      <c r="A311" s="39" t="s">
        <v>1024</v>
      </c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22"/>
    </row>
    <row r="312" ht="15" customHeight="1" outlineLevel="1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23"/>
      <c r="AS312" s="0">
        <f>IF($A312&lt;&gt;0,1,0)</f>
        <v>0</v>
      </c>
      <c r="AT312" s="0">
        <f>$A312*$B312</f>
        <v>0</v>
      </c>
      <c r="AU312" s="0">
        <f>$A312*$O312</f>
        <v>0</v>
      </c>
      <c r="AV312" s="0">
        <f>IF($R312=0,0,INT($A312/$R312))</f>
        <v>0</v>
      </c>
      <c r="AW312" s="0">
        <f>$A312-$AV312*$R312</f>
        <v>0</v>
      </c>
    </row>
    <row r="313" ht="11.1" customHeight="1" outlineLevel="2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24"/>
      <c r="AS313" s="0">
        <f>IF($A313&lt;&gt;0,1,0)</f>
        <v>0</v>
      </c>
      <c r="AT313" s="0">
        <f>$A313*$B313</f>
        <v>0</v>
      </c>
      <c r="AU313" s="0">
        <f>$A313*$O313</f>
        <v>0</v>
      </c>
      <c r="AV313" s="0">
        <f>IF($R313=0,0,INT($A313/$R313))</f>
        <v>0</v>
      </c>
      <c r="AW313" s="0">
        <f>$A313-$AV313*$R313</f>
        <v>0</v>
      </c>
    </row>
    <row r="314" ht="15" customHeight="1" outlineLevel="1">
      <c r="A314" s="40" t="s">
        <v>1025</v>
      </c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23"/>
    </row>
    <row r="315" ht="11.1" customHeight="1" outlineLevel="2">
      <c r="A315" s="41" t="s">
        <v>1026</v>
      </c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24"/>
    </row>
    <row r="316" ht="24.95" customHeight="1" outlineLevel="3" s="1" customFormat="1">
      <c r="A316" s="15"/>
      <c r="B316" s="16">
        <v>390</v>
      </c>
      <c r="C316" s="16">
        <v>624</v>
      </c>
      <c r="D316" s="16">
        <v>33639</v>
      </c>
      <c r="E316" s="18"/>
      <c r="F316" s="18" t="s">
        <v>955</v>
      </c>
      <c r="G316" s="18" t="s">
        <v>1027</v>
      </c>
      <c r="H316" s="18" t="s">
        <v>86</v>
      </c>
      <c r="I316" s="18" t="s">
        <v>87</v>
      </c>
      <c r="J316" s="16">
        <v>2026</v>
      </c>
      <c r="K316" s="18" t="s">
        <v>1028</v>
      </c>
      <c r="L316" s="16">
        <v>9785006305229</v>
      </c>
      <c r="M316" s="18" t="s">
        <v>1029</v>
      </c>
      <c r="N316" s="16">
        <v>204</v>
      </c>
      <c r="O316" s="19">
        <v>0.17</v>
      </c>
      <c r="P316" s="16">
        <v>120</v>
      </c>
      <c r="Q316" s="16">
        <v>170</v>
      </c>
      <c r="R316" s="16">
        <v>24</v>
      </c>
      <c r="S316" s="18" t="s">
        <v>190</v>
      </c>
      <c r="T316" s="18"/>
      <c r="U316" s="17">
        <v>5000</v>
      </c>
      <c r="V316" s="18" t="s">
        <v>44</v>
      </c>
      <c r="W316" s="18" t="s">
        <v>91</v>
      </c>
      <c r="X316" s="16">
        <v>10</v>
      </c>
      <c r="Y316" s="43" t="str">
        <f>HYPERLINK("https://api-enni.alpina.ru/FilePrivilegesApproval/1033","https://api-enni.alpina.ru/FilePrivilegesApproval/1033")</f>
        <v>https://api-enni.alpina.ru/FilePrivilegesApproval/1033</v>
      </c>
      <c r="Z316" s="18"/>
      <c r="AS316" s="1">
        <f>IF($A316&lt;&gt;0,1,0)</f>
        <v>0</v>
      </c>
      <c r="AT316" s="1">
        <f>$A316*$B316</f>
        <v>0</v>
      </c>
      <c r="AU316" s="1">
        <f>$A316*$O316</f>
        <v>0</v>
      </c>
      <c r="AV316" s="1">
        <f>IF($R316=0,0,INT($A316/$R316))</f>
        <v>0</v>
      </c>
      <c r="AW316" s="1">
        <f>$A316-$AV316*$R316</f>
        <v>0</v>
      </c>
    </row>
    <row r="317" ht="24.95" customHeight="1" outlineLevel="3" s="1" customFormat="1">
      <c r="A317" s="15"/>
      <c r="B317" s="16">
        <v>540</v>
      </c>
      <c r="C317" s="16">
        <v>837</v>
      </c>
      <c r="D317" s="16">
        <v>27607</v>
      </c>
      <c r="E317" s="18"/>
      <c r="F317" s="18" t="s">
        <v>1030</v>
      </c>
      <c r="G317" s="18" t="s">
        <v>1031</v>
      </c>
      <c r="H317" s="18" t="s">
        <v>86</v>
      </c>
      <c r="I317" s="18"/>
      <c r="J317" s="16">
        <v>2025</v>
      </c>
      <c r="K317" s="18" t="s">
        <v>1032</v>
      </c>
      <c r="L317" s="16">
        <v>9785961485837</v>
      </c>
      <c r="M317" s="18" t="s">
        <v>1033</v>
      </c>
      <c r="N317" s="16">
        <v>266</v>
      </c>
      <c r="O317" s="19">
        <v>0.33</v>
      </c>
      <c r="P317" s="16">
        <v>150</v>
      </c>
      <c r="Q317" s="16">
        <v>210</v>
      </c>
      <c r="R317" s="16">
        <v>10</v>
      </c>
      <c r="S317" s="18" t="s">
        <v>43</v>
      </c>
      <c r="T317" s="18"/>
      <c r="U317" s="17">
        <v>1000</v>
      </c>
      <c r="V317" s="18" t="s">
        <v>44</v>
      </c>
      <c r="W317" s="18" t="s">
        <v>69</v>
      </c>
      <c r="X317" s="16">
        <v>10</v>
      </c>
      <c r="Y317" s="43" t="str">
        <f>HYPERLINK("https://api-enni.alpina.ru/FilePrivilegesApproval/228","https://api-enni.alpina.ru/FilePrivilegesApproval/228")</f>
        <v>https://api-enni.alpina.ru/FilePrivilegesApproval/228</v>
      </c>
      <c r="Z317" s="18"/>
      <c r="AS317" s="1">
        <f>IF($A317&lt;&gt;0,1,0)</f>
        <v>0</v>
      </c>
      <c r="AT317" s="1">
        <f>$A317*$B317</f>
        <v>0</v>
      </c>
      <c r="AU317" s="1">
        <f>$A317*$O317</f>
        <v>0</v>
      </c>
      <c r="AV317" s="1">
        <f>IF($R317=0,0,INT($A317/$R317))</f>
        <v>0</v>
      </c>
      <c r="AW317" s="1">
        <f>$A317-$AV317*$R317</f>
        <v>0</v>
      </c>
    </row>
    <row r="318" ht="24.95" customHeight="1" outlineLevel="3" s="1" customFormat="1">
      <c r="A318" s="15"/>
      <c r="B318" s="16">
        <v>890</v>
      </c>
      <c r="C318" s="17">
        <v>1246</v>
      </c>
      <c r="D318" s="16">
        <v>36384</v>
      </c>
      <c r="E318" s="18"/>
      <c r="F318" s="18" t="s">
        <v>1034</v>
      </c>
      <c r="G318" s="18" t="s">
        <v>1035</v>
      </c>
      <c r="H318" s="18" t="s">
        <v>95</v>
      </c>
      <c r="I318" s="18" t="s">
        <v>160</v>
      </c>
      <c r="J318" s="16">
        <v>2026</v>
      </c>
      <c r="K318" s="18" t="s">
        <v>1036</v>
      </c>
      <c r="L318" s="16">
        <v>9785206006490</v>
      </c>
      <c r="M318" s="18" t="s">
        <v>1037</v>
      </c>
      <c r="N318" s="16">
        <v>176</v>
      </c>
      <c r="O318" s="19">
        <v>0.3</v>
      </c>
      <c r="P318" s="16">
        <v>150</v>
      </c>
      <c r="Q318" s="16">
        <v>220</v>
      </c>
      <c r="R318" s="16">
        <v>10</v>
      </c>
      <c r="S318" s="18" t="s">
        <v>43</v>
      </c>
      <c r="T318" s="18"/>
      <c r="U318" s="17">
        <v>1000</v>
      </c>
      <c r="V318" s="18" t="s">
        <v>77</v>
      </c>
      <c r="W318" s="18" t="s">
        <v>69</v>
      </c>
      <c r="X318" s="16">
        <v>10</v>
      </c>
      <c r="Y318" s="43" t="str">
        <f>HYPERLINK("https://api-enni.alpina.ru/FilePrivilegesApproval/1100","https://api-enni.alpina.ru/FilePrivilegesApproval/1100")</f>
        <v>https://api-enni.alpina.ru/FilePrivilegesApproval/1100</v>
      </c>
      <c r="Z318" s="18"/>
      <c r="AS318" s="1">
        <f>IF($A318&lt;&gt;0,1,0)</f>
        <v>0</v>
      </c>
      <c r="AT318" s="1">
        <f>$A318*$B318</f>
        <v>0</v>
      </c>
      <c r="AU318" s="1">
        <f>$A318*$O318</f>
        <v>0</v>
      </c>
      <c r="AV318" s="1">
        <f>IF($R318=0,0,INT($A318/$R318))</f>
        <v>0</v>
      </c>
      <c r="AW318" s="1">
        <f>$A318-$AV318*$R318</f>
        <v>0</v>
      </c>
    </row>
    <row r="319" ht="24.95" customHeight="1" outlineLevel="3" s="1" customFormat="1">
      <c r="A319" s="15"/>
      <c r="B319" s="16">
        <v>690</v>
      </c>
      <c r="C319" s="17">
        <v>1035</v>
      </c>
      <c r="D319" s="16">
        <v>34370</v>
      </c>
      <c r="E319" s="18"/>
      <c r="F319" s="18" t="s">
        <v>1038</v>
      </c>
      <c r="G319" s="18" t="s">
        <v>1039</v>
      </c>
      <c r="H319" s="18" t="s">
        <v>86</v>
      </c>
      <c r="I319" s="18" t="s">
        <v>74</v>
      </c>
      <c r="J319" s="16">
        <v>2026</v>
      </c>
      <c r="K319" s="18" t="s">
        <v>1040</v>
      </c>
      <c r="L319" s="16">
        <v>9785006307322</v>
      </c>
      <c r="M319" s="18" t="s">
        <v>1041</v>
      </c>
      <c r="N319" s="16">
        <v>314</v>
      </c>
      <c r="O319" s="19">
        <v>0.4</v>
      </c>
      <c r="P319" s="16">
        <v>150</v>
      </c>
      <c r="Q319" s="16">
        <v>220</v>
      </c>
      <c r="R319" s="16">
        <v>12</v>
      </c>
      <c r="S319" s="18" t="s">
        <v>43</v>
      </c>
      <c r="T319" s="18"/>
      <c r="U319" s="17">
        <v>2000</v>
      </c>
      <c r="V319" s="18" t="s">
        <v>77</v>
      </c>
      <c r="W319" s="18" t="s">
        <v>91</v>
      </c>
      <c r="X319" s="16">
        <v>10</v>
      </c>
      <c r="Y319" s="43" t="str">
        <f>HYPERLINK("https://api-enni.alpina.ru/FilePrivilegesApproval/1062","https://api-enni.alpina.ru/FilePrivilegesApproval/1062")</f>
        <v>https://api-enni.alpina.ru/FilePrivilegesApproval/1062</v>
      </c>
      <c r="Z319" s="18"/>
      <c r="AS319" s="1">
        <f>IF($A319&lt;&gt;0,1,0)</f>
        <v>0</v>
      </c>
      <c r="AT319" s="1">
        <f>$A319*$B319</f>
        <v>0</v>
      </c>
      <c r="AU319" s="1">
        <f>$A319*$O319</f>
        <v>0</v>
      </c>
      <c r="AV319" s="1">
        <f>IF($R319=0,0,INT($A319/$R319))</f>
        <v>0</v>
      </c>
      <c r="AW319" s="1">
        <f>$A319-$AV319*$R319</f>
        <v>0</v>
      </c>
    </row>
    <row r="320" ht="24.95" customHeight="1" outlineLevel="3" s="1" customFormat="1">
      <c r="A320" s="15"/>
      <c r="B320" s="16">
        <v>870</v>
      </c>
      <c r="C320" s="17">
        <v>1218</v>
      </c>
      <c r="D320" s="16">
        <v>17462</v>
      </c>
      <c r="E320" s="18"/>
      <c r="F320" s="18" t="s">
        <v>1042</v>
      </c>
      <c r="G320" s="18" t="s">
        <v>1043</v>
      </c>
      <c r="H320" s="18" t="s">
        <v>95</v>
      </c>
      <c r="I320" s="18"/>
      <c r="J320" s="16">
        <v>2020</v>
      </c>
      <c r="K320" s="18" t="s">
        <v>1044</v>
      </c>
      <c r="L320" s="16">
        <v>9785907274358</v>
      </c>
      <c r="M320" s="18" t="s">
        <v>1045</v>
      </c>
      <c r="N320" s="16">
        <v>224</v>
      </c>
      <c r="O320" s="19">
        <v>0.39</v>
      </c>
      <c r="P320" s="16">
        <v>153</v>
      </c>
      <c r="Q320" s="16">
        <v>216</v>
      </c>
      <c r="R320" s="16">
        <v>16</v>
      </c>
      <c r="S320" s="18" t="s">
        <v>43</v>
      </c>
      <c r="T320" s="18"/>
      <c r="U320" s="17">
        <v>1000</v>
      </c>
      <c r="V320" s="18" t="s">
        <v>77</v>
      </c>
      <c r="W320" s="18" t="s">
        <v>69</v>
      </c>
      <c r="X320" s="16">
        <v>10</v>
      </c>
      <c r="Y320" s="43" t="str">
        <f>HYPERLINK("https://api-enni.alpina.ru/FilePrivilegesApproval/114","https://api-enni.alpina.ru/FilePrivilegesApproval/114")</f>
        <v>https://api-enni.alpina.ru/FilePrivilegesApproval/114</v>
      </c>
      <c r="Z320" s="18"/>
      <c r="AS320" s="1">
        <f>IF($A320&lt;&gt;0,1,0)</f>
        <v>0</v>
      </c>
      <c r="AT320" s="1">
        <f>$A320*$B320</f>
        <v>0</v>
      </c>
      <c r="AU320" s="1">
        <f>$A320*$O320</f>
        <v>0</v>
      </c>
      <c r="AV320" s="1">
        <f>IF($R320=0,0,INT($A320/$R320))</f>
        <v>0</v>
      </c>
      <c r="AW320" s="1">
        <f>$A320-$AV320*$R320</f>
        <v>0</v>
      </c>
    </row>
    <row r="321" ht="24.95" customHeight="1" outlineLevel="3" s="1" customFormat="1">
      <c r="A321" s="15"/>
      <c r="B321" s="16">
        <v>790</v>
      </c>
      <c r="C321" s="17">
        <v>1146</v>
      </c>
      <c r="D321" s="16">
        <v>19346</v>
      </c>
      <c r="E321" s="18"/>
      <c r="F321" s="18" t="s">
        <v>1046</v>
      </c>
      <c r="G321" s="18" t="s">
        <v>1047</v>
      </c>
      <c r="H321" s="18" t="s">
        <v>86</v>
      </c>
      <c r="I321" s="18"/>
      <c r="J321" s="16">
        <v>2026</v>
      </c>
      <c r="K321" s="18" t="s">
        <v>1048</v>
      </c>
      <c r="L321" s="16">
        <v>9785961439151</v>
      </c>
      <c r="M321" s="18" t="s">
        <v>1049</v>
      </c>
      <c r="N321" s="16">
        <v>168</v>
      </c>
      <c r="O321" s="19">
        <v>0.35</v>
      </c>
      <c r="P321" s="16">
        <v>150</v>
      </c>
      <c r="Q321" s="16">
        <v>220</v>
      </c>
      <c r="R321" s="16">
        <v>16</v>
      </c>
      <c r="S321" s="18" t="s">
        <v>43</v>
      </c>
      <c r="T321" s="18"/>
      <c r="U321" s="17">
        <v>3000</v>
      </c>
      <c r="V321" s="18" t="s">
        <v>77</v>
      </c>
      <c r="W321" s="18" t="s">
        <v>55</v>
      </c>
      <c r="X321" s="16">
        <v>10</v>
      </c>
      <c r="Y321" s="43" t="str">
        <f>HYPERLINK("https://api-enni.alpina.ru/FilePrivilegesApproval/140","https://api-enni.alpina.ru/FilePrivilegesApproval/140")</f>
        <v>https://api-enni.alpina.ru/FilePrivilegesApproval/140</v>
      </c>
      <c r="Z321" s="18"/>
      <c r="AS321" s="1">
        <f>IF($A321&lt;&gt;0,1,0)</f>
        <v>0</v>
      </c>
      <c r="AT321" s="1">
        <f>$A321*$B321</f>
        <v>0</v>
      </c>
      <c r="AU321" s="1">
        <f>$A321*$O321</f>
        <v>0</v>
      </c>
      <c r="AV321" s="1">
        <f>IF($R321=0,0,INT($A321/$R321))</f>
        <v>0</v>
      </c>
      <c r="AW321" s="1">
        <f>$A321-$AV321*$R321</f>
        <v>0</v>
      </c>
    </row>
    <row r="322" ht="24.95" customHeight="1" outlineLevel="3" s="1" customFormat="1">
      <c r="A322" s="25"/>
      <c r="B322" s="26">
        <v>640</v>
      </c>
      <c r="C322" s="26">
        <v>960</v>
      </c>
      <c r="D322" s="26">
        <v>18142</v>
      </c>
      <c r="E322" s="27"/>
      <c r="F322" s="27" t="s">
        <v>1050</v>
      </c>
      <c r="G322" s="27" t="s">
        <v>1051</v>
      </c>
      <c r="H322" s="27" t="s">
        <v>86</v>
      </c>
      <c r="I322" s="27" t="s">
        <v>74</v>
      </c>
      <c r="J322" s="26">
        <v>2026</v>
      </c>
      <c r="K322" s="27" t="s">
        <v>1052</v>
      </c>
      <c r="L322" s="26">
        <v>9785961459685</v>
      </c>
      <c r="M322" s="27" t="s">
        <v>1053</v>
      </c>
      <c r="N322" s="26">
        <v>256</v>
      </c>
      <c r="O322" s="28">
        <v>0.41</v>
      </c>
      <c r="P322" s="26">
        <v>146</v>
      </c>
      <c r="Q322" s="26">
        <v>216</v>
      </c>
      <c r="R322" s="26">
        <v>10</v>
      </c>
      <c r="S322" s="27" t="s">
        <v>43</v>
      </c>
      <c r="T322" s="27"/>
      <c r="U322" s="29">
        <v>1000</v>
      </c>
      <c r="V322" s="27" t="s">
        <v>77</v>
      </c>
      <c r="W322" s="27" t="s">
        <v>184</v>
      </c>
      <c r="X322" s="26">
        <v>10</v>
      </c>
      <c r="Y322" s="45" t="str">
        <f>HYPERLINK("https://api-enni.alpina.ru/FilePrivilegesApproval/124","https://api-enni.alpina.ru/FilePrivilegesApproval/124")</f>
        <v>https://api-enni.alpina.ru/FilePrivilegesApproval/124</v>
      </c>
      <c r="Z322" s="27" t="s">
        <v>144</v>
      </c>
      <c r="AS322" s="1">
        <f>IF($A322&lt;&gt;0,1,0)</f>
        <v>0</v>
      </c>
      <c r="AT322" s="1">
        <f>$A322*$B322</f>
        <v>0</v>
      </c>
      <c r="AU322" s="1">
        <f>$A322*$O322</f>
        <v>0</v>
      </c>
      <c r="AV322" s="1">
        <f>IF($R322=0,0,INT($A322/$R322))</f>
        <v>0</v>
      </c>
      <c r="AW322" s="1">
        <f>$A322-$AV322*$R322</f>
        <v>0</v>
      </c>
    </row>
    <row r="323" ht="24.95" customHeight="1" outlineLevel="3" s="1" customFormat="1">
      <c r="A323" s="15"/>
      <c r="B323" s="16">
        <v>590</v>
      </c>
      <c r="C323" s="16">
        <v>885</v>
      </c>
      <c r="D323" s="16">
        <v>18817</v>
      </c>
      <c r="E323" s="18"/>
      <c r="F323" s="18" t="s">
        <v>1054</v>
      </c>
      <c r="G323" s="18" t="s">
        <v>1055</v>
      </c>
      <c r="H323" s="18" t="s">
        <v>86</v>
      </c>
      <c r="I323" s="18"/>
      <c r="J323" s="16">
        <v>2021</v>
      </c>
      <c r="K323" s="18" t="s">
        <v>1056</v>
      </c>
      <c r="L323" s="16">
        <v>9785961438468</v>
      </c>
      <c r="M323" s="18" t="s">
        <v>1057</v>
      </c>
      <c r="N323" s="16">
        <v>262</v>
      </c>
      <c r="O323" s="19">
        <v>0.33</v>
      </c>
      <c r="P323" s="16">
        <v>141</v>
      </c>
      <c r="Q323" s="16">
        <v>210</v>
      </c>
      <c r="R323" s="16">
        <v>16</v>
      </c>
      <c r="S323" s="18" t="s">
        <v>43</v>
      </c>
      <c r="T323" s="18"/>
      <c r="U323" s="17">
        <v>3000</v>
      </c>
      <c r="V323" s="18" t="s">
        <v>44</v>
      </c>
      <c r="W323" s="18" t="s">
        <v>45</v>
      </c>
      <c r="X323" s="16">
        <v>10</v>
      </c>
      <c r="Y323" s="43" t="str">
        <f>HYPERLINK("https://api-enni.alpina.ru/FilePrivilegesApproval/102","https://api-enni.alpina.ru/FilePrivilegesApproval/102")</f>
        <v>https://api-enni.alpina.ru/FilePrivilegesApproval/102</v>
      </c>
      <c r="Z323" s="18"/>
      <c r="AS323" s="1">
        <f>IF($A323&lt;&gt;0,1,0)</f>
        <v>0</v>
      </c>
      <c r="AT323" s="1">
        <f>$A323*$B323</f>
        <v>0</v>
      </c>
      <c r="AU323" s="1">
        <f>$A323*$O323</f>
        <v>0</v>
      </c>
      <c r="AV323" s="1">
        <f>IF($R323=0,0,INT($A323/$R323))</f>
        <v>0</v>
      </c>
      <c r="AW323" s="1">
        <f>$A323-$AV323*$R323</f>
        <v>0</v>
      </c>
    </row>
    <row r="324" ht="24.95" customHeight="1" outlineLevel="3" s="1" customFormat="1">
      <c r="A324" s="15"/>
      <c r="B324" s="16">
        <v>840</v>
      </c>
      <c r="C324" s="17">
        <v>1218</v>
      </c>
      <c r="D324" s="16">
        <v>25769</v>
      </c>
      <c r="E324" s="18"/>
      <c r="F324" s="18" t="s">
        <v>1058</v>
      </c>
      <c r="G324" s="18" t="s">
        <v>1059</v>
      </c>
      <c r="H324" s="18" t="s">
        <v>95</v>
      </c>
      <c r="I324" s="18"/>
      <c r="J324" s="16">
        <v>2025</v>
      </c>
      <c r="K324" s="18" t="s">
        <v>1060</v>
      </c>
      <c r="L324" s="16">
        <v>9785206000177</v>
      </c>
      <c r="M324" s="18" t="s">
        <v>1061</v>
      </c>
      <c r="N324" s="16">
        <v>335</v>
      </c>
      <c r="O324" s="19">
        <v>0.5</v>
      </c>
      <c r="P324" s="16">
        <v>140</v>
      </c>
      <c r="Q324" s="16">
        <v>200</v>
      </c>
      <c r="R324" s="16">
        <v>10</v>
      </c>
      <c r="S324" s="18" t="s">
        <v>43</v>
      </c>
      <c r="T324" s="18"/>
      <c r="U324" s="17">
        <v>3000</v>
      </c>
      <c r="V324" s="18" t="s">
        <v>44</v>
      </c>
      <c r="W324" s="18" t="s">
        <v>91</v>
      </c>
      <c r="X324" s="16">
        <v>10</v>
      </c>
      <c r="Y324" s="43" t="str">
        <f>HYPERLINK("https://api-enni.alpina.ru/FilePrivilegesApproval/167","https://api-enni.alpina.ru/FilePrivilegesApproval/167")</f>
        <v>https://api-enni.alpina.ru/FilePrivilegesApproval/167</v>
      </c>
      <c r="Z324" s="18"/>
      <c r="AS324" s="1">
        <f>IF($A324&lt;&gt;0,1,0)</f>
        <v>0</v>
      </c>
      <c r="AT324" s="1">
        <f>$A324*$B324</f>
        <v>0</v>
      </c>
      <c r="AU324" s="1">
        <f>$A324*$O324</f>
        <v>0</v>
      </c>
      <c r="AV324" s="1">
        <f>IF($R324=0,0,INT($A324/$R324))</f>
        <v>0</v>
      </c>
      <c r="AW324" s="1">
        <f>$A324-$AV324*$R324</f>
        <v>0</v>
      </c>
    </row>
    <row r="325" ht="24.95" customHeight="1" outlineLevel="3" s="1" customFormat="1">
      <c r="A325" s="15"/>
      <c r="B325" s="16">
        <v>890</v>
      </c>
      <c r="C325" s="17">
        <v>1246</v>
      </c>
      <c r="D325" s="16">
        <v>35041</v>
      </c>
      <c r="E325" s="18"/>
      <c r="F325" s="18" t="s">
        <v>1058</v>
      </c>
      <c r="G325" s="18" t="s">
        <v>1062</v>
      </c>
      <c r="H325" s="18" t="s">
        <v>86</v>
      </c>
      <c r="I325" s="18"/>
      <c r="J325" s="16">
        <v>2025</v>
      </c>
      <c r="K325" s="18" t="s">
        <v>1063</v>
      </c>
      <c r="L325" s="16">
        <v>9785206005875</v>
      </c>
      <c r="M325" s="18" t="s">
        <v>1064</v>
      </c>
      <c r="N325" s="16">
        <v>192</v>
      </c>
      <c r="O325" s="19">
        <v>0.29</v>
      </c>
      <c r="P325" s="16">
        <v>140</v>
      </c>
      <c r="Q325" s="16">
        <v>200</v>
      </c>
      <c r="R325" s="16">
        <v>16</v>
      </c>
      <c r="S325" s="18" t="s">
        <v>43</v>
      </c>
      <c r="T325" s="18"/>
      <c r="U325" s="17">
        <v>1500</v>
      </c>
      <c r="V325" s="18" t="s">
        <v>44</v>
      </c>
      <c r="W325" s="18" t="s">
        <v>91</v>
      </c>
      <c r="X325" s="16">
        <v>10</v>
      </c>
      <c r="Y325" s="43" t="str">
        <f>HYPERLINK("https://api-enni.alpina.ru/FilePrivilegesApproval/994","https://api-enni.alpina.ru/FilePrivilegesApproval/994")</f>
        <v>https://api-enni.alpina.ru/FilePrivilegesApproval/994</v>
      </c>
      <c r="Z325" s="18"/>
      <c r="AS325" s="1">
        <f>IF($A325&lt;&gt;0,1,0)</f>
        <v>0</v>
      </c>
      <c r="AT325" s="1">
        <f>$A325*$B325</f>
        <v>0</v>
      </c>
      <c r="AU325" s="1">
        <f>$A325*$O325</f>
        <v>0</v>
      </c>
      <c r="AV325" s="1">
        <f>IF($R325=0,0,INT($A325/$R325))</f>
        <v>0</v>
      </c>
      <c r="AW325" s="1">
        <f>$A325-$AV325*$R325</f>
        <v>0</v>
      </c>
    </row>
    <row r="326" ht="24.95" customHeight="1" outlineLevel="3" s="1" customFormat="1">
      <c r="A326" s="15"/>
      <c r="B326" s="16">
        <v>940</v>
      </c>
      <c r="C326" s="17">
        <v>1316</v>
      </c>
      <c r="D326" s="16">
        <v>17607</v>
      </c>
      <c r="E326" s="18"/>
      <c r="F326" s="18" t="s">
        <v>561</v>
      </c>
      <c r="G326" s="18" t="s">
        <v>1065</v>
      </c>
      <c r="H326" s="18" t="s">
        <v>86</v>
      </c>
      <c r="I326" s="18"/>
      <c r="J326" s="16">
        <v>2025</v>
      </c>
      <c r="K326" s="18" t="s">
        <v>1066</v>
      </c>
      <c r="L326" s="16">
        <v>9785961431445</v>
      </c>
      <c r="M326" s="18" t="s">
        <v>1067</v>
      </c>
      <c r="N326" s="16">
        <v>578</v>
      </c>
      <c r="O326" s="19">
        <v>0.88</v>
      </c>
      <c r="P326" s="16">
        <v>140</v>
      </c>
      <c r="Q326" s="16">
        <v>210</v>
      </c>
      <c r="R326" s="16">
        <v>6</v>
      </c>
      <c r="S326" s="18" t="s">
        <v>43</v>
      </c>
      <c r="T326" s="18"/>
      <c r="U326" s="17">
        <v>5000</v>
      </c>
      <c r="V326" s="18" t="s">
        <v>44</v>
      </c>
      <c r="W326" s="18" t="s">
        <v>69</v>
      </c>
      <c r="X326" s="16">
        <v>10</v>
      </c>
      <c r="Y326" s="43" t="str">
        <f>HYPERLINK("https://api-enni.alpina.ru/FilePrivilegesApproval/152","https://api-enni.alpina.ru/FilePrivilegesApproval/152")</f>
        <v>https://api-enni.alpina.ru/FilePrivilegesApproval/152</v>
      </c>
      <c r="Z326" s="18"/>
      <c r="AS326" s="1">
        <f>IF($A326&lt;&gt;0,1,0)</f>
        <v>0</v>
      </c>
      <c r="AT326" s="1">
        <f>$A326*$B326</f>
        <v>0</v>
      </c>
      <c r="AU326" s="1">
        <f>$A326*$O326</f>
        <v>0</v>
      </c>
      <c r="AV326" s="1">
        <f>IF($R326=0,0,INT($A326/$R326))</f>
        <v>0</v>
      </c>
      <c r="AW326" s="1">
        <f>$A326-$AV326*$R326</f>
        <v>0</v>
      </c>
    </row>
    <row r="327" ht="24.95" customHeight="1" outlineLevel="3" s="1" customFormat="1">
      <c r="A327" s="15"/>
      <c r="B327" s="16">
        <v>590</v>
      </c>
      <c r="C327" s="16">
        <v>885</v>
      </c>
      <c r="D327" s="16">
        <v>30671</v>
      </c>
      <c r="E327" s="18"/>
      <c r="F327" s="18" t="s">
        <v>1068</v>
      </c>
      <c r="G327" s="18" t="s">
        <v>1069</v>
      </c>
      <c r="H327" s="18" t="s">
        <v>86</v>
      </c>
      <c r="I327" s="18" t="s">
        <v>74</v>
      </c>
      <c r="J327" s="16">
        <v>2025</v>
      </c>
      <c r="K327" s="18" t="s">
        <v>1070</v>
      </c>
      <c r="L327" s="16">
        <v>9785961496161</v>
      </c>
      <c r="M327" s="18" t="s">
        <v>1071</v>
      </c>
      <c r="N327" s="16">
        <v>262</v>
      </c>
      <c r="O327" s="19">
        <v>0.42</v>
      </c>
      <c r="P327" s="16">
        <v>150</v>
      </c>
      <c r="Q327" s="16">
        <v>220</v>
      </c>
      <c r="R327" s="16">
        <v>14</v>
      </c>
      <c r="S327" s="18" t="s">
        <v>43</v>
      </c>
      <c r="T327" s="18"/>
      <c r="U327" s="17">
        <v>2000</v>
      </c>
      <c r="V327" s="18" t="s">
        <v>77</v>
      </c>
      <c r="W327" s="18" t="s">
        <v>91</v>
      </c>
      <c r="X327" s="16">
        <v>10</v>
      </c>
      <c r="Y327" s="43" t="str">
        <f>HYPERLINK("https://api-enni.alpina.ru/FilePrivilegesApproval/713","https://api-enni.alpina.ru/FilePrivilegesApproval/713")</f>
        <v>https://api-enni.alpina.ru/FilePrivilegesApproval/713</v>
      </c>
      <c r="Z327" s="18"/>
      <c r="AS327" s="1">
        <f>IF($A327&lt;&gt;0,1,0)</f>
        <v>0</v>
      </c>
      <c r="AT327" s="1">
        <f>$A327*$B327</f>
        <v>0</v>
      </c>
      <c r="AU327" s="1">
        <f>$A327*$O327</f>
        <v>0</v>
      </c>
      <c r="AV327" s="1">
        <f>IF($R327=0,0,INT($A327/$R327))</f>
        <v>0</v>
      </c>
      <c r="AW327" s="1">
        <f>$A327-$AV327*$R327</f>
        <v>0</v>
      </c>
    </row>
    <row r="328" ht="24.95" customHeight="1" outlineLevel="3" s="1" customFormat="1">
      <c r="A328" s="15"/>
      <c r="B328" s="16">
        <v>630</v>
      </c>
      <c r="C328" s="16">
        <v>945</v>
      </c>
      <c r="D328" s="16">
        <v>30418</v>
      </c>
      <c r="E328" s="18"/>
      <c r="F328" s="18" t="s">
        <v>1072</v>
      </c>
      <c r="G328" s="18" t="s">
        <v>1073</v>
      </c>
      <c r="H328" s="18" t="s">
        <v>95</v>
      </c>
      <c r="I328" s="18"/>
      <c r="J328" s="16">
        <v>2024</v>
      </c>
      <c r="K328" s="18" t="s">
        <v>1074</v>
      </c>
      <c r="L328" s="16">
        <v>9785206003215</v>
      </c>
      <c r="M328" s="18" t="s">
        <v>1075</v>
      </c>
      <c r="N328" s="16">
        <v>192</v>
      </c>
      <c r="O328" s="19">
        <v>0.33</v>
      </c>
      <c r="P328" s="16">
        <v>150</v>
      </c>
      <c r="Q328" s="16">
        <v>220</v>
      </c>
      <c r="R328" s="16">
        <v>10</v>
      </c>
      <c r="S328" s="18" t="s">
        <v>43</v>
      </c>
      <c r="T328" s="18"/>
      <c r="U328" s="17">
        <v>1000</v>
      </c>
      <c r="V328" s="18" t="s">
        <v>77</v>
      </c>
      <c r="W328" s="18" t="s">
        <v>69</v>
      </c>
      <c r="X328" s="16">
        <v>10</v>
      </c>
      <c r="Y328" s="43" t="str">
        <f>HYPERLINK("https://api-enni.alpina.ru/FilePrivilegesApproval/529","https://api-enni.alpina.ru/FilePrivilegesApproval/529")</f>
        <v>https://api-enni.alpina.ru/FilePrivilegesApproval/529</v>
      </c>
      <c r="Z328" s="18"/>
      <c r="AS328" s="1">
        <f>IF($A328&lt;&gt;0,1,0)</f>
        <v>0</v>
      </c>
      <c r="AT328" s="1">
        <f>$A328*$B328</f>
        <v>0</v>
      </c>
      <c r="AU328" s="1">
        <f>$A328*$O328</f>
        <v>0</v>
      </c>
      <c r="AV328" s="1">
        <f>IF($R328=0,0,INT($A328/$R328))</f>
        <v>0</v>
      </c>
      <c r="AW328" s="1">
        <f>$A328-$AV328*$R328</f>
        <v>0</v>
      </c>
    </row>
    <row r="329" ht="24.95" customHeight="1" outlineLevel="3" s="1" customFormat="1">
      <c r="A329" s="15"/>
      <c r="B329" s="16">
        <v>700</v>
      </c>
      <c r="C329" s="17">
        <v>1050</v>
      </c>
      <c r="D329" s="16">
        <v>28867</v>
      </c>
      <c r="E329" s="18"/>
      <c r="F329" s="18" t="s">
        <v>1076</v>
      </c>
      <c r="G329" s="18" t="s">
        <v>1077</v>
      </c>
      <c r="H329" s="18" t="s">
        <v>86</v>
      </c>
      <c r="I329" s="18"/>
      <c r="J329" s="16">
        <v>2025</v>
      </c>
      <c r="K329" s="18" t="s">
        <v>1078</v>
      </c>
      <c r="L329" s="16">
        <v>9785961490411</v>
      </c>
      <c r="M329" s="18" t="s">
        <v>1079</v>
      </c>
      <c r="N329" s="16">
        <v>358</v>
      </c>
      <c r="O329" s="19">
        <v>0.53</v>
      </c>
      <c r="P329" s="16">
        <v>150</v>
      </c>
      <c r="Q329" s="16">
        <v>220</v>
      </c>
      <c r="R329" s="16">
        <v>12</v>
      </c>
      <c r="S329" s="18" t="s">
        <v>43</v>
      </c>
      <c r="T329" s="18"/>
      <c r="U329" s="17">
        <v>3000</v>
      </c>
      <c r="V329" s="18" t="s">
        <v>77</v>
      </c>
      <c r="W329" s="18" t="s">
        <v>69</v>
      </c>
      <c r="X329" s="16">
        <v>10</v>
      </c>
      <c r="Y329" s="43" t="str">
        <f>HYPERLINK("https://api-enni.alpina.ru/FilePrivilegesApproval/405","https://api-enni.alpina.ru/FilePrivilegesApproval/405")</f>
        <v>https://api-enni.alpina.ru/FilePrivilegesApproval/405</v>
      </c>
      <c r="Z329" s="18"/>
      <c r="AS329" s="1">
        <f>IF($A329&lt;&gt;0,1,0)</f>
        <v>0</v>
      </c>
      <c r="AT329" s="1">
        <f>$A329*$B329</f>
        <v>0</v>
      </c>
      <c r="AU329" s="1">
        <f>$A329*$O329</f>
        <v>0</v>
      </c>
      <c r="AV329" s="1">
        <f>IF($R329=0,0,INT($A329/$R329))</f>
        <v>0</v>
      </c>
      <c r="AW329" s="1">
        <f>$A329-$AV329*$R329</f>
        <v>0</v>
      </c>
    </row>
    <row r="330" ht="24.95" customHeight="1" outlineLevel="3" s="1" customFormat="1">
      <c r="A330" s="15"/>
      <c r="B330" s="16">
        <v>640</v>
      </c>
      <c r="C330" s="16">
        <v>960</v>
      </c>
      <c r="D330" s="16">
        <v>27315</v>
      </c>
      <c r="E330" s="18"/>
      <c r="F330" s="18" t="s">
        <v>1080</v>
      </c>
      <c r="G330" s="18" t="s">
        <v>1081</v>
      </c>
      <c r="H330" s="18" t="s">
        <v>86</v>
      </c>
      <c r="I330" s="18" t="s">
        <v>74</v>
      </c>
      <c r="J330" s="16">
        <v>2026</v>
      </c>
      <c r="K330" s="18" t="s">
        <v>1082</v>
      </c>
      <c r="L330" s="16">
        <v>9785961484601</v>
      </c>
      <c r="M330" s="18" t="s">
        <v>1083</v>
      </c>
      <c r="N330" s="16">
        <v>264</v>
      </c>
      <c r="O330" s="19">
        <v>0.43</v>
      </c>
      <c r="P330" s="16">
        <v>150</v>
      </c>
      <c r="Q330" s="16">
        <v>220</v>
      </c>
      <c r="R330" s="16">
        <v>10</v>
      </c>
      <c r="S330" s="18" t="s">
        <v>43</v>
      </c>
      <c r="T330" s="18"/>
      <c r="U330" s="17">
        <v>1000</v>
      </c>
      <c r="V330" s="18" t="s">
        <v>77</v>
      </c>
      <c r="W330" s="18" t="s">
        <v>184</v>
      </c>
      <c r="X330" s="16">
        <v>10</v>
      </c>
      <c r="Y330" s="43" t="str">
        <f>HYPERLINK("https://api-enni.alpina.ru/FilePrivilegesApproval/186","https://api-enni.alpina.ru/FilePrivilegesApproval/186")</f>
        <v>https://api-enni.alpina.ru/FilePrivilegesApproval/186</v>
      </c>
      <c r="Z330" s="18"/>
      <c r="AS330" s="1">
        <f>IF($A330&lt;&gt;0,1,0)</f>
        <v>0</v>
      </c>
      <c r="AT330" s="1">
        <f>$A330*$B330</f>
        <v>0</v>
      </c>
      <c r="AU330" s="1">
        <f>$A330*$O330</f>
        <v>0</v>
      </c>
      <c r="AV330" s="1">
        <f>IF($R330=0,0,INT($A330/$R330))</f>
        <v>0</v>
      </c>
      <c r="AW330" s="1">
        <f>$A330-$AV330*$R330</f>
        <v>0</v>
      </c>
    </row>
    <row r="331" ht="24.95" customHeight="1" outlineLevel="3" s="1" customFormat="1">
      <c r="A331" s="15"/>
      <c r="B331" s="16">
        <v>650</v>
      </c>
      <c r="C331" s="16">
        <v>975</v>
      </c>
      <c r="D331" s="16">
        <v>33781</v>
      </c>
      <c r="E331" s="18"/>
      <c r="F331" s="18" t="s">
        <v>1084</v>
      </c>
      <c r="G331" s="18" t="s">
        <v>1085</v>
      </c>
      <c r="H331" s="18" t="s">
        <v>86</v>
      </c>
      <c r="I331" s="18"/>
      <c r="J331" s="16">
        <v>2026</v>
      </c>
      <c r="K331" s="18" t="s">
        <v>1086</v>
      </c>
      <c r="L331" s="16">
        <v>9785006305564</v>
      </c>
      <c r="M331" s="18" t="s">
        <v>1087</v>
      </c>
      <c r="N331" s="16">
        <v>264</v>
      </c>
      <c r="O331" s="19">
        <v>0.42</v>
      </c>
      <c r="P331" s="16">
        <v>140</v>
      </c>
      <c r="Q331" s="16">
        <v>210</v>
      </c>
      <c r="R331" s="16">
        <v>14</v>
      </c>
      <c r="S331" s="18" t="s">
        <v>43</v>
      </c>
      <c r="T331" s="18"/>
      <c r="U331" s="17">
        <v>1500</v>
      </c>
      <c r="V331" s="18" t="s">
        <v>44</v>
      </c>
      <c r="W331" s="18" t="s">
        <v>69</v>
      </c>
      <c r="X331" s="16">
        <v>10</v>
      </c>
      <c r="Y331" s="43" t="str">
        <f>HYPERLINK("https://api-enni.alpina.ru/FilePrivilegesApproval/1018","https://api-enni.alpina.ru/FilePrivilegesApproval/1018")</f>
        <v>https://api-enni.alpina.ru/FilePrivilegesApproval/1018</v>
      </c>
      <c r="Z331" s="18"/>
      <c r="AS331" s="1">
        <f>IF($A331&lt;&gt;0,1,0)</f>
        <v>0</v>
      </c>
      <c r="AT331" s="1">
        <f>$A331*$B331</f>
        <v>0</v>
      </c>
      <c r="AU331" s="1">
        <f>$A331*$O331</f>
        <v>0</v>
      </c>
      <c r="AV331" s="1">
        <f>IF($R331=0,0,INT($A331/$R331))</f>
        <v>0</v>
      </c>
      <c r="AW331" s="1">
        <f>$A331-$AV331*$R331</f>
        <v>0</v>
      </c>
    </row>
    <row r="332" ht="24.95" customHeight="1" outlineLevel="3" s="1" customFormat="1">
      <c r="A332" s="15"/>
      <c r="B332" s="16">
        <v>640</v>
      </c>
      <c r="C332" s="16">
        <v>960</v>
      </c>
      <c r="D332" s="16">
        <v>30641</v>
      </c>
      <c r="E332" s="18"/>
      <c r="F332" s="18" t="s">
        <v>1088</v>
      </c>
      <c r="G332" s="18" t="s">
        <v>1089</v>
      </c>
      <c r="H332" s="18" t="s">
        <v>86</v>
      </c>
      <c r="I332" s="18" t="s">
        <v>74</v>
      </c>
      <c r="J332" s="16">
        <v>2026</v>
      </c>
      <c r="K332" s="18" t="s">
        <v>1090</v>
      </c>
      <c r="L332" s="16">
        <v>9785961496109</v>
      </c>
      <c r="M332" s="18" t="s">
        <v>1091</v>
      </c>
      <c r="N332" s="16">
        <v>376</v>
      </c>
      <c r="O332" s="19">
        <v>0.55</v>
      </c>
      <c r="P332" s="16">
        <v>150</v>
      </c>
      <c r="Q332" s="16">
        <v>220</v>
      </c>
      <c r="R332" s="16">
        <v>10</v>
      </c>
      <c r="S332" s="18" t="s">
        <v>43</v>
      </c>
      <c r="T332" s="18"/>
      <c r="U332" s="17">
        <v>2000</v>
      </c>
      <c r="V332" s="18" t="s">
        <v>77</v>
      </c>
      <c r="W332" s="18" t="s">
        <v>91</v>
      </c>
      <c r="X332" s="16">
        <v>10</v>
      </c>
      <c r="Y332" s="43" t="str">
        <f>HYPERLINK("https://api-enni.alpina.ru/FilePrivilegesApproval/953","https://api-enni.alpina.ru/FilePrivilegesApproval/953")</f>
        <v>https://api-enni.alpina.ru/FilePrivilegesApproval/953</v>
      </c>
      <c r="Z332" s="18"/>
      <c r="AS332" s="1">
        <f>IF($A332&lt;&gt;0,1,0)</f>
        <v>0</v>
      </c>
      <c r="AT332" s="1">
        <f>$A332*$B332</f>
        <v>0</v>
      </c>
      <c r="AU332" s="1">
        <f>$A332*$O332</f>
        <v>0</v>
      </c>
      <c r="AV332" s="1">
        <f>IF($R332=0,0,INT($A332/$R332))</f>
        <v>0</v>
      </c>
      <c r="AW332" s="1">
        <f>$A332-$AV332*$R332</f>
        <v>0</v>
      </c>
    </row>
    <row r="333" ht="21.95" customHeight="1" outlineLevel="3" s="1" customFormat="1">
      <c r="A333" s="15"/>
      <c r="B333" s="16">
        <v>600</v>
      </c>
      <c r="C333" s="16">
        <v>900</v>
      </c>
      <c r="D333" s="16">
        <v>30143</v>
      </c>
      <c r="E333" s="18"/>
      <c r="F333" s="18" t="s">
        <v>1092</v>
      </c>
      <c r="G333" s="18" t="s">
        <v>1093</v>
      </c>
      <c r="H333" s="18" t="s">
        <v>86</v>
      </c>
      <c r="I333" s="18"/>
      <c r="J333" s="16">
        <v>2025</v>
      </c>
      <c r="K333" s="18" t="s">
        <v>1094</v>
      </c>
      <c r="L333" s="16">
        <v>9785961494877</v>
      </c>
      <c r="M333" s="18" t="s">
        <v>1095</v>
      </c>
      <c r="N333" s="16">
        <v>172</v>
      </c>
      <c r="O333" s="19">
        <v>0.37</v>
      </c>
      <c r="P333" s="16">
        <v>150</v>
      </c>
      <c r="Q333" s="16">
        <v>220</v>
      </c>
      <c r="R333" s="16">
        <v>16</v>
      </c>
      <c r="S333" s="18" t="s">
        <v>43</v>
      </c>
      <c r="T333" s="18"/>
      <c r="U333" s="17">
        <v>2000</v>
      </c>
      <c r="V333" s="18" t="s">
        <v>77</v>
      </c>
      <c r="W333" s="18" t="s">
        <v>45</v>
      </c>
      <c r="X333" s="16">
        <v>22</v>
      </c>
      <c r="Y333" s="43" t="str">
        <f>HYPERLINK("","")</f>
      </c>
      <c r="Z333" s="18"/>
      <c r="AS333" s="1">
        <f>IF($A333&lt;&gt;0,1,0)</f>
        <v>0</v>
      </c>
      <c r="AT333" s="1">
        <f>$A333*$B333</f>
        <v>0</v>
      </c>
      <c r="AU333" s="1">
        <f>$A333*$O333</f>
        <v>0</v>
      </c>
      <c r="AV333" s="1">
        <f>IF($R333=0,0,INT($A333/$R333))</f>
        <v>0</v>
      </c>
      <c r="AW333" s="1">
        <f>$A333-$AV333*$R333</f>
        <v>0</v>
      </c>
    </row>
    <row r="334" ht="24.95" customHeight="1" outlineLevel="3" s="1" customFormat="1">
      <c r="A334" s="15"/>
      <c r="B334" s="16">
        <v>790</v>
      </c>
      <c r="C334" s="17">
        <v>1146</v>
      </c>
      <c r="D334" s="16">
        <v>34809</v>
      </c>
      <c r="E334" s="18"/>
      <c r="F334" s="18" t="s">
        <v>406</v>
      </c>
      <c r="G334" s="18" t="s">
        <v>1096</v>
      </c>
      <c r="H334" s="18" t="s">
        <v>86</v>
      </c>
      <c r="I334" s="18"/>
      <c r="J334" s="16">
        <v>2026</v>
      </c>
      <c r="K334" s="18" t="s">
        <v>1097</v>
      </c>
      <c r="L334" s="16">
        <v>9785006309098</v>
      </c>
      <c r="M334" s="18" t="s">
        <v>1098</v>
      </c>
      <c r="N334" s="16">
        <v>316</v>
      </c>
      <c r="O334" s="19">
        <v>0.48</v>
      </c>
      <c r="P334" s="16">
        <v>140</v>
      </c>
      <c r="Q334" s="16">
        <v>200</v>
      </c>
      <c r="R334" s="16">
        <v>10</v>
      </c>
      <c r="S334" s="18" t="s">
        <v>43</v>
      </c>
      <c r="T334" s="18"/>
      <c r="U334" s="17">
        <v>5000</v>
      </c>
      <c r="V334" s="18" t="s">
        <v>44</v>
      </c>
      <c r="W334" s="18" t="s">
        <v>69</v>
      </c>
      <c r="X334" s="16">
        <v>10</v>
      </c>
      <c r="Y334" s="43" t="str">
        <f>HYPERLINK("https://api-enni.alpina.ru/FilePrivilegesApproval/1052","https://api-enni.alpina.ru/FilePrivilegesApproval/1052")</f>
        <v>https://api-enni.alpina.ru/FilePrivilegesApproval/1052</v>
      </c>
      <c r="Z334" s="18" t="s">
        <v>1099</v>
      </c>
      <c r="AS334" s="1">
        <f>IF($A334&lt;&gt;0,1,0)</f>
        <v>0</v>
      </c>
      <c r="AT334" s="1">
        <f>$A334*$B334</f>
        <v>0</v>
      </c>
      <c r="AU334" s="1">
        <f>$A334*$O334</f>
        <v>0</v>
      </c>
      <c r="AV334" s="1">
        <f>IF($R334=0,0,INT($A334/$R334))</f>
        <v>0</v>
      </c>
      <c r="AW334" s="1">
        <f>$A334-$AV334*$R334</f>
        <v>0</v>
      </c>
    </row>
    <row r="335" ht="24.95" customHeight="1" outlineLevel="3" s="1" customFormat="1">
      <c r="A335" s="15"/>
      <c r="B335" s="16">
        <v>498</v>
      </c>
      <c r="C335" s="16">
        <v>772</v>
      </c>
      <c r="D335" s="16">
        <v>20533</v>
      </c>
      <c r="E335" s="18"/>
      <c r="F335" s="18" t="s">
        <v>1100</v>
      </c>
      <c r="G335" s="18" t="s">
        <v>1101</v>
      </c>
      <c r="H335" s="18" t="s">
        <v>86</v>
      </c>
      <c r="I335" s="18" t="s">
        <v>74</v>
      </c>
      <c r="J335" s="16">
        <v>2023</v>
      </c>
      <c r="K335" s="18" t="s">
        <v>1102</v>
      </c>
      <c r="L335" s="16">
        <v>9785961482706</v>
      </c>
      <c r="M335" s="18" t="s">
        <v>1103</v>
      </c>
      <c r="N335" s="16">
        <v>386</v>
      </c>
      <c r="O335" s="19">
        <v>0.48</v>
      </c>
      <c r="P335" s="16">
        <v>140</v>
      </c>
      <c r="Q335" s="16">
        <v>210</v>
      </c>
      <c r="R335" s="16">
        <v>12</v>
      </c>
      <c r="S335" s="18" t="s">
        <v>43</v>
      </c>
      <c r="T335" s="18"/>
      <c r="U335" s="17">
        <v>2000</v>
      </c>
      <c r="V335" s="18" t="s">
        <v>44</v>
      </c>
      <c r="W335" s="18" t="s">
        <v>45</v>
      </c>
      <c r="X335" s="16">
        <v>22</v>
      </c>
      <c r="Y335" s="43" t="str">
        <f>HYPERLINK("https://api-enni.alpina.ru/FilePrivilegesApproval/196","https://api-enni.alpina.ru/FilePrivilegesApproval/196")</f>
        <v>https://api-enni.alpina.ru/FilePrivilegesApproval/196</v>
      </c>
      <c r="Z335" s="18"/>
      <c r="AS335" s="1">
        <f>IF($A335&lt;&gt;0,1,0)</f>
        <v>0</v>
      </c>
      <c r="AT335" s="1">
        <f>$A335*$B335</f>
        <v>0</v>
      </c>
      <c r="AU335" s="1">
        <f>$A335*$O335</f>
        <v>0</v>
      </c>
      <c r="AV335" s="1">
        <f>IF($R335=0,0,INT($A335/$R335))</f>
        <v>0</v>
      </c>
      <c r="AW335" s="1">
        <f>$A335-$AV335*$R335</f>
        <v>0</v>
      </c>
    </row>
    <row r="336" ht="24.95" customHeight="1" outlineLevel="3" s="1" customFormat="1">
      <c r="A336" s="15"/>
      <c r="B336" s="16">
        <v>640</v>
      </c>
      <c r="C336" s="16">
        <v>960</v>
      </c>
      <c r="D336" s="16">
        <v>28270</v>
      </c>
      <c r="E336" s="18"/>
      <c r="F336" s="18" t="s">
        <v>1104</v>
      </c>
      <c r="G336" s="18" t="s">
        <v>1105</v>
      </c>
      <c r="H336" s="18" t="s">
        <v>86</v>
      </c>
      <c r="I336" s="18" t="s">
        <v>74</v>
      </c>
      <c r="J336" s="16">
        <v>2025</v>
      </c>
      <c r="K336" s="18" t="s">
        <v>1106</v>
      </c>
      <c r="L336" s="16">
        <v>9785961487633</v>
      </c>
      <c r="M336" s="18" t="s">
        <v>1107</v>
      </c>
      <c r="N336" s="16">
        <v>232</v>
      </c>
      <c r="O336" s="19">
        <v>0.53</v>
      </c>
      <c r="P336" s="16">
        <v>150</v>
      </c>
      <c r="Q336" s="16">
        <v>220</v>
      </c>
      <c r="R336" s="16">
        <v>12</v>
      </c>
      <c r="S336" s="18" t="s">
        <v>43</v>
      </c>
      <c r="T336" s="18"/>
      <c r="U336" s="17">
        <v>5000</v>
      </c>
      <c r="V336" s="18" t="s">
        <v>77</v>
      </c>
      <c r="W336" s="18" t="s">
        <v>69</v>
      </c>
      <c r="X336" s="16">
        <v>10</v>
      </c>
      <c r="Y336" s="43" t="str">
        <f>HYPERLINK("https://api-enni.alpina.ru/FilePrivilegesApproval/315","https://api-enni.alpina.ru/FilePrivilegesApproval/315")</f>
        <v>https://api-enni.alpina.ru/FilePrivilegesApproval/315</v>
      </c>
      <c r="Z336" s="18"/>
      <c r="AS336" s="1">
        <f>IF($A336&lt;&gt;0,1,0)</f>
        <v>0</v>
      </c>
      <c r="AT336" s="1">
        <f>$A336*$B336</f>
        <v>0</v>
      </c>
      <c r="AU336" s="1">
        <f>$A336*$O336</f>
        <v>0</v>
      </c>
      <c r="AV336" s="1">
        <f>IF($R336=0,0,INT($A336/$R336))</f>
        <v>0</v>
      </c>
      <c r="AW336" s="1">
        <f>$A336-$AV336*$R336</f>
        <v>0</v>
      </c>
    </row>
    <row r="337" ht="24.95" customHeight="1" outlineLevel="3" s="1" customFormat="1">
      <c r="A337" s="15"/>
      <c r="B337" s="16">
        <v>590</v>
      </c>
      <c r="C337" s="16">
        <v>885</v>
      </c>
      <c r="D337" s="16">
        <v>37414</v>
      </c>
      <c r="E337" s="18"/>
      <c r="F337" s="18" t="s">
        <v>1104</v>
      </c>
      <c r="G337" s="18" t="s">
        <v>1105</v>
      </c>
      <c r="H337" s="18" t="s">
        <v>86</v>
      </c>
      <c r="I337" s="18" t="s">
        <v>74</v>
      </c>
      <c r="J337" s="16">
        <v>2026</v>
      </c>
      <c r="K337" s="18" t="s">
        <v>1108</v>
      </c>
      <c r="L337" s="16">
        <v>9785006320109</v>
      </c>
      <c r="M337" s="18" t="s">
        <v>1109</v>
      </c>
      <c r="N337" s="16">
        <v>232</v>
      </c>
      <c r="O337" s="19">
        <v>0.36</v>
      </c>
      <c r="P337" s="16">
        <v>140</v>
      </c>
      <c r="Q337" s="16">
        <v>210</v>
      </c>
      <c r="R337" s="16">
        <v>16</v>
      </c>
      <c r="S337" s="18" t="s">
        <v>43</v>
      </c>
      <c r="T337" s="18"/>
      <c r="U337" s="17">
        <v>3000</v>
      </c>
      <c r="V337" s="18" t="s">
        <v>44</v>
      </c>
      <c r="W337" s="18" t="s">
        <v>69</v>
      </c>
      <c r="X337" s="16">
        <v>10</v>
      </c>
      <c r="Y337" s="43" t="str">
        <f>HYPERLINK("https://api-enni.alpina.ru/FilePrivilegesApproval/1195","https://api-enni.alpina.ru/FilePrivilegesApproval/1195")</f>
        <v>https://api-enni.alpina.ru/FilePrivilegesApproval/1195</v>
      </c>
      <c r="Z337" s="18" t="s">
        <v>1110</v>
      </c>
      <c r="AS337" s="1">
        <f>IF($A337&lt;&gt;0,1,0)</f>
        <v>0</v>
      </c>
      <c r="AT337" s="1">
        <f>$A337*$B337</f>
        <v>0</v>
      </c>
      <c r="AU337" s="1">
        <f>$A337*$O337</f>
        <v>0</v>
      </c>
      <c r="AV337" s="1">
        <f>IF($R337=0,0,INT($A337/$R337))</f>
        <v>0</v>
      </c>
      <c r="AW337" s="1">
        <f>$A337-$AV337*$R337</f>
        <v>0</v>
      </c>
    </row>
    <row r="338" ht="24.95" customHeight="1" outlineLevel="3" s="1" customFormat="1">
      <c r="A338" s="15"/>
      <c r="B338" s="16">
        <v>690</v>
      </c>
      <c r="C338" s="17">
        <v>1035</v>
      </c>
      <c r="D338" s="16">
        <v>24243</v>
      </c>
      <c r="E338" s="18"/>
      <c r="F338" s="18" t="s">
        <v>1111</v>
      </c>
      <c r="G338" s="18" t="s">
        <v>1112</v>
      </c>
      <c r="H338" s="18" t="s">
        <v>86</v>
      </c>
      <c r="I338" s="18" t="s">
        <v>74</v>
      </c>
      <c r="J338" s="16">
        <v>2022</v>
      </c>
      <c r="K338" s="18" t="s">
        <v>1113</v>
      </c>
      <c r="L338" s="16">
        <v>9785961480085</v>
      </c>
      <c r="M338" s="18" t="s">
        <v>1114</v>
      </c>
      <c r="N338" s="16">
        <v>328</v>
      </c>
      <c r="O338" s="19">
        <v>0.48</v>
      </c>
      <c r="P338" s="16">
        <v>146</v>
      </c>
      <c r="Q338" s="16">
        <v>216</v>
      </c>
      <c r="R338" s="16">
        <v>12</v>
      </c>
      <c r="S338" s="18" t="s">
        <v>43</v>
      </c>
      <c r="T338" s="18"/>
      <c r="U338" s="17">
        <v>4000</v>
      </c>
      <c r="V338" s="18" t="s">
        <v>77</v>
      </c>
      <c r="W338" s="18" t="s">
        <v>69</v>
      </c>
      <c r="X338" s="16">
        <v>10</v>
      </c>
      <c r="Y338" s="43" t="str">
        <f>HYPERLINK("https://api-enni.alpina.ru/FilePrivilegesApproval/156","https://api-enni.alpina.ru/FilePrivilegesApproval/156")</f>
        <v>https://api-enni.alpina.ru/FilePrivilegesApproval/156</v>
      </c>
      <c r="Z338" s="18"/>
      <c r="AS338" s="1">
        <f>IF($A338&lt;&gt;0,1,0)</f>
        <v>0</v>
      </c>
      <c r="AT338" s="1">
        <f>$A338*$B338</f>
        <v>0</v>
      </c>
      <c r="AU338" s="1">
        <f>$A338*$O338</f>
        <v>0</v>
      </c>
      <c r="AV338" s="1">
        <f>IF($R338=0,0,INT($A338/$R338))</f>
        <v>0</v>
      </c>
      <c r="AW338" s="1">
        <f>$A338-$AV338*$R338</f>
        <v>0</v>
      </c>
    </row>
    <row r="339" ht="24.95" customHeight="1" outlineLevel="3" s="1" customFormat="1">
      <c r="A339" s="15"/>
      <c r="B339" s="16">
        <v>640</v>
      </c>
      <c r="C339" s="16">
        <v>960</v>
      </c>
      <c r="D339" s="16">
        <v>30538</v>
      </c>
      <c r="E339" s="18"/>
      <c r="F339" s="18" t="s">
        <v>1115</v>
      </c>
      <c r="G339" s="18" t="s">
        <v>1116</v>
      </c>
      <c r="H339" s="18" t="s">
        <v>86</v>
      </c>
      <c r="I339" s="18" t="s">
        <v>74</v>
      </c>
      <c r="J339" s="16">
        <v>2025</v>
      </c>
      <c r="K339" s="18" t="s">
        <v>1117</v>
      </c>
      <c r="L339" s="16">
        <v>9785961495812</v>
      </c>
      <c r="M339" s="18" t="s">
        <v>1118</v>
      </c>
      <c r="N339" s="16">
        <v>356</v>
      </c>
      <c r="O339" s="19">
        <v>0.44</v>
      </c>
      <c r="P339" s="16">
        <v>120</v>
      </c>
      <c r="Q339" s="16">
        <v>210</v>
      </c>
      <c r="R339" s="16">
        <v>12</v>
      </c>
      <c r="S339" s="18" t="s">
        <v>43</v>
      </c>
      <c r="T339" s="18"/>
      <c r="U339" s="17">
        <v>3000</v>
      </c>
      <c r="V339" s="18" t="s">
        <v>44</v>
      </c>
      <c r="W339" s="18" t="s">
        <v>91</v>
      </c>
      <c r="X339" s="16">
        <v>10</v>
      </c>
      <c r="Y339" s="43" t="str">
        <f>HYPERLINK("https://api-enni.alpina.ru/FilePrivilegesApproval/1018","https://api-enni.alpina.ru/FilePrivilegesApproval/1018")</f>
        <v>https://api-enni.alpina.ru/FilePrivilegesApproval/1018</v>
      </c>
      <c r="Z339" s="18"/>
      <c r="AS339" s="1">
        <f>IF($A339&lt;&gt;0,1,0)</f>
        <v>0</v>
      </c>
      <c r="AT339" s="1">
        <f>$A339*$B339</f>
        <v>0</v>
      </c>
      <c r="AU339" s="1">
        <f>$A339*$O339</f>
        <v>0</v>
      </c>
      <c r="AV339" s="1">
        <f>IF($R339=0,0,INT($A339/$R339))</f>
        <v>0</v>
      </c>
      <c r="AW339" s="1">
        <f>$A339-$AV339*$R339</f>
        <v>0</v>
      </c>
    </row>
    <row r="340" ht="24.95" customHeight="1" outlineLevel="3" s="1" customFormat="1">
      <c r="A340" s="15"/>
      <c r="B340" s="16">
        <v>490</v>
      </c>
      <c r="C340" s="16">
        <v>760</v>
      </c>
      <c r="D340" s="16">
        <v>25225</v>
      </c>
      <c r="E340" s="18"/>
      <c r="F340" s="18" t="s">
        <v>1119</v>
      </c>
      <c r="G340" s="18" t="s">
        <v>1120</v>
      </c>
      <c r="H340" s="18" t="s">
        <v>86</v>
      </c>
      <c r="I340" s="18" t="s">
        <v>74</v>
      </c>
      <c r="J340" s="16">
        <v>2025</v>
      </c>
      <c r="K340" s="18" t="s">
        <v>1121</v>
      </c>
      <c r="L340" s="16">
        <v>9785961480627</v>
      </c>
      <c r="M340" s="18" t="s">
        <v>1122</v>
      </c>
      <c r="N340" s="16">
        <v>158</v>
      </c>
      <c r="O340" s="19">
        <v>0.2</v>
      </c>
      <c r="P340" s="16">
        <v>140</v>
      </c>
      <c r="Q340" s="16">
        <v>210</v>
      </c>
      <c r="R340" s="16">
        <v>10</v>
      </c>
      <c r="S340" s="18" t="s">
        <v>43</v>
      </c>
      <c r="T340" s="18"/>
      <c r="U340" s="17">
        <v>1000</v>
      </c>
      <c r="V340" s="18" t="s">
        <v>44</v>
      </c>
      <c r="W340" s="18" t="s">
        <v>91</v>
      </c>
      <c r="X340" s="16">
        <v>10</v>
      </c>
      <c r="Y340" s="43" t="str">
        <f>HYPERLINK("https://api-enni.alpina.ru/FilePrivilegesApproval/156","https://api-enni.alpina.ru/FilePrivilegesApproval/156")</f>
        <v>https://api-enni.alpina.ru/FilePrivilegesApproval/156</v>
      </c>
      <c r="Z340" s="18"/>
      <c r="AS340" s="1">
        <f>IF($A340&lt;&gt;0,1,0)</f>
        <v>0</v>
      </c>
      <c r="AT340" s="1">
        <f>$A340*$B340</f>
        <v>0</v>
      </c>
      <c r="AU340" s="1">
        <f>$A340*$O340</f>
        <v>0</v>
      </c>
      <c r="AV340" s="1">
        <f>IF($R340=0,0,INT($A340/$R340))</f>
        <v>0</v>
      </c>
      <c r="AW340" s="1">
        <f>$A340-$AV340*$R340</f>
        <v>0</v>
      </c>
    </row>
    <row r="341" ht="24.95" customHeight="1" outlineLevel="3" s="1" customFormat="1">
      <c r="A341" s="15"/>
      <c r="B341" s="16">
        <v>640</v>
      </c>
      <c r="C341" s="16">
        <v>960</v>
      </c>
      <c r="D341" s="16">
        <v>4723</v>
      </c>
      <c r="E341" s="18"/>
      <c r="F341" s="18" t="s">
        <v>1123</v>
      </c>
      <c r="G341" s="18" t="s">
        <v>1124</v>
      </c>
      <c r="H341" s="18" t="s">
        <v>86</v>
      </c>
      <c r="I341" s="18" t="s">
        <v>74</v>
      </c>
      <c r="J341" s="16">
        <v>2026</v>
      </c>
      <c r="K341" s="18" t="s">
        <v>1125</v>
      </c>
      <c r="L341" s="16">
        <v>9785961467154</v>
      </c>
      <c r="M341" s="18" t="s">
        <v>1126</v>
      </c>
      <c r="N341" s="16">
        <v>230</v>
      </c>
      <c r="O341" s="19">
        <v>0.4</v>
      </c>
      <c r="P341" s="16">
        <v>150</v>
      </c>
      <c r="Q341" s="16">
        <v>220</v>
      </c>
      <c r="R341" s="16">
        <v>10</v>
      </c>
      <c r="S341" s="18" t="s">
        <v>43</v>
      </c>
      <c r="T341" s="18"/>
      <c r="U341" s="17">
        <v>1000</v>
      </c>
      <c r="V341" s="18" t="s">
        <v>77</v>
      </c>
      <c r="W341" s="18" t="s">
        <v>184</v>
      </c>
      <c r="X341" s="16">
        <v>10</v>
      </c>
      <c r="Y341" s="43" t="str">
        <f>HYPERLINK("https://api-enni.alpina.ru/FilePrivilegesApproval/2","https://api-enni.alpina.ru/FilePrivilegesApproval/2")</f>
        <v>https://api-enni.alpina.ru/FilePrivilegesApproval/2</v>
      </c>
      <c r="Z341" s="18" t="s">
        <v>92</v>
      </c>
      <c r="AS341" s="1">
        <f>IF($A341&lt;&gt;0,1,0)</f>
        <v>0</v>
      </c>
      <c r="AT341" s="1">
        <f>$A341*$B341</f>
        <v>0</v>
      </c>
      <c r="AU341" s="1">
        <f>$A341*$O341</f>
        <v>0</v>
      </c>
      <c r="AV341" s="1">
        <f>IF($R341=0,0,INT($A341/$R341))</f>
        <v>0</v>
      </c>
      <c r="AW341" s="1">
        <f>$A341-$AV341*$R341</f>
        <v>0</v>
      </c>
    </row>
    <row r="342" ht="24.95" customHeight="1" outlineLevel="3" s="1" customFormat="1">
      <c r="A342" s="15"/>
      <c r="B342" s="16">
        <v>790</v>
      </c>
      <c r="C342" s="17">
        <v>1146</v>
      </c>
      <c r="D342" s="16">
        <v>25118</v>
      </c>
      <c r="E342" s="18"/>
      <c r="F342" s="18" t="s">
        <v>1127</v>
      </c>
      <c r="G342" s="18" t="s">
        <v>1128</v>
      </c>
      <c r="H342" s="18" t="s">
        <v>95</v>
      </c>
      <c r="I342" s="18"/>
      <c r="J342" s="16">
        <v>2022</v>
      </c>
      <c r="K342" s="18" t="s">
        <v>1129</v>
      </c>
      <c r="L342" s="16">
        <v>9785907534575</v>
      </c>
      <c r="M342" s="18" t="s">
        <v>1130</v>
      </c>
      <c r="N342" s="16">
        <v>189</v>
      </c>
      <c r="O342" s="19">
        <v>0.3</v>
      </c>
      <c r="P342" s="16">
        <v>146</v>
      </c>
      <c r="Q342" s="16">
        <v>216</v>
      </c>
      <c r="R342" s="16">
        <v>20</v>
      </c>
      <c r="S342" s="18" t="s">
        <v>43</v>
      </c>
      <c r="T342" s="18"/>
      <c r="U342" s="17">
        <v>1500</v>
      </c>
      <c r="V342" s="18" t="s">
        <v>77</v>
      </c>
      <c r="W342" s="18" t="s">
        <v>91</v>
      </c>
      <c r="X342" s="16">
        <v>10</v>
      </c>
      <c r="Y342" s="43" t="str">
        <f>HYPERLINK("https://api-enni.alpina.ru/FilePrivilegesApproval/143","https://api-enni.alpina.ru/FilePrivilegesApproval/143")</f>
        <v>https://api-enni.alpina.ru/FilePrivilegesApproval/143</v>
      </c>
      <c r="Z342" s="18"/>
      <c r="AS342" s="1">
        <f>IF($A342&lt;&gt;0,1,0)</f>
        <v>0</v>
      </c>
      <c r="AT342" s="1">
        <f>$A342*$B342</f>
        <v>0</v>
      </c>
      <c r="AU342" s="1">
        <f>$A342*$O342</f>
        <v>0</v>
      </c>
      <c r="AV342" s="1">
        <f>IF($R342=0,0,INT($A342/$R342))</f>
        <v>0</v>
      </c>
      <c r="AW342" s="1">
        <f>$A342-$AV342*$R342</f>
        <v>0</v>
      </c>
    </row>
    <row r="343" ht="24.95" customHeight="1" outlineLevel="3" s="1" customFormat="1">
      <c r="A343" s="15"/>
      <c r="B343" s="16">
        <v>590</v>
      </c>
      <c r="C343" s="16">
        <v>885</v>
      </c>
      <c r="D343" s="16">
        <v>32121</v>
      </c>
      <c r="E343" s="18"/>
      <c r="F343" s="18" t="s">
        <v>1131</v>
      </c>
      <c r="G343" s="18" t="s">
        <v>1132</v>
      </c>
      <c r="H343" s="18" t="s">
        <v>86</v>
      </c>
      <c r="I343" s="18"/>
      <c r="J343" s="16">
        <v>2026</v>
      </c>
      <c r="K343" s="18" t="s">
        <v>1133</v>
      </c>
      <c r="L343" s="16">
        <v>9785006301504</v>
      </c>
      <c r="M343" s="18" t="s">
        <v>1134</v>
      </c>
      <c r="N343" s="16">
        <v>264</v>
      </c>
      <c r="O343" s="19">
        <v>0.53</v>
      </c>
      <c r="P343" s="16">
        <v>170</v>
      </c>
      <c r="Q343" s="16">
        <v>240</v>
      </c>
      <c r="R343" s="16">
        <v>6</v>
      </c>
      <c r="S343" s="18" t="s">
        <v>123</v>
      </c>
      <c r="T343" s="18"/>
      <c r="U343" s="17">
        <v>2000</v>
      </c>
      <c r="V343" s="18" t="s">
        <v>44</v>
      </c>
      <c r="W343" s="18" t="s">
        <v>91</v>
      </c>
      <c r="X343" s="16">
        <v>10</v>
      </c>
      <c r="Y343" s="43" t="str">
        <f>HYPERLINK("https://api-enni.alpina.ru/FilePrivilegesApproval/1062","https://api-enni.alpina.ru/FilePrivilegesApproval/1062")</f>
        <v>https://api-enni.alpina.ru/FilePrivilegesApproval/1062</v>
      </c>
      <c r="Z343" s="18" t="s">
        <v>695</v>
      </c>
      <c r="AS343" s="1">
        <f>IF($A343&lt;&gt;0,1,0)</f>
        <v>0</v>
      </c>
      <c r="AT343" s="1">
        <f>$A343*$B343</f>
        <v>0</v>
      </c>
      <c r="AU343" s="1">
        <f>$A343*$O343</f>
        <v>0</v>
      </c>
      <c r="AV343" s="1">
        <f>IF($R343=0,0,INT($A343/$R343))</f>
        <v>0</v>
      </c>
      <c r="AW343" s="1">
        <f>$A343-$AV343*$R343</f>
        <v>0</v>
      </c>
    </row>
    <row r="344" ht="24.95" customHeight="1" outlineLevel="3" s="1" customFormat="1">
      <c r="A344" s="25"/>
      <c r="B344" s="26">
        <v>740</v>
      </c>
      <c r="C344" s="29">
        <v>1073</v>
      </c>
      <c r="D344" s="26">
        <v>27229</v>
      </c>
      <c r="E344" s="27"/>
      <c r="F344" s="27" t="s">
        <v>1135</v>
      </c>
      <c r="G344" s="27" t="s">
        <v>1136</v>
      </c>
      <c r="H344" s="27" t="s">
        <v>86</v>
      </c>
      <c r="I344" s="27" t="s">
        <v>74</v>
      </c>
      <c r="J344" s="26">
        <v>2025</v>
      </c>
      <c r="K344" s="27" t="s">
        <v>1137</v>
      </c>
      <c r="L344" s="26">
        <v>9785961484205</v>
      </c>
      <c r="M344" s="27" t="s">
        <v>1138</v>
      </c>
      <c r="N344" s="26">
        <v>224</v>
      </c>
      <c r="O344" s="28">
        <v>0.35</v>
      </c>
      <c r="P344" s="26">
        <v>140</v>
      </c>
      <c r="Q344" s="26">
        <v>210</v>
      </c>
      <c r="R344" s="26">
        <v>10</v>
      </c>
      <c r="S344" s="27" t="s">
        <v>43</v>
      </c>
      <c r="T344" s="27"/>
      <c r="U344" s="29">
        <v>1000</v>
      </c>
      <c r="V344" s="27" t="s">
        <v>44</v>
      </c>
      <c r="W344" s="27" t="s">
        <v>91</v>
      </c>
      <c r="X344" s="26">
        <v>10</v>
      </c>
      <c r="Y344" s="45" t="str">
        <f>HYPERLINK("https://api-enni.alpina.ru/FilePrivilegesApproval/313","https://api-enni.alpina.ru/FilePrivilegesApproval/313")</f>
        <v>https://api-enni.alpina.ru/FilePrivilegesApproval/313</v>
      </c>
      <c r="Z344" s="27"/>
      <c r="AS344" s="1">
        <f>IF($A344&lt;&gt;0,1,0)</f>
        <v>0</v>
      </c>
      <c r="AT344" s="1">
        <f>$A344*$B344</f>
        <v>0</v>
      </c>
      <c r="AU344" s="1">
        <f>$A344*$O344</f>
        <v>0</v>
      </c>
      <c r="AV344" s="1">
        <f>IF($R344=0,0,INT($A344/$R344))</f>
        <v>0</v>
      </c>
      <c r="AW344" s="1">
        <f>$A344-$AV344*$R344</f>
        <v>0</v>
      </c>
    </row>
    <row r="345" ht="24.95" customHeight="1" outlineLevel="3" s="1" customFormat="1">
      <c r="A345" s="15"/>
      <c r="B345" s="16">
        <v>590</v>
      </c>
      <c r="C345" s="16">
        <v>885</v>
      </c>
      <c r="D345" s="16">
        <v>33319</v>
      </c>
      <c r="E345" s="18"/>
      <c r="F345" s="18" t="s">
        <v>1139</v>
      </c>
      <c r="G345" s="18" t="s">
        <v>1140</v>
      </c>
      <c r="H345" s="18" t="s">
        <v>86</v>
      </c>
      <c r="I345" s="18"/>
      <c r="J345" s="16">
        <v>2026</v>
      </c>
      <c r="K345" s="18" t="s">
        <v>1141</v>
      </c>
      <c r="L345" s="16">
        <v>9785006304253</v>
      </c>
      <c r="M345" s="18" t="s">
        <v>1142</v>
      </c>
      <c r="N345" s="16">
        <v>242</v>
      </c>
      <c r="O345" s="19">
        <v>0.39</v>
      </c>
      <c r="P345" s="16">
        <v>150</v>
      </c>
      <c r="Q345" s="16">
        <v>220</v>
      </c>
      <c r="R345" s="16">
        <v>14</v>
      </c>
      <c r="S345" s="18" t="s">
        <v>43</v>
      </c>
      <c r="T345" s="18"/>
      <c r="U345" s="17">
        <v>2000</v>
      </c>
      <c r="V345" s="18" t="s">
        <v>77</v>
      </c>
      <c r="W345" s="18" t="s">
        <v>69</v>
      </c>
      <c r="X345" s="16">
        <v>10</v>
      </c>
      <c r="Y345" s="43" t="str">
        <f>HYPERLINK("https://api-enni.alpina.ru/FilePrivilegesApproval/873","https://api-enni.alpina.ru/FilePrivilegesApproval/873")</f>
        <v>https://api-enni.alpina.ru/FilePrivilegesApproval/873</v>
      </c>
      <c r="Z345" s="18" t="s">
        <v>78</v>
      </c>
      <c r="AS345" s="1">
        <f>IF($A345&lt;&gt;0,1,0)</f>
        <v>0</v>
      </c>
      <c r="AT345" s="1">
        <f>$A345*$B345</f>
        <v>0</v>
      </c>
      <c r="AU345" s="1">
        <f>$A345*$O345</f>
        <v>0</v>
      </c>
      <c r="AV345" s="1">
        <f>IF($R345=0,0,INT($A345/$R345))</f>
        <v>0</v>
      </c>
      <c r="AW345" s="1">
        <f>$A345-$AV345*$R345</f>
        <v>0</v>
      </c>
    </row>
    <row r="346" ht="24.95" customHeight="1" outlineLevel="3" s="1" customFormat="1">
      <c r="A346" s="15"/>
      <c r="B346" s="16">
        <v>590</v>
      </c>
      <c r="C346" s="16">
        <v>885</v>
      </c>
      <c r="D346" s="16">
        <v>28718</v>
      </c>
      <c r="E346" s="18"/>
      <c r="F346" s="18" t="s">
        <v>1143</v>
      </c>
      <c r="G346" s="18" t="s">
        <v>1144</v>
      </c>
      <c r="H346" s="18" t="s">
        <v>86</v>
      </c>
      <c r="I346" s="18"/>
      <c r="J346" s="16">
        <v>2025</v>
      </c>
      <c r="K346" s="18" t="s">
        <v>1145</v>
      </c>
      <c r="L346" s="16">
        <v>9785961489828</v>
      </c>
      <c r="M346" s="18" t="s">
        <v>1146</v>
      </c>
      <c r="N346" s="16">
        <v>280</v>
      </c>
      <c r="O346" s="19">
        <v>0.38</v>
      </c>
      <c r="P346" s="16">
        <v>150</v>
      </c>
      <c r="Q346" s="16">
        <v>220</v>
      </c>
      <c r="R346" s="16">
        <v>14</v>
      </c>
      <c r="S346" s="18" t="s">
        <v>43</v>
      </c>
      <c r="T346" s="18"/>
      <c r="U346" s="17">
        <v>1500</v>
      </c>
      <c r="V346" s="18" t="s">
        <v>77</v>
      </c>
      <c r="W346" s="18" t="s">
        <v>69</v>
      </c>
      <c r="X346" s="16">
        <v>10</v>
      </c>
      <c r="Y346" s="43" t="str">
        <f>HYPERLINK("https://api-enni.alpina.ru/FilePrivilegesApproval/831","https://api-enni.alpina.ru/FilePrivilegesApproval/831")</f>
        <v>https://api-enni.alpina.ru/FilePrivilegesApproval/831</v>
      </c>
      <c r="Z346" s="18"/>
      <c r="AS346" s="1">
        <f>IF($A346&lt;&gt;0,1,0)</f>
        <v>0</v>
      </c>
      <c r="AT346" s="1">
        <f>$A346*$B346</f>
        <v>0</v>
      </c>
      <c r="AU346" s="1">
        <f>$A346*$O346</f>
        <v>0</v>
      </c>
      <c r="AV346" s="1">
        <f>IF($R346=0,0,INT($A346/$R346))</f>
        <v>0</v>
      </c>
      <c r="AW346" s="1">
        <f>$A346-$AV346*$R346</f>
        <v>0</v>
      </c>
    </row>
    <row r="347" ht="24.95" customHeight="1" outlineLevel="3" s="1" customFormat="1">
      <c r="A347" s="15"/>
      <c r="B347" s="16">
        <v>590</v>
      </c>
      <c r="C347" s="16">
        <v>885</v>
      </c>
      <c r="D347" s="16">
        <v>29683</v>
      </c>
      <c r="E347" s="18"/>
      <c r="F347" s="18" t="s">
        <v>1147</v>
      </c>
      <c r="G347" s="18" t="s">
        <v>1148</v>
      </c>
      <c r="H347" s="18" t="s">
        <v>95</v>
      </c>
      <c r="I347" s="18"/>
      <c r="J347" s="16">
        <v>2025</v>
      </c>
      <c r="K347" s="18" t="s">
        <v>1149</v>
      </c>
      <c r="L347" s="16">
        <v>9785206002881</v>
      </c>
      <c r="M347" s="18" t="s">
        <v>1150</v>
      </c>
      <c r="N347" s="16">
        <v>144</v>
      </c>
      <c r="O347" s="19">
        <v>0.33</v>
      </c>
      <c r="P347" s="16">
        <v>150</v>
      </c>
      <c r="Q347" s="16">
        <v>220</v>
      </c>
      <c r="R347" s="16">
        <v>10</v>
      </c>
      <c r="S347" s="18" t="s">
        <v>43</v>
      </c>
      <c r="T347" s="18"/>
      <c r="U347" s="17">
        <v>1000</v>
      </c>
      <c r="V347" s="18" t="s">
        <v>77</v>
      </c>
      <c r="W347" s="18" t="s">
        <v>69</v>
      </c>
      <c r="X347" s="16">
        <v>10</v>
      </c>
      <c r="Y347" s="43" t="str">
        <f>HYPERLINK("https://api-enni.alpina.ru/FilePrivilegesApproval/394","https://api-enni.alpina.ru/FilePrivilegesApproval/394")</f>
        <v>https://api-enni.alpina.ru/FilePrivilegesApproval/394</v>
      </c>
      <c r="Z347" s="18"/>
      <c r="AS347" s="1">
        <f>IF($A347&lt;&gt;0,1,0)</f>
        <v>0</v>
      </c>
      <c r="AT347" s="1">
        <f>$A347*$B347</f>
        <v>0</v>
      </c>
      <c r="AU347" s="1">
        <f>$A347*$O347</f>
        <v>0</v>
      </c>
      <c r="AV347" s="1">
        <f>IF($R347=0,0,INT($A347/$R347))</f>
        <v>0</v>
      </c>
      <c r="AW347" s="1">
        <f>$A347-$AV347*$R347</f>
        <v>0</v>
      </c>
    </row>
    <row r="348" ht="24.95" customHeight="1" outlineLevel="3" s="1" customFormat="1">
      <c r="A348" s="15"/>
      <c r="B348" s="16">
        <v>590</v>
      </c>
      <c r="C348" s="16">
        <v>885</v>
      </c>
      <c r="D348" s="16">
        <v>30151</v>
      </c>
      <c r="E348" s="18"/>
      <c r="F348" s="18" t="s">
        <v>1151</v>
      </c>
      <c r="G348" s="18" t="s">
        <v>1152</v>
      </c>
      <c r="H348" s="18" t="s">
        <v>86</v>
      </c>
      <c r="I348" s="18" t="s">
        <v>74</v>
      </c>
      <c r="J348" s="16">
        <v>2025</v>
      </c>
      <c r="K348" s="18" t="s">
        <v>1153</v>
      </c>
      <c r="L348" s="16">
        <v>9785961494921</v>
      </c>
      <c r="M348" s="18" t="s">
        <v>1154</v>
      </c>
      <c r="N348" s="16">
        <v>269</v>
      </c>
      <c r="O348" s="19">
        <v>0.42</v>
      </c>
      <c r="P348" s="16">
        <v>150</v>
      </c>
      <c r="Q348" s="16">
        <v>220</v>
      </c>
      <c r="R348" s="16">
        <v>16</v>
      </c>
      <c r="S348" s="18" t="s">
        <v>43</v>
      </c>
      <c r="T348" s="18"/>
      <c r="U348" s="17">
        <v>1500</v>
      </c>
      <c r="V348" s="18" t="s">
        <v>77</v>
      </c>
      <c r="W348" s="18" t="s">
        <v>69</v>
      </c>
      <c r="X348" s="16">
        <v>10</v>
      </c>
      <c r="Y348" s="43" t="str">
        <f>HYPERLINK("https://api-enni.alpina.ru/FilePrivilegesApproval/758","https://api-enni.alpina.ru/FilePrivilegesApproval/758")</f>
        <v>https://api-enni.alpina.ru/FilePrivilegesApproval/758</v>
      </c>
      <c r="Z348" s="18"/>
      <c r="AS348" s="1">
        <f>IF($A348&lt;&gt;0,1,0)</f>
        <v>0</v>
      </c>
      <c r="AT348" s="1">
        <f>$A348*$B348</f>
        <v>0</v>
      </c>
      <c r="AU348" s="1">
        <f>$A348*$O348</f>
        <v>0</v>
      </c>
      <c r="AV348" s="1">
        <f>IF($R348=0,0,INT($A348/$R348))</f>
        <v>0</v>
      </c>
      <c r="AW348" s="1">
        <f>$A348-$AV348*$R348</f>
        <v>0</v>
      </c>
    </row>
    <row r="349" ht="24.95" customHeight="1" outlineLevel="3" s="1" customFormat="1">
      <c r="A349" s="15"/>
      <c r="B349" s="16">
        <v>490</v>
      </c>
      <c r="C349" s="16">
        <v>760</v>
      </c>
      <c r="D349" s="16">
        <v>31643</v>
      </c>
      <c r="E349" s="18"/>
      <c r="F349" s="18" t="s">
        <v>1139</v>
      </c>
      <c r="G349" s="18" t="s">
        <v>1155</v>
      </c>
      <c r="H349" s="18" t="s">
        <v>86</v>
      </c>
      <c r="I349" s="18"/>
      <c r="J349" s="16">
        <v>2025</v>
      </c>
      <c r="K349" s="18" t="s">
        <v>1156</v>
      </c>
      <c r="L349" s="16">
        <v>9785961499711</v>
      </c>
      <c r="M349" s="18" t="s">
        <v>1157</v>
      </c>
      <c r="N349" s="16">
        <v>253</v>
      </c>
      <c r="O349" s="19">
        <v>0.41</v>
      </c>
      <c r="P349" s="16">
        <v>150</v>
      </c>
      <c r="Q349" s="16">
        <v>220</v>
      </c>
      <c r="R349" s="16">
        <v>14</v>
      </c>
      <c r="S349" s="18" t="s">
        <v>43</v>
      </c>
      <c r="T349" s="18"/>
      <c r="U349" s="17">
        <v>3000</v>
      </c>
      <c r="V349" s="18" t="s">
        <v>77</v>
      </c>
      <c r="W349" s="18" t="s">
        <v>69</v>
      </c>
      <c r="X349" s="16">
        <v>10</v>
      </c>
      <c r="Y349" s="43" t="str">
        <f>HYPERLINK("https://api-enni.alpina.ru/FilePrivilegesApproval/713","https://api-enni.alpina.ru/FilePrivilegesApproval/713")</f>
        <v>https://api-enni.alpina.ru/FilePrivilegesApproval/713</v>
      </c>
      <c r="Z349" s="18"/>
      <c r="AS349" s="1">
        <f>IF($A349&lt;&gt;0,1,0)</f>
        <v>0</v>
      </c>
      <c r="AT349" s="1">
        <f>$A349*$B349</f>
        <v>0</v>
      </c>
      <c r="AU349" s="1">
        <f>$A349*$O349</f>
        <v>0</v>
      </c>
      <c r="AV349" s="1">
        <f>IF($R349=0,0,INT($A349/$R349))</f>
        <v>0</v>
      </c>
      <c r="AW349" s="1">
        <f>$A349-$AV349*$R349</f>
        <v>0</v>
      </c>
    </row>
    <row r="350" ht="24.95" customHeight="1" outlineLevel="3" s="1" customFormat="1">
      <c r="A350" s="15"/>
      <c r="B350" s="16">
        <v>540</v>
      </c>
      <c r="C350" s="16">
        <v>837</v>
      </c>
      <c r="D350" s="16">
        <v>33174</v>
      </c>
      <c r="E350" s="18"/>
      <c r="F350" s="18" t="s">
        <v>1139</v>
      </c>
      <c r="G350" s="18" t="s">
        <v>1158</v>
      </c>
      <c r="H350" s="18" t="s">
        <v>86</v>
      </c>
      <c r="I350" s="18"/>
      <c r="J350" s="16">
        <v>2025</v>
      </c>
      <c r="K350" s="18" t="s">
        <v>1159</v>
      </c>
      <c r="L350" s="16">
        <v>9785006303874</v>
      </c>
      <c r="M350" s="18" t="s">
        <v>1160</v>
      </c>
      <c r="N350" s="16">
        <v>240</v>
      </c>
      <c r="O350" s="19">
        <v>0.29</v>
      </c>
      <c r="P350" s="16">
        <v>140</v>
      </c>
      <c r="Q350" s="16">
        <v>210</v>
      </c>
      <c r="R350" s="16">
        <v>20</v>
      </c>
      <c r="S350" s="18" t="s">
        <v>43</v>
      </c>
      <c r="T350" s="18"/>
      <c r="U350" s="17">
        <v>3000</v>
      </c>
      <c r="V350" s="18" t="s">
        <v>44</v>
      </c>
      <c r="W350" s="18" t="s">
        <v>69</v>
      </c>
      <c r="X350" s="16">
        <v>10</v>
      </c>
      <c r="Y350" s="43" t="str">
        <f>HYPERLINK("https://api-enni.alpina.ru/FilePrivilegesApproval/713","https://api-enni.alpina.ru/FilePrivilegesApproval/713")</f>
        <v>https://api-enni.alpina.ru/FilePrivilegesApproval/713</v>
      </c>
      <c r="Z350" s="18"/>
      <c r="AS350" s="1">
        <f>IF($A350&lt;&gt;0,1,0)</f>
        <v>0</v>
      </c>
      <c r="AT350" s="1">
        <f>$A350*$B350</f>
        <v>0</v>
      </c>
      <c r="AU350" s="1">
        <f>$A350*$O350</f>
        <v>0</v>
      </c>
      <c r="AV350" s="1">
        <f>IF($R350=0,0,INT($A350/$R350))</f>
        <v>0</v>
      </c>
      <c r="AW350" s="1">
        <f>$A350-$AV350*$R350</f>
        <v>0</v>
      </c>
    </row>
    <row r="351" ht="24.95" customHeight="1" outlineLevel="3" s="1" customFormat="1">
      <c r="A351" s="15"/>
      <c r="B351" s="16">
        <v>390</v>
      </c>
      <c r="C351" s="16">
        <v>624</v>
      </c>
      <c r="D351" s="16">
        <v>31265</v>
      </c>
      <c r="E351" s="18"/>
      <c r="F351" s="18" t="s">
        <v>1161</v>
      </c>
      <c r="G351" s="18" t="s">
        <v>1162</v>
      </c>
      <c r="H351" s="18" t="s">
        <v>86</v>
      </c>
      <c r="I351" s="18" t="s">
        <v>74</v>
      </c>
      <c r="J351" s="16">
        <v>2024</v>
      </c>
      <c r="K351" s="18" t="s">
        <v>1163</v>
      </c>
      <c r="L351" s="16">
        <v>9785961498011</v>
      </c>
      <c r="M351" s="18" t="s">
        <v>1164</v>
      </c>
      <c r="N351" s="16">
        <v>266</v>
      </c>
      <c r="O351" s="19">
        <v>0.18</v>
      </c>
      <c r="P351" s="16">
        <v>120</v>
      </c>
      <c r="Q351" s="16">
        <v>170</v>
      </c>
      <c r="R351" s="16">
        <v>20</v>
      </c>
      <c r="S351" s="18" t="s">
        <v>190</v>
      </c>
      <c r="T351" s="18" t="s">
        <v>451</v>
      </c>
      <c r="U351" s="17">
        <v>2000</v>
      </c>
      <c r="V351" s="18" t="s">
        <v>44</v>
      </c>
      <c r="W351" s="18" t="s">
        <v>184</v>
      </c>
      <c r="X351" s="16">
        <v>10</v>
      </c>
      <c r="Y351" s="43" t="str">
        <f>HYPERLINK("https://api-enni.alpina.ru/FilePrivilegesApproval/546","https://api-enni.alpina.ru/FilePrivilegesApproval/546")</f>
        <v>https://api-enni.alpina.ru/FilePrivilegesApproval/546</v>
      </c>
      <c r="Z351" s="18"/>
      <c r="AS351" s="1">
        <f>IF($A351&lt;&gt;0,1,0)</f>
        <v>0</v>
      </c>
      <c r="AT351" s="1">
        <f>$A351*$B351</f>
        <v>0</v>
      </c>
      <c r="AU351" s="1">
        <f>$A351*$O351</f>
        <v>0</v>
      </c>
      <c r="AV351" s="1">
        <f>IF($R351=0,0,INT($A351/$R351))</f>
        <v>0</v>
      </c>
      <c r="AW351" s="1">
        <f>$A351-$AV351*$R351</f>
        <v>0</v>
      </c>
    </row>
    <row r="352" ht="24.95" customHeight="1" outlineLevel="3" s="1" customFormat="1">
      <c r="A352" s="15"/>
      <c r="B352" s="16">
        <v>690</v>
      </c>
      <c r="C352" s="17">
        <v>1035</v>
      </c>
      <c r="D352" s="16">
        <v>19023</v>
      </c>
      <c r="E352" s="18"/>
      <c r="F352" s="18" t="s">
        <v>1165</v>
      </c>
      <c r="G352" s="18" t="s">
        <v>1166</v>
      </c>
      <c r="H352" s="18" t="s">
        <v>86</v>
      </c>
      <c r="I352" s="18"/>
      <c r="J352" s="16">
        <v>2025</v>
      </c>
      <c r="K352" s="18" t="s">
        <v>1167</v>
      </c>
      <c r="L352" s="16">
        <v>9785961438406</v>
      </c>
      <c r="M352" s="18" t="s">
        <v>1168</v>
      </c>
      <c r="N352" s="16">
        <v>256</v>
      </c>
      <c r="O352" s="19">
        <v>0.43</v>
      </c>
      <c r="P352" s="16">
        <v>150</v>
      </c>
      <c r="Q352" s="16">
        <v>220</v>
      </c>
      <c r="R352" s="16">
        <v>14</v>
      </c>
      <c r="S352" s="18" t="s">
        <v>43</v>
      </c>
      <c r="T352" s="18"/>
      <c r="U352" s="17">
        <v>2000</v>
      </c>
      <c r="V352" s="18" t="s">
        <v>77</v>
      </c>
      <c r="W352" s="18" t="s">
        <v>69</v>
      </c>
      <c r="X352" s="16">
        <v>10</v>
      </c>
      <c r="Y352" s="43" t="str">
        <f>HYPERLINK("https://api-enni.alpina.ru/FilePrivilegesApproval/152","https://api-enni.alpina.ru/FilePrivilegesApproval/152")</f>
        <v>https://api-enni.alpina.ru/FilePrivilegesApproval/152</v>
      </c>
      <c r="Z352" s="18"/>
      <c r="AS352" s="1">
        <f>IF($A352&lt;&gt;0,1,0)</f>
        <v>0</v>
      </c>
      <c r="AT352" s="1">
        <f>$A352*$B352</f>
        <v>0</v>
      </c>
      <c r="AU352" s="1">
        <f>$A352*$O352</f>
        <v>0</v>
      </c>
      <c r="AV352" s="1">
        <f>IF($R352=0,0,INT($A352/$R352))</f>
        <v>0</v>
      </c>
      <c r="AW352" s="1">
        <f>$A352-$AV352*$R352</f>
        <v>0</v>
      </c>
    </row>
    <row r="353" ht="24.95" customHeight="1" outlineLevel="3" s="1" customFormat="1">
      <c r="A353" s="15"/>
      <c r="B353" s="16">
        <v>390</v>
      </c>
      <c r="C353" s="16">
        <v>624</v>
      </c>
      <c r="D353" s="16">
        <v>32256</v>
      </c>
      <c r="E353" s="18"/>
      <c r="F353" s="18" t="s">
        <v>1165</v>
      </c>
      <c r="G353" s="18" t="s">
        <v>1169</v>
      </c>
      <c r="H353" s="18" t="s">
        <v>86</v>
      </c>
      <c r="I353" s="18"/>
      <c r="J353" s="16">
        <v>2025</v>
      </c>
      <c r="K353" s="18" t="s">
        <v>1170</v>
      </c>
      <c r="L353" s="16">
        <v>9785006301726</v>
      </c>
      <c r="M353" s="18" t="s">
        <v>1171</v>
      </c>
      <c r="N353" s="16">
        <v>316</v>
      </c>
      <c r="O353" s="19">
        <v>0.21</v>
      </c>
      <c r="P353" s="16">
        <v>120</v>
      </c>
      <c r="Q353" s="16">
        <v>170</v>
      </c>
      <c r="R353" s="16">
        <v>12</v>
      </c>
      <c r="S353" s="18" t="s">
        <v>190</v>
      </c>
      <c r="T353" s="18" t="s">
        <v>959</v>
      </c>
      <c r="U353" s="17">
        <v>2000</v>
      </c>
      <c r="V353" s="18" t="s">
        <v>44</v>
      </c>
      <c r="W353" s="18" t="s">
        <v>69</v>
      </c>
      <c r="X353" s="16">
        <v>10</v>
      </c>
      <c r="Y353" s="43" t="str">
        <f>HYPERLINK("https://api-enni.alpina.ru/FilePrivilegesApproval/221","https://api-enni.alpina.ru/FilePrivilegesApproval/221")</f>
        <v>https://api-enni.alpina.ru/FilePrivilegesApproval/221</v>
      </c>
      <c r="Z353" s="18"/>
      <c r="AS353" s="1">
        <f>IF($A353&lt;&gt;0,1,0)</f>
        <v>0</v>
      </c>
      <c r="AT353" s="1">
        <f>$A353*$B353</f>
        <v>0</v>
      </c>
      <c r="AU353" s="1">
        <f>$A353*$O353</f>
        <v>0</v>
      </c>
      <c r="AV353" s="1">
        <f>IF($R353=0,0,INT($A353/$R353))</f>
        <v>0</v>
      </c>
      <c r="AW353" s="1">
        <f>$A353-$AV353*$R353</f>
        <v>0</v>
      </c>
    </row>
    <row r="354" ht="24.95" customHeight="1" outlineLevel="3" s="1" customFormat="1">
      <c r="A354" s="15"/>
      <c r="B354" s="16">
        <v>440</v>
      </c>
      <c r="C354" s="16">
        <v>682</v>
      </c>
      <c r="D354" s="16">
        <v>35510</v>
      </c>
      <c r="E354" s="18"/>
      <c r="F354" s="18" t="s">
        <v>1172</v>
      </c>
      <c r="G354" s="18" t="s">
        <v>1173</v>
      </c>
      <c r="H354" s="18" t="s">
        <v>86</v>
      </c>
      <c r="I354" s="18" t="s">
        <v>74</v>
      </c>
      <c r="J354" s="16">
        <v>2025</v>
      </c>
      <c r="K354" s="18" t="s">
        <v>1174</v>
      </c>
      <c r="L354" s="16">
        <v>9785006312319</v>
      </c>
      <c r="M354" s="18" t="s">
        <v>1175</v>
      </c>
      <c r="N354" s="16">
        <v>448</v>
      </c>
      <c r="O354" s="19">
        <v>0.29</v>
      </c>
      <c r="P354" s="16">
        <v>110</v>
      </c>
      <c r="Q354" s="16">
        <v>170</v>
      </c>
      <c r="R354" s="16">
        <v>8</v>
      </c>
      <c r="S354" s="18" t="s">
        <v>190</v>
      </c>
      <c r="T354" s="18" t="s">
        <v>451</v>
      </c>
      <c r="U354" s="17">
        <v>2000</v>
      </c>
      <c r="V354" s="18" t="s">
        <v>44</v>
      </c>
      <c r="W354" s="18" t="s">
        <v>69</v>
      </c>
      <c r="X354" s="16">
        <v>10</v>
      </c>
      <c r="Y354" s="43" t="str">
        <f>HYPERLINK("https://api-enni.alpina.ru/FilePrivilegesApproval/1036","https://api-enni.alpina.ru/FilePrivilegesApproval/1036")</f>
        <v>https://api-enni.alpina.ru/FilePrivilegesApproval/1036</v>
      </c>
      <c r="Z354" s="18"/>
      <c r="AS354" s="1">
        <f>IF($A354&lt;&gt;0,1,0)</f>
        <v>0</v>
      </c>
      <c r="AT354" s="1">
        <f>$A354*$B354</f>
        <v>0</v>
      </c>
      <c r="AU354" s="1">
        <f>$A354*$O354</f>
        <v>0</v>
      </c>
      <c r="AV354" s="1">
        <f>IF($R354=0,0,INT($A354/$R354))</f>
        <v>0</v>
      </c>
      <c r="AW354" s="1">
        <f>$A354-$AV354*$R354</f>
        <v>0</v>
      </c>
    </row>
    <row r="355" ht="24.95" customHeight="1" outlineLevel="3" s="1" customFormat="1">
      <c r="A355" s="15"/>
      <c r="B355" s="16">
        <v>690</v>
      </c>
      <c r="C355" s="17">
        <v>1035</v>
      </c>
      <c r="D355" s="16">
        <v>30339</v>
      </c>
      <c r="E355" s="18"/>
      <c r="F355" s="18" t="s">
        <v>1176</v>
      </c>
      <c r="G355" s="18" t="s">
        <v>1177</v>
      </c>
      <c r="H355" s="18" t="s">
        <v>86</v>
      </c>
      <c r="I355" s="18" t="s">
        <v>74</v>
      </c>
      <c r="J355" s="16">
        <v>2025</v>
      </c>
      <c r="K355" s="18" t="s">
        <v>1178</v>
      </c>
      <c r="L355" s="16">
        <v>9785961495270</v>
      </c>
      <c r="M355" s="18" t="s">
        <v>1179</v>
      </c>
      <c r="N355" s="16">
        <v>278</v>
      </c>
      <c r="O355" s="19">
        <v>0.35</v>
      </c>
      <c r="P355" s="16">
        <v>150</v>
      </c>
      <c r="Q355" s="16">
        <v>210</v>
      </c>
      <c r="R355" s="16">
        <v>16</v>
      </c>
      <c r="S355" s="18" t="s">
        <v>43</v>
      </c>
      <c r="T355" s="18"/>
      <c r="U355" s="17">
        <v>1500</v>
      </c>
      <c r="V355" s="18" t="s">
        <v>44</v>
      </c>
      <c r="W355" s="18" t="s">
        <v>69</v>
      </c>
      <c r="X355" s="16">
        <v>10</v>
      </c>
      <c r="Y355" s="43" t="str">
        <f>HYPERLINK("https://api-enni.alpina.ru/FilePrivilegesApproval/758","https://api-enni.alpina.ru/FilePrivilegesApproval/758")</f>
        <v>https://api-enni.alpina.ru/FilePrivilegesApproval/758</v>
      </c>
      <c r="Z355" s="18"/>
      <c r="AS355" s="1">
        <f>IF($A355&lt;&gt;0,1,0)</f>
        <v>0</v>
      </c>
      <c r="AT355" s="1">
        <f>$A355*$B355</f>
        <v>0</v>
      </c>
      <c r="AU355" s="1">
        <f>$A355*$O355</f>
        <v>0</v>
      </c>
      <c r="AV355" s="1">
        <f>IF($R355=0,0,INT($A355/$R355))</f>
        <v>0</v>
      </c>
      <c r="AW355" s="1">
        <f>$A355-$AV355*$R355</f>
        <v>0</v>
      </c>
    </row>
    <row r="356" ht="24.95" customHeight="1" outlineLevel="3" s="1" customFormat="1">
      <c r="A356" s="15"/>
      <c r="B356" s="16">
        <v>390</v>
      </c>
      <c r="C356" s="16">
        <v>624</v>
      </c>
      <c r="D356" s="16">
        <v>27421</v>
      </c>
      <c r="E356" s="18"/>
      <c r="F356" s="18" t="s">
        <v>1180</v>
      </c>
      <c r="G356" s="18" t="s">
        <v>1181</v>
      </c>
      <c r="H356" s="18" t="s">
        <v>86</v>
      </c>
      <c r="I356" s="18" t="s">
        <v>74</v>
      </c>
      <c r="J356" s="16">
        <v>2025</v>
      </c>
      <c r="K356" s="18" t="s">
        <v>1182</v>
      </c>
      <c r="L356" s="16">
        <v>9785961485264</v>
      </c>
      <c r="M356" s="18" t="s">
        <v>1183</v>
      </c>
      <c r="N356" s="16">
        <v>364</v>
      </c>
      <c r="O356" s="19">
        <v>0.28</v>
      </c>
      <c r="P356" s="16">
        <v>120</v>
      </c>
      <c r="Q356" s="16">
        <v>170</v>
      </c>
      <c r="R356" s="16">
        <v>14</v>
      </c>
      <c r="S356" s="18" t="s">
        <v>190</v>
      </c>
      <c r="T356" s="18" t="s">
        <v>959</v>
      </c>
      <c r="U356" s="17">
        <v>3000</v>
      </c>
      <c r="V356" s="18" t="s">
        <v>44</v>
      </c>
      <c r="W356" s="18" t="s">
        <v>91</v>
      </c>
      <c r="X356" s="16">
        <v>10</v>
      </c>
      <c r="Y356" s="43" t="str">
        <f>HYPERLINK("https://api-enni.alpina.ru/FilePrivilegesApproval/202","https://api-enni.alpina.ru/FilePrivilegesApproval/202")</f>
        <v>https://api-enni.alpina.ru/FilePrivilegesApproval/202</v>
      </c>
      <c r="Z356" s="18"/>
      <c r="AS356" s="1">
        <f>IF($A356&lt;&gt;0,1,0)</f>
        <v>0</v>
      </c>
      <c r="AT356" s="1">
        <f>$A356*$B356</f>
        <v>0</v>
      </c>
      <c r="AU356" s="1">
        <f>$A356*$O356</f>
        <v>0</v>
      </c>
      <c r="AV356" s="1">
        <f>IF($R356=0,0,INT($A356/$R356))</f>
        <v>0</v>
      </c>
      <c r="AW356" s="1">
        <f>$A356-$AV356*$R356</f>
        <v>0</v>
      </c>
    </row>
    <row r="357" ht="24.95" customHeight="1" outlineLevel="3" s="1" customFormat="1">
      <c r="A357" s="15"/>
      <c r="B357" s="16">
        <v>590</v>
      </c>
      <c r="C357" s="16">
        <v>885</v>
      </c>
      <c r="D357" s="16">
        <v>31299</v>
      </c>
      <c r="E357" s="18"/>
      <c r="F357" s="18" t="s">
        <v>1184</v>
      </c>
      <c r="G357" s="18" t="s">
        <v>1185</v>
      </c>
      <c r="H357" s="18" t="s">
        <v>86</v>
      </c>
      <c r="I357" s="18" t="s">
        <v>74</v>
      </c>
      <c r="J357" s="16">
        <v>2025</v>
      </c>
      <c r="K357" s="18" t="s">
        <v>1186</v>
      </c>
      <c r="L357" s="16">
        <v>9785961498165</v>
      </c>
      <c r="M357" s="18" t="s">
        <v>1187</v>
      </c>
      <c r="N357" s="16">
        <v>262</v>
      </c>
      <c r="O357" s="19">
        <v>0.41</v>
      </c>
      <c r="P357" s="16">
        <v>150</v>
      </c>
      <c r="Q357" s="16">
        <v>220</v>
      </c>
      <c r="R357" s="16">
        <v>16</v>
      </c>
      <c r="S357" s="18" t="s">
        <v>43</v>
      </c>
      <c r="T357" s="18"/>
      <c r="U357" s="17">
        <v>2000</v>
      </c>
      <c r="V357" s="18" t="s">
        <v>77</v>
      </c>
      <c r="W357" s="18" t="s">
        <v>69</v>
      </c>
      <c r="X357" s="16">
        <v>10</v>
      </c>
      <c r="Y357" s="43" t="str">
        <f>HYPERLINK("https://api-enni.alpina.ru/FilePrivilegesApproval/930","https://api-enni.alpina.ru/FilePrivilegesApproval/930")</f>
        <v>https://api-enni.alpina.ru/FilePrivilegesApproval/930</v>
      </c>
      <c r="Z357" s="18"/>
      <c r="AS357" s="1">
        <f>IF($A357&lt;&gt;0,1,0)</f>
        <v>0</v>
      </c>
      <c r="AT357" s="1">
        <f>$A357*$B357</f>
        <v>0</v>
      </c>
      <c r="AU357" s="1">
        <f>$A357*$O357</f>
        <v>0</v>
      </c>
      <c r="AV357" s="1">
        <f>IF($R357=0,0,INT($A357/$R357))</f>
        <v>0</v>
      </c>
      <c r="AW357" s="1">
        <f>$A357-$AV357*$R357</f>
        <v>0</v>
      </c>
    </row>
    <row r="358" ht="24.95" customHeight="1" outlineLevel="3" s="1" customFormat="1">
      <c r="A358" s="15"/>
      <c r="B358" s="16">
        <v>490</v>
      </c>
      <c r="C358" s="16">
        <v>760</v>
      </c>
      <c r="D358" s="16">
        <v>30377</v>
      </c>
      <c r="E358" s="18"/>
      <c r="F358" s="18" t="s">
        <v>1188</v>
      </c>
      <c r="G358" s="18" t="s">
        <v>1189</v>
      </c>
      <c r="H358" s="18" t="s">
        <v>86</v>
      </c>
      <c r="I358" s="18" t="s">
        <v>40</v>
      </c>
      <c r="J358" s="16">
        <v>2024</v>
      </c>
      <c r="K358" s="18" t="s">
        <v>1190</v>
      </c>
      <c r="L358" s="16">
        <v>9785961495379</v>
      </c>
      <c r="M358" s="18" t="s">
        <v>1191</v>
      </c>
      <c r="N358" s="16">
        <v>152</v>
      </c>
      <c r="O358" s="19">
        <v>0.23</v>
      </c>
      <c r="P358" s="16">
        <v>150</v>
      </c>
      <c r="Q358" s="16">
        <v>220</v>
      </c>
      <c r="R358" s="16">
        <v>20</v>
      </c>
      <c r="S358" s="18" t="s">
        <v>43</v>
      </c>
      <c r="T358" s="18"/>
      <c r="U358" s="17">
        <v>2000</v>
      </c>
      <c r="V358" s="18" t="s">
        <v>77</v>
      </c>
      <c r="W358" s="18" t="s">
        <v>91</v>
      </c>
      <c r="X358" s="16">
        <v>10</v>
      </c>
      <c r="Y358" s="43" t="str">
        <f>HYPERLINK("https://api-enni.alpina.ru/FilePrivilegesApproval/507","https://api-enni.alpina.ru/FilePrivilegesApproval/507")</f>
        <v>https://api-enni.alpina.ru/FilePrivilegesApproval/507</v>
      </c>
      <c r="Z358" s="18"/>
      <c r="AS358" s="1">
        <f>IF($A358&lt;&gt;0,1,0)</f>
        <v>0</v>
      </c>
      <c r="AT358" s="1">
        <f>$A358*$B358</f>
        <v>0</v>
      </c>
      <c r="AU358" s="1">
        <f>$A358*$O358</f>
        <v>0</v>
      </c>
      <c r="AV358" s="1">
        <f>IF($R358=0,0,INT($A358/$R358))</f>
        <v>0</v>
      </c>
      <c r="AW358" s="1">
        <f>$A358-$AV358*$R358</f>
        <v>0</v>
      </c>
    </row>
    <row r="359" ht="24.95" customHeight="1" outlineLevel="3" s="1" customFormat="1">
      <c r="A359" s="15"/>
      <c r="B359" s="16">
        <v>690</v>
      </c>
      <c r="C359" s="17">
        <v>1035</v>
      </c>
      <c r="D359" s="16">
        <v>32029</v>
      </c>
      <c r="E359" s="18"/>
      <c r="F359" s="18" t="s">
        <v>1192</v>
      </c>
      <c r="G359" s="18" t="s">
        <v>1193</v>
      </c>
      <c r="H359" s="18" t="s">
        <v>86</v>
      </c>
      <c r="I359" s="18" t="s">
        <v>74</v>
      </c>
      <c r="J359" s="16">
        <v>2025</v>
      </c>
      <c r="K359" s="18" t="s">
        <v>1194</v>
      </c>
      <c r="L359" s="16">
        <v>9785006300903</v>
      </c>
      <c r="M359" s="18" t="s">
        <v>1195</v>
      </c>
      <c r="N359" s="16">
        <v>213</v>
      </c>
      <c r="O359" s="19">
        <v>0.55</v>
      </c>
      <c r="P359" s="16">
        <v>170</v>
      </c>
      <c r="Q359" s="16">
        <v>240</v>
      </c>
      <c r="R359" s="16">
        <v>8</v>
      </c>
      <c r="S359" s="18" t="s">
        <v>123</v>
      </c>
      <c r="T359" s="18" t="s">
        <v>1196</v>
      </c>
      <c r="U359" s="17">
        <v>3000</v>
      </c>
      <c r="V359" s="18" t="s">
        <v>77</v>
      </c>
      <c r="W359" s="18" t="s">
        <v>91</v>
      </c>
      <c r="X359" s="16">
        <v>10</v>
      </c>
      <c r="Y359" s="43" t="str">
        <f>HYPERLINK("https://api-enni.alpina.ru/FilePrivilegesApproval/883","https://api-enni.alpina.ru/FilePrivilegesApproval/883")</f>
        <v>https://api-enni.alpina.ru/FilePrivilegesApproval/883</v>
      </c>
      <c r="Z359" s="18"/>
      <c r="AS359" s="1">
        <f>IF($A359&lt;&gt;0,1,0)</f>
        <v>0</v>
      </c>
      <c r="AT359" s="1">
        <f>$A359*$B359</f>
        <v>0</v>
      </c>
      <c r="AU359" s="1">
        <f>$A359*$O359</f>
        <v>0</v>
      </c>
      <c r="AV359" s="1">
        <f>IF($R359=0,0,INT($A359/$R359))</f>
        <v>0</v>
      </c>
      <c r="AW359" s="1">
        <f>$A359-$AV359*$R359</f>
        <v>0</v>
      </c>
    </row>
    <row r="360" ht="24.95" customHeight="1" outlineLevel="3" s="1" customFormat="1">
      <c r="A360" s="15"/>
      <c r="B360" s="16">
        <v>890</v>
      </c>
      <c r="C360" s="17">
        <v>1246</v>
      </c>
      <c r="D360" s="16">
        <v>902</v>
      </c>
      <c r="E360" s="18"/>
      <c r="F360" s="18" t="s">
        <v>469</v>
      </c>
      <c r="G360" s="18" t="s">
        <v>1197</v>
      </c>
      <c r="H360" s="18" t="s">
        <v>86</v>
      </c>
      <c r="I360" s="18" t="s">
        <v>74</v>
      </c>
      <c r="J360" s="16">
        <v>2025</v>
      </c>
      <c r="K360" s="18" t="s">
        <v>1198</v>
      </c>
      <c r="L360" s="16">
        <v>9785961469431</v>
      </c>
      <c r="M360" s="18" t="s">
        <v>1199</v>
      </c>
      <c r="N360" s="16">
        <v>416</v>
      </c>
      <c r="O360" s="19">
        <v>0.7</v>
      </c>
      <c r="P360" s="16">
        <v>163</v>
      </c>
      <c r="Q360" s="16">
        <v>235</v>
      </c>
      <c r="R360" s="16">
        <v>6</v>
      </c>
      <c r="S360" s="18" t="s">
        <v>123</v>
      </c>
      <c r="T360" s="18"/>
      <c r="U360" s="17">
        <v>1500</v>
      </c>
      <c r="V360" s="18" t="s">
        <v>44</v>
      </c>
      <c r="W360" s="18" t="s">
        <v>184</v>
      </c>
      <c r="X360" s="16">
        <v>10</v>
      </c>
      <c r="Y360" s="43" t="str">
        <f>HYPERLINK("https://api-enni.alpina.ru/FilePrivilegesApproval/2","https://api-enni.alpina.ru/FilePrivilegesApproval/2")</f>
        <v>https://api-enni.alpina.ru/FilePrivilegesApproval/2</v>
      </c>
      <c r="Z360" s="18"/>
      <c r="AS360" s="1">
        <f>IF($A360&lt;&gt;0,1,0)</f>
        <v>0</v>
      </c>
      <c r="AT360" s="1">
        <f>$A360*$B360</f>
        <v>0</v>
      </c>
      <c r="AU360" s="1">
        <f>$A360*$O360</f>
        <v>0</v>
      </c>
      <c r="AV360" s="1">
        <f>IF($R360=0,0,INT($A360/$R360))</f>
        <v>0</v>
      </c>
      <c r="AW360" s="1">
        <f>$A360-$AV360*$R360</f>
        <v>0</v>
      </c>
    </row>
    <row r="361" ht="21.95" customHeight="1" outlineLevel="3" s="1" customFormat="1">
      <c r="A361" s="15"/>
      <c r="B361" s="16">
        <v>890</v>
      </c>
      <c r="C361" s="17">
        <v>1246</v>
      </c>
      <c r="D361" s="16">
        <v>20570</v>
      </c>
      <c r="E361" s="18"/>
      <c r="F361" s="18" t="s">
        <v>546</v>
      </c>
      <c r="G361" s="18" t="s">
        <v>547</v>
      </c>
      <c r="H361" s="18" t="s">
        <v>86</v>
      </c>
      <c r="I361" s="18" t="s">
        <v>74</v>
      </c>
      <c r="J361" s="16">
        <v>2026</v>
      </c>
      <c r="K361" s="18" t="s">
        <v>548</v>
      </c>
      <c r="L361" s="16">
        <v>9785961440454</v>
      </c>
      <c r="M361" s="18" t="s">
        <v>549</v>
      </c>
      <c r="N361" s="16">
        <v>324</v>
      </c>
      <c r="O361" s="19">
        <v>0.49</v>
      </c>
      <c r="P361" s="16">
        <v>150</v>
      </c>
      <c r="Q361" s="16">
        <v>220</v>
      </c>
      <c r="R361" s="16">
        <v>10</v>
      </c>
      <c r="S361" s="18" t="s">
        <v>43</v>
      </c>
      <c r="T361" s="18"/>
      <c r="U361" s="17">
        <v>1000</v>
      </c>
      <c r="V361" s="18" t="s">
        <v>77</v>
      </c>
      <c r="W361" s="18" t="s">
        <v>91</v>
      </c>
      <c r="X361" s="16">
        <v>10</v>
      </c>
      <c r="Y361" s="43" t="str">
        <f>HYPERLINK("","")</f>
      </c>
      <c r="Z361" s="18" t="s">
        <v>246</v>
      </c>
      <c r="AS361" s="1">
        <f>IF($A361&lt;&gt;0,1,0)</f>
        <v>0</v>
      </c>
      <c r="AT361" s="1">
        <f>$A361*$B361</f>
        <v>0</v>
      </c>
      <c r="AU361" s="1">
        <f>$A361*$O361</f>
        <v>0</v>
      </c>
      <c r="AV361" s="1">
        <f>IF($R361=0,0,INT($A361/$R361))</f>
        <v>0</v>
      </c>
      <c r="AW361" s="1">
        <f>$A361-$AV361*$R361</f>
        <v>0</v>
      </c>
    </row>
    <row r="362" ht="24.95" customHeight="1" outlineLevel="3" s="1" customFormat="1">
      <c r="A362" s="25"/>
      <c r="B362" s="26">
        <v>390</v>
      </c>
      <c r="C362" s="26">
        <v>624</v>
      </c>
      <c r="D362" s="26">
        <v>29059</v>
      </c>
      <c r="E362" s="27"/>
      <c r="F362" s="27" t="s">
        <v>546</v>
      </c>
      <c r="G362" s="27" t="s">
        <v>1200</v>
      </c>
      <c r="H362" s="27" t="s">
        <v>86</v>
      </c>
      <c r="I362" s="27" t="s">
        <v>74</v>
      </c>
      <c r="J362" s="26">
        <v>2025</v>
      </c>
      <c r="K362" s="27" t="s">
        <v>1201</v>
      </c>
      <c r="L362" s="26">
        <v>9785961491265</v>
      </c>
      <c r="M362" s="27" t="s">
        <v>1202</v>
      </c>
      <c r="N362" s="26">
        <v>362</v>
      </c>
      <c r="O362" s="28">
        <v>0.24</v>
      </c>
      <c r="P362" s="26">
        <v>120</v>
      </c>
      <c r="Q362" s="26">
        <v>170</v>
      </c>
      <c r="R362" s="26">
        <v>16</v>
      </c>
      <c r="S362" s="27" t="s">
        <v>190</v>
      </c>
      <c r="T362" s="27" t="s">
        <v>959</v>
      </c>
      <c r="U362" s="29">
        <v>2000</v>
      </c>
      <c r="V362" s="27" t="s">
        <v>44</v>
      </c>
      <c r="W362" s="27" t="s">
        <v>91</v>
      </c>
      <c r="X362" s="26">
        <v>10</v>
      </c>
      <c r="Y362" s="45" t="str">
        <f>HYPERLINK("https://api-enni.alpina.ru/FilePrivilegesApproval/315","https://api-enni.alpina.ru/FilePrivilegesApproval/315")</f>
        <v>https://api-enni.alpina.ru/FilePrivilegesApproval/315</v>
      </c>
      <c r="Z362" s="27"/>
      <c r="AS362" s="1">
        <f>IF($A362&lt;&gt;0,1,0)</f>
        <v>0</v>
      </c>
      <c r="AT362" s="1">
        <f>$A362*$B362</f>
        <v>0</v>
      </c>
      <c r="AU362" s="1">
        <f>$A362*$O362</f>
        <v>0</v>
      </c>
      <c r="AV362" s="1">
        <f>IF($R362=0,0,INT($A362/$R362))</f>
        <v>0</v>
      </c>
      <c r="AW362" s="1">
        <f>$A362-$AV362*$R362</f>
        <v>0</v>
      </c>
    </row>
    <row r="363" ht="24.95" customHeight="1" outlineLevel="3" s="1" customFormat="1">
      <c r="A363" s="15"/>
      <c r="B363" s="16">
        <v>790</v>
      </c>
      <c r="C363" s="17">
        <v>1146</v>
      </c>
      <c r="D363" s="16">
        <v>28812</v>
      </c>
      <c r="E363" s="18"/>
      <c r="F363" s="18" t="s">
        <v>1203</v>
      </c>
      <c r="G363" s="18" t="s">
        <v>1204</v>
      </c>
      <c r="H363" s="18" t="s">
        <v>86</v>
      </c>
      <c r="I363" s="18" t="s">
        <v>74</v>
      </c>
      <c r="J363" s="16">
        <v>2025</v>
      </c>
      <c r="K363" s="18" t="s">
        <v>1205</v>
      </c>
      <c r="L363" s="16">
        <v>9785961490152</v>
      </c>
      <c r="M363" s="18" t="s">
        <v>1206</v>
      </c>
      <c r="N363" s="16">
        <v>306</v>
      </c>
      <c r="O363" s="19">
        <v>0.62</v>
      </c>
      <c r="P363" s="16">
        <v>170</v>
      </c>
      <c r="Q363" s="16">
        <v>240</v>
      </c>
      <c r="R363" s="16">
        <v>10</v>
      </c>
      <c r="S363" s="18" t="s">
        <v>123</v>
      </c>
      <c r="T363" s="18"/>
      <c r="U363" s="17">
        <v>1000</v>
      </c>
      <c r="V363" s="18" t="s">
        <v>77</v>
      </c>
      <c r="W363" s="18" t="s">
        <v>91</v>
      </c>
      <c r="X363" s="16">
        <v>10</v>
      </c>
      <c r="Y363" s="43" t="str">
        <f>HYPERLINK("https://api-enni.alpina.ru/FilePrivilegesApproval/405","https://api-enni.alpina.ru/FilePrivilegesApproval/405")</f>
        <v>https://api-enni.alpina.ru/FilePrivilegesApproval/405</v>
      </c>
      <c r="Z363" s="18"/>
      <c r="AS363" s="1">
        <f>IF($A363&lt;&gt;0,1,0)</f>
        <v>0</v>
      </c>
      <c r="AT363" s="1">
        <f>$A363*$B363</f>
        <v>0</v>
      </c>
      <c r="AU363" s="1">
        <f>$A363*$O363</f>
        <v>0</v>
      </c>
      <c r="AV363" s="1">
        <f>IF($R363=0,0,INT($A363/$R363))</f>
        <v>0</v>
      </c>
      <c r="AW363" s="1">
        <f>$A363-$AV363*$R363</f>
        <v>0</v>
      </c>
    </row>
    <row r="364" ht="24.95" customHeight="1" outlineLevel="3" s="1" customFormat="1">
      <c r="A364" s="15"/>
      <c r="B364" s="16">
        <v>590</v>
      </c>
      <c r="C364" s="16">
        <v>885</v>
      </c>
      <c r="D364" s="16">
        <v>28703</v>
      </c>
      <c r="E364" s="18"/>
      <c r="F364" s="18" t="s">
        <v>1207</v>
      </c>
      <c r="G364" s="18" t="s">
        <v>1208</v>
      </c>
      <c r="H364" s="18" t="s">
        <v>86</v>
      </c>
      <c r="I364" s="18" t="s">
        <v>74</v>
      </c>
      <c r="J364" s="16">
        <v>2024</v>
      </c>
      <c r="K364" s="18" t="s">
        <v>1209</v>
      </c>
      <c r="L364" s="16">
        <v>9785961489736</v>
      </c>
      <c r="M364" s="18" t="s">
        <v>1210</v>
      </c>
      <c r="N364" s="16">
        <v>352</v>
      </c>
      <c r="O364" s="19">
        <v>0.44</v>
      </c>
      <c r="P364" s="16">
        <v>140</v>
      </c>
      <c r="Q364" s="16">
        <v>210</v>
      </c>
      <c r="R364" s="16">
        <v>12</v>
      </c>
      <c r="S364" s="18" t="s">
        <v>43</v>
      </c>
      <c r="T364" s="18"/>
      <c r="U364" s="17">
        <v>2000</v>
      </c>
      <c r="V364" s="18" t="s">
        <v>44</v>
      </c>
      <c r="W364" s="18" t="s">
        <v>91</v>
      </c>
      <c r="X364" s="16">
        <v>10</v>
      </c>
      <c r="Y364" s="43" t="str">
        <f>HYPERLINK("https://api-enni.alpina.ru/FilePrivilegesApproval/336","https://api-enni.alpina.ru/FilePrivilegesApproval/336")</f>
        <v>https://api-enni.alpina.ru/FilePrivilegesApproval/336</v>
      </c>
      <c r="Z364" s="18"/>
      <c r="AS364" s="1">
        <f>IF($A364&lt;&gt;0,1,0)</f>
        <v>0</v>
      </c>
      <c r="AT364" s="1">
        <f>$A364*$B364</f>
        <v>0</v>
      </c>
      <c r="AU364" s="1">
        <f>$A364*$O364</f>
        <v>0</v>
      </c>
      <c r="AV364" s="1">
        <f>IF($R364=0,0,INT($A364/$R364))</f>
        <v>0</v>
      </c>
      <c r="AW364" s="1">
        <f>$A364-$AV364*$R364</f>
        <v>0</v>
      </c>
    </row>
    <row r="365" ht="24.95" customHeight="1" outlineLevel="3" s="1" customFormat="1">
      <c r="A365" s="15"/>
      <c r="B365" s="16">
        <v>590</v>
      </c>
      <c r="C365" s="16">
        <v>885</v>
      </c>
      <c r="D365" s="16">
        <v>27385</v>
      </c>
      <c r="E365" s="18"/>
      <c r="F365" s="18" t="s">
        <v>1211</v>
      </c>
      <c r="G365" s="18" t="s">
        <v>1212</v>
      </c>
      <c r="H365" s="18" t="s">
        <v>86</v>
      </c>
      <c r="I365" s="18" t="s">
        <v>1213</v>
      </c>
      <c r="J365" s="16">
        <v>2023</v>
      </c>
      <c r="K365" s="18" t="s">
        <v>1214</v>
      </c>
      <c r="L365" s="16">
        <v>9785961484779</v>
      </c>
      <c r="M365" s="18" t="s">
        <v>1215</v>
      </c>
      <c r="N365" s="16">
        <v>208</v>
      </c>
      <c r="O365" s="19">
        <v>0.55</v>
      </c>
      <c r="P365" s="16">
        <v>170</v>
      </c>
      <c r="Q365" s="16">
        <v>250</v>
      </c>
      <c r="R365" s="16">
        <v>8</v>
      </c>
      <c r="S365" s="18" t="s">
        <v>123</v>
      </c>
      <c r="T365" s="18"/>
      <c r="U365" s="17">
        <v>2500</v>
      </c>
      <c r="V365" s="18" t="s">
        <v>77</v>
      </c>
      <c r="W365" s="18" t="s">
        <v>91</v>
      </c>
      <c r="X365" s="16">
        <v>10</v>
      </c>
      <c r="Y365" s="43" t="str">
        <f>HYPERLINK("https://api-enni.alpina.ru/FilePrivilegesApproval/307","https://api-enni.alpina.ru/FilePrivilegesApproval/307")</f>
        <v>https://api-enni.alpina.ru/FilePrivilegesApproval/307</v>
      </c>
      <c r="Z365" s="18"/>
      <c r="AS365" s="1">
        <f>IF($A365&lt;&gt;0,1,0)</f>
        <v>0</v>
      </c>
      <c r="AT365" s="1">
        <f>$A365*$B365</f>
        <v>0</v>
      </c>
      <c r="AU365" s="1">
        <f>$A365*$O365</f>
        <v>0</v>
      </c>
      <c r="AV365" s="1">
        <f>IF($R365=0,0,INT($A365/$R365))</f>
        <v>0</v>
      </c>
      <c r="AW365" s="1">
        <f>$A365-$AV365*$R365</f>
        <v>0</v>
      </c>
    </row>
    <row r="366" ht="24.95" customHeight="1" outlineLevel="3" s="1" customFormat="1">
      <c r="A366" s="15"/>
      <c r="B366" s="16">
        <v>540</v>
      </c>
      <c r="C366" s="16">
        <v>837</v>
      </c>
      <c r="D366" s="16">
        <v>33399</v>
      </c>
      <c r="E366" s="18"/>
      <c r="F366" s="18" t="s">
        <v>1216</v>
      </c>
      <c r="G366" s="18" t="s">
        <v>1217</v>
      </c>
      <c r="H366" s="18" t="s">
        <v>86</v>
      </c>
      <c r="I366" s="18"/>
      <c r="J366" s="16">
        <v>2026</v>
      </c>
      <c r="K366" s="18" t="s">
        <v>1218</v>
      </c>
      <c r="L366" s="16">
        <v>9785006304598</v>
      </c>
      <c r="M366" s="18" t="s">
        <v>1219</v>
      </c>
      <c r="N366" s="16">
        <v>196</v>
      </c>
      <c r="O366" s="19">
        <v>0.25</v>
      </c>
      <c r="P366" s="16">
        <v>150</v>
      </c>
      <c r="Q366" s="16">
        <v>220</v>
      </c>
      <c r="R366" s="16">
        <v>22</v>
      </c>
      <c r="S366" s="18" t="s">
        <v>43</v>
      </c>
      <c r="T366" s="18"/>
      <c r="U366" s="17">
        <v>5000</v>
      </c>
      <c r="V366" s="18" t="s">
        <v>44</v>
      </c>
      <c r="W366" s="18" t="s">
        <v>69</v>
      </c>
      <c r="X366" s="16">
        <v>10</v>
      </c>
      <c r="Y366" s="43" t="str">
        <f>HYPERLINK("https://api-enni.alpina.ru/FilePrivilegesApproval/965","https://api-enni.alpina.ru/FilePrivilegesApproval/965")</f>
        <v>https://api-enni.alpina.ru/FilePrivilegesApproval/965</v>
      </c>
      <c r="Z366" s="18" t="s">
        <v>1220</v>
      </c>
      <c r="AS366" s="1">
        <f>IF($A366&lt;&gt;0,1,0)</f>
        <v>0</v>
      </c>
      <c r="AT366" s="1">
        <f>$A366*$B366</f>
        <v>0</v>
      </c>
      <c r="AU366" s="1">
        <f>$A366*$O366</f>
        <v>0</v>
      </c>
      <c r="AV366" s="1">
        <f>IF($R366=0,0,INT($A366/$R366))</f>
        <v>0</v>
      </c>
      <c r="AW366" s="1">
        <f>$A366-$AV366*$R366</f>
        <v>0</v>
      </c>
    </row>
    <row r="367" ht="24.95" customHeight="1" outlineLevel="3" s="1" customFormat="1">
      <c r="A367" s="15"/>
      <c r="B367" s="16">
        <v>590</v>
      </c>
      <c r="C367" s="16">
        <v>885</v>
      </c>
      <c r="D367" s="16">
        <v>11449</v>
      </c>
      <c r="E367" s="18"/>
      <c r="F367" s="18" t="s">
        <v>758</v>
      </c>
      <c r="G367" s="18" t="s">
        <v>1221</v>
      </c>
      <c r="H367" s="18" t="s">
        <v>86</v>
      </c>
      <c r="I367" s="18" t="s">
        <v>74</v>
      </c>
      <c r="J367" s="16">
        <v>2024</v>
      </c>
      <c r="K367" s="18" t="s">
        <v>1222</v>
      </c>
      <c r="L367" s="16">
        <v>9785961426625</v>
      </c>
      <c r="M367" s="18" t="s">
        <v>1223</v>
      </c>
      <c r="N367" s="16">
        <v>320</v>
      </c>
      <c r="O367" s="19">
        <v>0.44</v>
      </c>
      <c r="P367" s="16">
        <v>140</v>
      </c>
      <c r="Q367" s="16">
        <v>200</v>
      </c>
      <c r="R367" s="16">
        <v>6</v>
      </c>
      <c r="S367" s="18" t="s">
        <v>43</v>
      </c>
      <c r="T367" s="18"/>
      <c r="U367" s="17">
        <v>15000</v>
      </c>
      <c r="V367" s="18" t="s">
        <v>44</v>
      </c>
      <c r="W367" s="18" t="s">
        <v>69</v>
      </c>
      <c r="X367" s="16">
        <v>10</v>
      </c>
      <c r="Y367" s="43" t="str">
        <f>HYPERLINK("https://api-enni.alpina.ru/FilePrivilegesApproval/132","https://api-enni.alpina.ru/FilePrivilegesApproval/132")</f>
        <v>https://api-enni.alpina.ru/FilePrivilegesApproval/132</v>
      </c>
      <c r="Z367" s="18"/>
      <c r="AS367" s="1">
        <f>IF($A367&lt;&gt;0,1,0)</f>
        <v>0</v>
      </c>
      <c r="AT367" s="1">
        <f>$A367*$B367</f>
        <v>0</v>
      </c>
      <c r="AU367" s="1">
        <f>$A367*$O367</f>
        <v>0</v>
      </c>
      <c r="AV367" s="1">
        <f>IF($R367=0,0,INT($A367/$R367))</f>
        <v>0</v>
      </c>
      <c r="AW367" s="1">
        <f>$A367-$AV367*$R367</f>
        <v>0</v>
      </c>
    </row>
    <row r="368" ht="24.95" customHeight="1" outlineLevel="3" s="1" customFormat="1">
      <c r="A368" s="15"/>
      <c r="B368" s="16">
        <v>650</v>
      </c>
      <c r="C368" s="16">
        <v>975</v>
      </c>
      <c r="D368" s="16">
        <v>5352</v>
      </c>
      <c r="E368" s="18"/>
      <c r="F368" s="18" t="s">
        <v>1224</v>
      </c>
      <c r="G368" s="18" t="s">
        <v>1225</v>
      </c>
      <c r="H368" s="18" t="s">
        <v>73</v>
      </c>
      <c r="I368" s="18" t="s">
        <v>74</v>
      </c>
      <c r="J368" s="16">
        <v>2026</v>
      </c>
      <c r="K368" s="18" t="s">
        <v>1226</v>
      </c>
      <c r="L368" s="16">
        <v>9785916718805</v>
      </c>
      <c r="M368" s="18" t="s">
        <v>1227</v>
      </c>
      <c r="N368" s="16">
        <v>278</v>
      </c>
      <c r="O368" s="19">
        <v>0.43</v>
      </c>
      <c r="P368" s="16">
        <v>140</v>
      </c>
      <c r="Q368" s="16">
        <v>210</v>
      </c>
      <c r="R368" s="16">
        <v>16</v>
      </c>
      <c r="S368" s="18" t="s">
        <v>43</v>
      </c>
      <c r="T368" s="18"/>
      <c r="U368" s="17">
        <v>2000</v>
      </c>
      <c r="V368" s="18" t="s">
        <v>44</v>
      </c>
      <c r="W368" s="18" t="s">
        <v>69</v>
      </c>
      <c r="X368" s="16">
        <v>10</v>
      </c>
      <c r="Y368" s="43" t="str">
        <f>HYPERLINK("https://api-enni.alpina.ru/FilePrivilegesApproval/5","https://api-enni.alpina.ru/FilePrivilegesApproval/5")</f>
        <v>https://api-enni.alpina.ru/FilePrivilegesApproval/5</v>
      </c>
      <c r="Z368" s="18" t="s">
        <v>1228</v>
      </c>
      <c r="AS368" s="1">
        <f>IF($A368&lt;&gt;0,1,0)</f>
        <v>0</v>
      </c>
      <c r="AT368" s="1">
        <f>$A368*$B368</f>
        <v>0</v>
      </c>
      <c r="AU368" s="1">
        <f>$A368*$O368</f>
        <v>0</v>
      </c>
      <c r="AV368" s="1">
        <f>IF($R368=0,0,INT($A368/$R368))</f>
        <v>0</v>
      </c>
      <c r="AW368" s="1">
        <f>$A368-$AV368*$R368</f>
        <v>0</v>
      </c>
    </row>
    <row r="369" ht="24.95" customHeight="1" outlineLevel="3" s="1" customFormat="1">
      <c r="A369" s="15"/>
      <c r="B369" s="16">
        <v>540</v>
      </c>
      <c r="C369" s="16">
        <v>837</v>
      </c>
      <c r="D369" s="16">
        <v>29151</v>
      </c>
      <c r="E369" s="18"/>
      <c r="F369" s="18" t="s">
        <v>1229</v>
      </c>
      <c r="G369" s="18" t="s">
        <v>1230</v>
      </c>
      <c r="H369" s="18" t="s">
        <v>86</v>
      </c>
      <c r="I369" s="18" t="s">
        <v>74</v>
      </c>
      <c r="J369" s="16">
        <v>2024</v>
      </c>
      <c r="K369" s="18" t="s">
        <v>1231</v>
      </c>
      <c r="L369" s="16">
        <v>9785961491623</v>
      </c>
      <c r="M369" s="18" t="s">
        <v>1232</v>
      </c>
      <c r="N369" s="16">
        <v>184</v>
      </c>
      <c r="O369" s="19">
        <v>0.35</v>
      </c>
      <c r="P369" s="16">
        <v>150</v>
      </c>
      <c r="Q369" s="16">
        <v>220</v>
      </c>
      <c r="R369" s="16">
        <v>16</v>
      </c>
      <c r="S369" s="18" t="s">
        <v>43</v>
      </c>
      <c r="T369" s="18"/>
      <c r="U369" s="17">
        <v>2000</v>
      </c>
      <c r="V369" s="18" t="s">
        <v>77</v>
      </c>
      <c r="W369" s="18" t="s">
        <v>69</v>
      </c>
      <c r="X369" s="16">
        <v>10</v>
      </c>
      <c r="Y369" s="43" t="str">
        <f>HYPERLINK("https://api-enni.alpina.ru/FilePrivilegesApproval/376","https://api-enni.alpina.ru/FilePrivilegesApproval/376")</f>
        <v>https://api-enni.alpina.ru/FilePrivilegesApproval/376</v>
      </c>
      <c r="Z369" s="18"/>
      <c r="AS369" s="1">
        <f>IF($A369&lt;&gt;0,1,0)</f>
        <v>0</v>
      </c>
      <c r="AT369" s="1">
        <f>$A369*$B369</f>
        <v>0</v>
      </c>
      <c r="AU369" s="1">
        <f>$A369*$O369</f>
        <v>0</v>
      </c>
      <c r="AV369" s="1">
        <f>IF($R369=0,0,INT($A369/$R369))</f>
        <v>0</v>
      </c>
      <c r="AW369" s="1">
        <f>$A369-$AV369*$R369</f>
        <v>0</v>
      </c>
    </row>
    <row r="370" ht="24.95" customHeight="1" outlineLevel="3" s="1" customFormat="1">
      <c r="A370" s="15"/>
      <c r="B370" s="16">
        <v>380</v>
      </c>
      <c r="C370" s="16">
        <v>608</v>
      </c>
      <c r="D370" s="16">
        <v>30979</v>
      </c>
      <c r="E370" s="18"/>
      <c r="F370" s="18" t="s">
        <v>1233</v>
      </c>
      <c r="G370" s="18" t="s">
        <v>1234</v>
      </c>
      <c r="H370" s="18" t="s">
        <v>86</v>
      </c>
      <c r="I370" s="18" t="s">
        <v>74</v>
      </c>
      <c r="J370" s="16">
        <v>2025</v>
      </c>
      <c r="K370" s="18" t="s">
        <v>1235</v>
      </c>
      <c r="L370" s="16">
        <v>9785961497090</v>
      </c>
      <c r="M370" s="18" t="s">
        <v>1236</v>
      </c>
      <c r="N370" s="16">
        <v>480</v>
      </c>
      <c r="O370" s="19">
        <v>0.31</v>
      </c>
      <c r="P370" s="16">
        <v>120</v>
      </c>
      <c r="Q370" s="16">
        <v>170</v>
      </c>
      <c r="R370" s="16">
        <v>6</v>
      </c>
      <c r="S370" s="18" t="s">
        <v>190</v>
      </c>
      <c r="T370" s="18" t="s">
        <v>1237</v>
      </c>
      <c r="U370" s="17">
        <v>4000</v>
      </c>
      <c r="V370" s="18" t="s">
        <v>44</v>
      </c>
      <c r="W370" s="18" t="s">
        <v>91</v>
      </c>
      <c r="X370" s="16">
        <v>10</v>
      </c>
      <c r="Y370" s="43" t="str">
        <f>HYPERLINK("https://api-enni.alpina.ru/FilePrivilegesApproval/831","https://api-enni.alpina.ru/FilePrivilegesApproval/831")</f>
        <v>https://api-enni.alpina.ru/FilePrivilegesApproval/831</v>
      </c>
      <c r="Z370" s="18"/>
      <c r="AS370" s="1">
        <f>IF($A370&lt;&gt;0,1,0)</f>
        <v>0</v>
      </c>
      <c r="AT370" s="1">
        <f>$A370*$B370</f>
        <v>0</v>
      </c>
      <c r="AU370" s="1">
        <f>$A370*$O370</f>
        <v>0</v>
      </c>
      <c r="AV370" s="1">
        <f>IF($R370=0,0,INT($A370/$R370))</f>
        <v>0</v>
      </c>
      <c r="AW370" s="1">
        <f>$A370-$AV370*$R370</f>
        <v>0</v>
      </c>
    </row>
    <row r="371" ht="24.95" customHeight="1" outlineLevel="3" s="1" customFormat="1">
      <c r="A371" s="15"/>
      <c r="B371" s="16">
        <v>690</v>
      </c>
      <c r="C371" s="17">
        <v>1035</v>
      </c>
      <c r="D371" s="16">
        <v>17580</v>
      </c>
      <c r="E371" s="18"/>
      <c r="F371" s="18" t="s">
        <v>1238</v>
      </c>
      <c r="G371" s="18" t="s">
        <v>1239</v>
      </c>
      <c r="H371" s="18" t="s">
        <v>86</v>
      </c>
      <c r="I371" s="18" t="s">
        <v>87</v>
      </c>
      <c r="J371" s="16">
        <v>2025</v>
      </c>
      <c r="K371" s="18" t="s">
        <v>1240</v>
      </c>
      <c r="L371" s="16">
        <v>9785961458909</v>
      </c>
      <c r="M371" s="18" t="s">
        <v>1241</v>
      </c>
      <c r="N371" s="16">
        <v>232</v>
      </c>
      <c r="O371" s="19">
        <v>0.29</v>
      </c>
      <c r="P371" s="16">
        <v>140</v>
      </c>
      <c r="Q371" s="16">
        <v>220</v>
      </c>
      <c r="R371" s="16">
        <v>18</v>
      </c>
      <c r="S371" s="18" t="s">
        <v>43</v>
      </c>
      <c r="T371" s="18"/>
      <c r="U371" s="17">
        <v>5000</v>
      </c>
      <c r="V371" s="18" t="s">
        <v>44</v>
      </c>
      <c r="W371" s="18" t="s">
        <v>45</v>
      </c>
      <c r="X371" s="16">
        <v>10</v>
      </c>
      <c r="Y371" s="43" t="str">
        <f>HYPERLINK("https://api-enni.alpina.ru/FilePrivilegesApproval/128","https://api-enni.alpina.ru/FilePrivilegesApproval/128")</f>
        <v>https://api-enni.alpina.ru/FilePrivilegesApproval/128</v>
      </c>
      <c r="Z371" s="18"/>
      <c r="AS371" s="1">
        <f>IF($A371&lt;&gt;0,1,0)</f>
        <v>0</v>
      </c>
      <c r="AT371" s="1">
        <f>$A371*$B371</f>
        <v>0</v>
      </c>
      <c r="AU371" s="1">
        <f>$A371*$O371</f>
        <v>0</v>
      </c>
      <c r="AV371" s="1">
        <f>IF($R371=0,0,INT($A371/$R371))</f>
        <v>0</v>
      </c>
      <c r="AW371" s="1">
        <f>$A371-$AV371*$R371</f>
        <v>0</v>
      </c>
    </row>
    <row r="372" ht="24.95" customHeight="1" outlineLevel="3" s="1" customFormat="1">
      <c r="A372" s="15"/>
      <c r="B372" s="16">
        <v>990</v>
      </c>
      <c r="C372" s="17">
        <v>1386</v>
      </c>
      <c r="D372" s="16">
        <v>30209</v>
      </c>
      <c r="E372" s="18"/>
      <c r="F372" s="18" t="s">
        <v>1242</v>
      </c>
      <c r="G372" s="18" t="s">
        <v>1243</v>
      </c>
      <c r="H372" s="18" t="s">
        <v>86</v>
      </c>
      <c r="I372" s="18" t="s">
        <v>74</v>
      </c>
      <c r="J372" s="16">
        <v>2025</v>
      </c>
      <c r="K372" s="18" t="s">
        <v>1244</v>
      </c>
      <c r="L372" s="16">
        <v>9785961495058</v>
      </c>
      <c r="M372" s="18" t="s">
        <v>1245</v>
      </c>
      <c r="N372" s="16">
        <v>878</v>
      </c>
      <c r="O372" s="19">
        <v>1.22</v>
      </c>
      <c r="P372" s="16">
        <v>170</v>
      </c>
      <c r="Q372" s="16">
        <v>240</v>
      </c>
      <c r="R372" s="16">
        <v>3</v>
      </c>
      <c r="S372" s="18" t="s">
        <v>123</v>
      </c>
      <c r="T372" s="18"/>
      <c r="U372" s="17">
        <v>3000</v>
      </c>
      <c r="V372" s="18" t="s">
        <v>77</v>
      </c>
      <c r="W372" s="18" t="s">
        <v>69</v>
      </c>
      <c r="X372" s="16">
        <v>10</v>
      </c>
      <c r="Y372" s="43" t="str">
        <f>HYPERLINK("https://api-enni.alpina.ru/FilePrivilegesApproval/865","https://api-enni.alpina.ru/FilePrivilegesApproval/865")</f>
        <v>https://api-enni.alpina.ru/FilePrivilegesApproval/865</v>
      </c>
      <c r="Z372" s="18"/>
      <c r="AS372" s="1">
        <f>IF($A372&lt;&gt;0,1,0)</f>
        <v>0</v>
      </c>
      <c r="AT372" s="1">
        <f>$A372*$B372</f>
        <v>0</v>
      </c>
      <c r="AU372" s="1">
        <f>$A372*$O372</f>
        <v>0</v>
      </c>
      <c r="AV372" s="1">
        <f>IF($R372=0,0,INT($A372/$R372))</f>
        <v>0</v>
      </c>
      <c r="AW372" s="1">
        <f>$A372-$AV372*$R372</f>
        <v>0</v>
      </c>
    </row>
    <row r="373" ht="21.95" customHeight="1" outlineLevel="3" s="1" customFormat="1">
      <c r="A373" s="15"/>
      <c r="B373" s="16">
        <v>840</v>
      </c>
      <c r="C373" s="17">
        <v>1218</v>
      </c>
      <c r="D373" s="16">
        <v>36379</v>
      </c>
      <c r="E373" s="18"/>
      <c r="F373" s="18" t="s">
        <v>93</v>
      </c>
      <c r="G373" s="18" t="s">
        <v>94</v>
      </c>
      <c r="H373" s="18" t="s">
        <v>95</v>
      </c>
      <c r="I373" s="18"/>
      <c r="J373" s="16">
        <v>2026</v>
      </c>
      <c r="K373" s="18" t="s">
        <v>96</v>
      </c>
      <c r="L373" s="16">
        <v>9785206006483</v>
      </c>
      <c r="M373" s="18" t="s">
        <v>97</v>
      </c>
      <c r="N373" s="16">
        <v>240</v>
      </c>
      <c r="O373" s="19">
        <v>0.4</v>
      </c>
      <c r="P373" s="16">
        <v>150</v>
      </c>
      <c r="Q373" s="16">
        <v>220</v>
      </c>
      <c r="R373" s="16">
        <v>10</v>
      </c>
      <c r="S373" s="18" t="s">
        <v>43</v>
      </c>
      <c r="T373" s="18"/>
      <c r="U373" s="17">
        <v>1000</v>
      </c>
      <c r="V373" s="18" t="s">
        <v>77</v>
      </c>
      <c r="W373" s="18" t="s">
        <v>69</v>
      </c>
      <c r="X373" s="16">
        <v>10</v>
      </c>
      <c r="Y373" s="43" t="str">
        <f>HYPERLINK("","")</f>
      </c>
      <c r="Z373" s="18" t="s">
        <v>98</v>
      </c>
      <c r="AS373" s="1">
        <f>IF($A373&lt;&gt;0,1,0)</f>
        <v>0</v>
      </c>
      <c r="AT373" s="1">
        <f>$A373*$B373</f>
        <v>0</v>
      </c>
      <c r="AU373" s="1">
        <f>$A373*$O373</f>
        <v>0</v>
      </c>
      <c r="AV373" s="1">
        <f>IF($R373=0,0,INT($A373/$R373))</f>
        <v>0</v>
      </c>
      <c r="AW373" s="1">
        <f>$A373-$AV373*$R373</f>
        <v>0</v>
      </c>
    </row>
    <row r="374" ht="24.95" customHeight="1" outlineLevel="3" s="1" customFormat="1">
      <c r="A374" s="15"/>
      <c r="B374" s="16">
        <v>590</v>
      </c>
      <c r="C374" s="16">
        <v>885</v>
      </c>
      <c r="D374" s="16">
        <v>31639</v>
      </c>
      <c r="E374" s="18"/>
      <c r="F374" s="18" t="s">
        <v>1246</v>
      </c>
      <c r="G374" s="18" t="s">
        <v>1247</v>
      </c>
      <c r="H374" s="18" t="s">
        <v>86</v>
      </c>
      <c r="I374" s="18"/>
      <c r="J374" s="16">
        <v>2025</v>
      </c>
      <c r="K374" s="18" t="s">
        <v>1248</v>
      </c>
      <c r="L374" s="16">
        <v>9785961499681</v>
      </c>
      <c r="M374" s="18" t="s">
        <v>1249</v>
      </c>
      <c r="N374" s="16">
        <v>265</v>
      </c>
      <c r="O374" s="19">
        <v>0.36</v>
      </c>
      <c r="P374" s="16">
        <v>140</v>
      </c>
      <c r="Q374" s="16">
        <v>210</v>
      </c>
      <c r="R374" s="16">
        <v>16</v>
      </c>
      <c r="S374" s="18" t="s">
        <v>90</v>
      </c>
      <c r="T374" s="18"/>
      <c r="U374" s="17">
        <v>3000</v>
      </c>
      <c r="V374" s="18" t="s">
        <v>77</v>
      </c>
      <c r="W374" s="18" t="s">
        <v>69</v>
      </c>
      <c r="X374" s="16">
        <v>10</v>
      </c>
      <c r="Y374" s="43" t="str">
        <f>HYPERLINK("https://api-enni.alpina.ru/FilePrivilegesApproval/856","https://api-enni.alpina.ru/FilePrivilegesApproval/856")</f>
        <v>https://api-enni.alpina.ru/FilePrivilegesApproval/856</v>
      </c>
      <c r="Z374" s="18"/>
      <c r="AS374" s="1">
        <f>IF($A374&lt;&gt;0,1,0)</f>
        <v>0</v>
      </c>
      <c r="AT374" s="1">
        <f>$A374*$B374</f>
        <v>0</v>
      </c>
      <c r="AU374" s="1">
        <f>$A374*$O374</f>
        <v>0</v>
      </c>
      <c r="AV374" s="1">
        <f>IF($R374=0,0,INT($A374/$R374))</f>
        <v>0</v>
      </c>
      <c r="AW374" s="1">
        <f>$A374-$AV374*$R374</f>
        <v>0</v>
      </c>
    </row>
    <row r="375" ht="24.95" customHeight="1" outlineLevel="3" s="1" customFormat="1">
      <c r="A375" s="15"/>
      <c r="B375" s="16">
        <v>790</v>
      </c>
      <c r="C375" s="17">
        <v>1146</v>
      </c>
      <c r="D375" s="16">
        <v>26558</v>
      </c>
      <c r="E375" s="18"/>
      <c r="F375" s="18" t="s">
        <v>1250</v>
      </c>
      <c r="G375" s="18" t="s">
        <v>1251</v>
      </c>
      <c r="H375" s="18" t="s">
        <v>95</v>
      </c>
      <c r="I375" s="18"/>
      <c r="J375" s="16">
        <v>2023</v>
      </c>
      <c r="K375" s="18" t="s">
        <v>1252</v>
      </c>
      <c r="L375" s="16">
        <v>9785206000856</v>
      </c>
      <c r="M375" s="18" t="s">
        <v>1253</v>
      </c>
      <c r="N375" s="16">
        <v>156</v>
      </c>
      <c r="O375" s="19">
        <v>0.21</v>
      </c>
      <c r="P375" s="16">
        <v>141</v>
      </c>
      <c r="Q375" s="16">
        <v>210</v>
      </c>
      <c r="R375" s="16">
        <v>22</v>
      </c>
      <c r="S375" s="18" t="s">
        <v>43</v>
      </c>
      <c r="T375" s="18"/>
      <c r="U375" s="17">
        <v>2000</v>
      </c>
      <c r="V375" s="18" t="s">
        <v>44</v>
      </c>
      <c r="W375" s="18" t="s">
        <v>91</v>
      </c>
      <c r="X375" s="16">
        <v>10</v>
      </c>
      <c r="Y375" s="43" t="str">
        <f>HYPERLINK("https://api-enni.alpina.ru/FilePrivilegesApproval/167","https://api-enni.alpina.ru/FilePrivilegesApproval/167")</f>
        <v>https://api-enni.alpina.ru/FilePrivilegesApproval/167</v>
      </c>
      <c r="Z375" s="18"/>
      <c r="AS375" s="1">
        <f>IF($A375&lt;&gt;0,1,0)</f>
        <v>0</v>
      </c>
      <c r="AT375" s="1">
        <f>$A375*$B375</f>
        <v>0</v>
      </c>
      <c r="AU375" s="1">
        <f>$A375*$O375</f>
        <v>0</v>
      </c>
      <c r="AV375" s="1">
        <f>IF($R375=0,0,INT($A375/$R375))</f>
        <v>0</v>
      </c>
      <c r="AW375" s="1">
        <f>$A375-$AV375*$R375</f>
        <v>0</v>
      </c>
    </row>
    <row r="376" ht="24.95" customHeight="1" outlineLevel="3" s="1" customFormat="1">
      <c r="A376" s="15"/>
      <c r="B376" s="16">
        <v>690</v>
      </c>
      <c r="C376" s="17">
        <v>1035</v>
      </c>
      <c r="D376" s="16">
        <v>25605</v>
      </c>
      <c r="E376" s="18"/>
      <c r="F376" s="18" t="s">
        <v>1254</v>
      </c>
      <c r="G376" s="18" t="s">
        <v>1255</v>
      </c>
      <c r="H376" s="18" t="s">
        <v>86</v>
      </c>
      <c r="I376" s="18" t="s">
        <v>74</v>
      </c>
      <c r="J376" s="16">
        <v>2023</v>
      </c>
      <c r="K376" s="18" t="s">
        <v>1256</v>
      </c>
      <c r="L376" s="16">
        <v>9785961478235</v>
      </c>
      <c r="M376" s="18" t="s">
        <v>1257</v>
      </c>
      <c r="N376" s="16">
        <v>294</v>
      </c>
      <c r="O376" s="19">
        <v>0.45</v>
      </c>
      <c r="P376" s="16">
        <v>146</v>
      </c>
      <c r="Q376" s="16">
        <v>216</v>
      </c>
      <c r="R376" s="16">
        <v>12</v>
      </c>
      <c r="S376" s="18" t="s">
        <v>43</v>
      </c>
      <c r="T376" s="18"/>
      <c r="U376" s="17">
        <v>3000</v>
      </c>
      <c r="V376" s="18" t="s">
        <v>77</v>
      </c>
      <c r="W376" s="18" t="s">
        <v>184</v>
      </c>
      <c r="X376" s="16">
        <v>10</v>
      </c>
      <c r="Y376" s="43" t="str">
        <f>HYPERLINK("https://api-enni.alpina.ru/FilePrivilegesApproval/163","https://api-enni.alpina.ru/FilePrivilegesApproval/163")</f>
        <v>https://api-enni.alpina.ru/FilePrivilegesApproval/163</v>
      </c>
      <c r="Z376" s="18"/>
      <c r="AS376" s="1">
        <f>IF($A376&lt;&gt;0,1,0)</f>
        <v>0</v>
      </c>
      <c r="AT376" s="1">
        <f>$A376*$B376</f>
        <v>0</v>
      </c>
      <c r="AU376" s="1">
        <f>$A376*$O376</f>
        <v>0</v>
      </c>
      <c r="AV376" s="1">
        <f>IF($R376=0,0,INT($A376/$R376))</f>
        <v>0</v>
      </c>
      <c r="AW376" s="1">
        <f>$A376-$AV376*$R376</f>
        <v>0</v>
      </c>
    </row>
    <row r="377" ht="24.95" customHeight="1" outlineLevel="3" s="1" customFormat="1">
      <c r="A377" s="15"/>
      <c r="B377" s="16">
        <v>740</v>
      </c>
      <c r="C377" s="17">
        <v>1073</v>
      </c>
      <c r="D377" s="16">
        <v>33134</v>
      </c>
      <c r="E377" s="18"/>
      <c r="F377" s="18" t="s">
        <v>1258</v>
      </c>
      <c r="G377" s="18" t="s">
        <v>1259</v>
      </c>
      <c r="H377" s="18" t="s">
        <v>86</v>
      </c>
      <c r="I377" s="18" t="s">
        <v>74</v>
      </c>
      <c r="J377" s="16">
        <v>2026</v>
      </c>
      <c r="K377" s="18" t="s">
        <v>1260</v>
      </c>
      <c r="L377" s="16">
        <v>9785006303829</v>
      </c>
      <c r="M377" s="18" t="s">
        <v>1261</v>
      </c>
      <c r="N377" s="16">
        <v>334</v>
      </c>
      <c r="O377" s="19">
        <v>0.5</v>
      </c>
      <c r="P377" s="16">
        <v>140</v>
      </c>
      <c r="Q377" s="16">
        <v>220</v>
      </c>
      <c r="R377" s="16">
        <v>12</v>
      </c>
      <c r="S377" s="18" t="s">
        <v>43</v>
      </c>
      <c r="T377" s="18"/>
      <c r="U377" s="17">
        <v>2000</v>
      </c>
      <c r="V377" s="18" t="s">
        <v>77</v>
      </c>
      <c r="W377" s="18" t="s">
        <v>91</v>
      </c>
      <c r="X377" s="16">
        <v>10</v>
      </c>
      <c r="Y377" s="43" t="str">
        <f>HYPERLINK("https://api-enni.alpina.ru/FilePrivilegesApproval/1052","https://api-enni.alpina.ru/FilePrivilegesApproval/1052")</f>
        <v>https://api-enni.alpina.ru/FilePrivilegesApproval/1052</v>
      </c>
      <c r="Z377" s="18"/>
      <c r="AS377" s="1">
        <f>IF($A377&lt;&gt;0,1,0)</f>
        <v>0</v>
      </c>
      <c r="AT377" s="1">
        <f>$A377*$B377</f>
        <v>0</v>
      </c>
      <c r="AU377" s="1">
        <f>$A377*$O377</f>
        <v>0</v>
      </c>
      <c r="AV377" s="1">
        <f>IF($R377=0,0,INT($A377/$R377))</f>
        <v>0</v>
      </c>
      <c r="AW377" s="1">
        <f>$A377-$AV377*$R377</f>
        <v>0</v>
      </c>
    </row>
    <row r="378" ht="24.95" customHeight="1" outlineLevel="3" s="1" customFormat="1">
      <c r="A378" s="15"/>
      <c r="B378" s="16">
        <v>490</v>
      </c>
      <c r="C378" s="16">
        <v>760</v>
      </c>
      <c r="D378" s="16">
        <v>23467</v>
      </c>
      <c r="E378" s="18"/>
      <c r="F378" s="18" t="s">
        <v>1262</v>
      </c>
      <c r="G378" s="18" t="s">
        <v>1263</v>
      </c>
      <c r="H378" s="18" t="s">
        <v>86</v>
      </c>
      <c r="I378" s="18" t="s">
        <v>74</v>
      </c>
      <c r="J378" s="16">
        <v>2025</v>
      </c>
      <c r="K378" s="18" t="s">
        <v>1264</v>
      </c>
      <c r="L378" s="16">
        <v>9785961478211</v>
      </c>
      <c r="M378" s="18" t="s">
        <v>1265</v>
      </c>
      <c r="N378" s="16">
        <v>188</v>
      </c>
      <c r="O378" s="19">
        <v>0.24</v>
      </c>
      <c r="P378" s="16">
        <v>140</v>
      </c>
      <c r="Q378" s="16">
        <v>210</v>
      </c>
      <c r="R378" s="16">
        <v>20</v>
      </c>
      <c r="S378" s="18" t="s">
        <v>43</v>
      </c>
      <c r="T378" s="18" t="s">
        <v>1266</v>
      </c>
      <c r="U378" s="17">
        <v>6000</v>
      </c>
      <c r="V378" s="18" t="s">
        <v>44</v>
      </c>
      <c r="W378" s="18" t="s">
        <v>55</v>
      </c>
      <c r="X378" s="16">
        <v>10</v>
      </c>
      <c r="Y378" s="43" t="str">
        <f>HYPERLINK("https://api-enni.alpina.ru/FilePrivilegesApproval/157","https://api-enni.alpina.ru/FilePrivilegesApproval/157")</f>
        <v>https://api-enni.alpina.ru/FilePrivilegesApproval/157</v>
      </c>
      <c r="Z378" s="18"/>
      <c r="AS378" s="1">
        <f>IF($A378&lt;&gt;0,1,0)</f>
        <v>0</v>
      </c>
      <c r="AT378" s="1">
        <f>$A378*$B378</f>
        <v>0</v>
      </c>
      <c r="AU378" s="1">
        <f>$A378*$O378</f>
        <v>0</v>
      </c>
      <c r="AV378" s="1">
        <f>IF($R378=0,0,INT($A378/$R378))</f>
        <v>0</v>
      </c>
      <c r="AW378" s="1">
        <f>$A378-$AV378*$R378</f>
        <v>0</v>
      </c>
    </row>
    <row r="379" ht="24.95" customHeight="1" outlineLevel="3" s="1" customFormat="1">
      <c r="A379" s="15"/>
      <c r="B379" s="16">
        <v>390</v>
      </c>
      <c r="C379" s="16">
        <v>624</v>
      </c>
      <c r="D379" s="16">
        <v>31018</v>
      </c>
      <c r="E379" s="18"/>
      <c r="F379" s="18" t="s">
        <v>1267</v>
      </c>
      <c r="G379" s="18" t="s">
        <v>1268</v>
      </c>
      <c r="H379" s="18" t="s">
        <v>86</v>
      </c>
      <c r="I379" s="18" t="s">
        <v>74</v>
      </c>
      <c r="J379" s="16">
        <v>2024</v>
      </c>
      <c r="K379" s="18" t="s">
        <v>1269</v>
      </c>
      <c r="L379" s="16">
        <v>9785961497199</v>
      </c>
      <c r="M379" s="18" t="s">
        <v>1270</v>
      </c>
      <c r="N379" s="16">
        <v>383</v>
      </c>
      <c r="O379" s="19">
        <v>0.25</v>
      </c>
      <c r="P379" s="16">
        <v>110</v>
      </c>
      <c r="Q379" s="16">
        <v>170</v>
      </c>
      <c r="R379" s="16">
        <v>12</v>
      </c>
      <c r="S379" s="18" t="s">
        <v>190</v>
      </c>
      <c r="T379" s="18" t="s">
        <v>1271</v>
      </c>
      <c r="U379" s="17">
        <v>2000</v>
      </c>
      <c r="V379" s="18" t="s">
        <v>44</v>
      </c>
      <c r="W379" s="18" t="s">
        <v>55</v>
      </c>
      <c r="X379" s="16">
        <v>10</v>
      </c>
      <c r="Y379" s="43" t="str">
        <f>HYPERLINK("https://api-enni.alpina.ru/FilePrivilegesApproval/507","https://api-enni.alpina.ru/FilePrivilegesApproval/507")</f>
        <v>https://api-enni.alpina.ru/FilePrivilegesApproval/507</v>
      </c>
      <c r="Z379" s="18"/>
      <c r="AS379" s="1">
        <f>IF($A379&lt;&gt;0,1,0)</f>
        <v>0</v>
      </c>
      <c r="AT379" s="1">
        <f>$A379*$B379</f>
        <v>0</v>
      </c>
      <c r="AU379" s="1">
        <f>$A379*$O379</f>
        <v>0</v>
      </c>
      <c r="AV379" s="1">
        <f>IF($R379=0,0,INT($A379/$R379))</f>
        <v>0</v>
      </c>
      <c r="AW379" s="1">
        <f>$A379-$AV379*$R379</f>
        <v>0</v>
      </c>
    </row>
    <row r="380" ht="24.95" customHeight="1" outlineLevel="3" s="1" customFormat="1">
      <c r="A380" s="15"/>
      <c r="B380" s="16">
        <v>540</v>
      </c>
      <c r="C380" s="16">
        <v>837</v>
      </c>
      <c r="D380" s="16">
        <v>27794</v>
      </c>
      <c r="E380" s="18"/>
      <c r="F380" s="18" t="s">
        <v>1272</v>
      </c>
      <c r="G380" s="18" t="s">
        <v>1273</v>
      </c>
      <c r="H380" s="18" t="s">
        <v>86</v>
      </c>
      <c r="I380" s="18" t="s">
        <v>74</v>
      </c>
      <c r="J380" s="16">
        <v>2023</v>
      </c>
      <c r="K380" s="18" t="s">
        <v>1274</v>
      </c>
      <c r="L380" s="16">
        <v>9785961486414</v>
      </c>
      <c r="M380" s="18" t="s">
        <v>1275</v>
      </c>
      <c r="N380" s="16">
        <v>272</v>
      </c>
      <c r="O380" s="19">
        <v>0.32</v>
      </c>
      <c r="P380" s="16">
        <v>140</v>
      </c>
      <c r="Q380" s="16">
        <v>210</v>
      </c>
      <c r="R380" s="16">
        <v>10</v>
      </c>
      <c r="S380" s="18" t="s">
        <v>43</v>
      </c>
      <c r="T380" s="18"/>
      <c r="U380" s="17">
        <v>2000</v>
      </c>
      <c r="V380" s="18" t="s">
        <v>44</v>
      </c>
      <c r="W380" s="18" t="s">
        <v>91</v>
      </c>
      <c r="X380" s="16">
        <v>10</v>
      </c>
      <c r="Y380" s="43" t="str">
        <f>HYPERLINK("https://api-enni.alpina.ru/FilePrivilegesApproval/313","https://api-enni.alpina.ru/FilePrivilegesApproval/313")</f>
        <v>https://api-enni.alpina.ru/FilePrivilegesApproval/313</v>
      </c>
      <c r="Z380" s="18"/>
      <c r="AS380" s="1">
        <f>IF($A380&lt;&gt;0,1,0)</f>
        <v>0</v>
      </c>
      <c r="AT380" s="1">
        <f>$A380*$B380</f>
        <v>0</v>
      </c>
      <c r="AU380" s="1">
        <f>$A380*$O380</f>
        <v>0</v>
      </c>
      <c r="AV380" s="1">
        <f>IF($R380=0,0,INT($A380/$R380))</f>
        <v>0</v>
      </c>
      <c r="AW380" s="1">
        <f>$A380-$AV380*$R380</f>
        <v>0</v>
      </c>
    </row>
    <row r="381" ht="24.95" customHeight="1" outlineLevel="3" s="1" customFormat="1">
      <c r="A381" s="15"/>
      <c r="B381" s="16">
        <v>890</v>
      </c>
      <c r="C381" s="17">
        <v>1246</v>
      </c>
      <c r="D381" s="16">
        <v>27533</v>
      </c>
      <c r="E381" s="18"/>
      <c r="F381" s="18" t="s">
        <v>1276</v>
      </c>
      <c r="G381" s="18" t="s">
        <v>1277</v>
      </c>
      <c r="H381" s="18" t="s">
        <v>86</v>
      </c>
      <c r="I381" s="18" t="s">
        <v>74</v>
      </c>
      <c r="J381" s="16">
        <v>2023</v>
      </c>
      <c r="K381" s="18" t="s">
        <v>1278</v>
      </c>
      <c r="L381" s="16">
        <v>9785961485523</v>
      </c>
      <c r="M381" s="18" t="s">
        <v>1279</v>
      </c>
      <c r="N381" s="16">
        <v>262</v>
      </c>
      <c r="O381" s="19">
        <v>0.41</v>
      </c>
      <c r="P381" s="16">
        <v>150</v>
      </c>
      <c r="Q381" s="16">
        <v>220</v>
      </c>
      <c r="R381" s="16">
        <v>16</v>
      </c>
      <c r="S381" s="18" t="s">
        <v>43</v>
      </c>
      <c r="T381" s="18"/>
      <c r="U381" s="17">
        <v>2000</v>
      </c>
      <c r="V381" s="18" t="s">
        <v>77</v>
      </c>
      <c r="W381" s="18" t="s">
        <v>91</v>
      </c>
      <c r="X381" s="16">
        <v>10</v>
      </c>
      <c r="Y381" s="43" t="str">
        <f>HYPERLINK("https://api-enni.alpina.ru/FilePrivilegesApproval/302","https://api-enni.alpina.ru/FilePrivilegesApproval/302")</f>
        <v>https://api-enni.alpina.ru/FilePrivilegesApproval/302</v>
      </c>
      <c r="Z381" s="18"/>
      <c r="AS381" s="1">
        <f>IF($A381&lt;&gt;0,1,0)</f>
        <v>0</v>
      </c>
      <c r="AT381" s="1">
        <f>$A381*$B381</f>
        <v>0</v>
      </c>
      <c r="AU381" s="1">
        <f>$A381*$O381</f>
        <v>0</v>
      </c>
      <c r="AV381" s="1">
        <f>IF($R381=0,0,INT($A381/$R381))</f>
        <v>0</v>
      </c>
      <c r="AW381" s="1">
        <f>$A381-$AV381*$R381</f>
        <v>0</v>
      </c>
    </row>
    <row r="382" ht="24.95" customHeight="1" outlineLevel="3" s="1" customFormat="1">
      <c r="A382" s="15"/>
      <c r="B382" s="16">
        <v>540</v>
      </c>
      <c r="C382" s="16">
        <v>837</v>
      </c>
      <c r="D382" s="16">
        <v>25045</v>
      </c>
      <c r="E382" s="18"/>
      <c r="F382" s="18" t="s">
        <v>1280</v>
      </c>
      <c r="G382" s="18" t="s">
        <v>1281</v>
      </c>
      <c r="H382" s="18" t="s">
        <v>95</v>
      </c>
      <c r="I382" s="18"/>
      <c r="J382" s="16">
        <v>2022</v>
      </c>
      <c r="K382" s="18" t="s">
        <v>1282</v>
      </c>
      <c r="L382" s="16">
        <v>9785907534391</v>
      </c>
      <c r="M382" s="18" t="s">
        <v>1283</v>
      </c>
      <c r="N382" s="16">
        <v>110</v>
      </c>
      <c r="O382" s="19">
        <v>0.15</v>
      </c>
      <c r="P382" s="16">
        <v>141</v>
      </c>
      <c r="Q382" s="16">
        <v>210</v>
      </c>
      <c r="R382" s="16">
        <v>30</v>
      </c>
      <c r="S382" s="18" t="s">
        <v>43</v>
      </c>
      <c r="T382" s="18"/>
      <c r="U382" s="17">
        <v>1500</v>
      </c>
      <c r="V382" s="18" t="s">
        <v>44</v>
      </c>
      <c r="W382" s="18" t="s">
        <v>91</v>
      </c>
      <c r="X382" s="16">
        <v>10</v>
      </c>
      <c r="Y382" s="43" t="str">
        <f>HYPERLINK("https://api-enni.alpina.ru/FilePrivilegesApproval/139","https://api-enni.alpina.ru/FilePrivilegesApproval/139")</f>
        <v>https://api-enni.alpina.ru/FilePrivilegesApproval/139</v>
      </c>
      <c r="Z382" s="18"/>
      <c r="AS382" s="1">
        <f>IF($A382&lt;&gt;0,1,0)</f>
        <v>0</v>
      </c>
      <c r="AT382" s="1">
        <f>$A382*$B382</f>
        <v>0</v>
      </c>
      <c r="AU382" s="1">
        <f>$A382*$O382</f>
        <v>0</v>
      </c>
      <c r="AV382" s="1">
        <f>IF($R382=0,0,INT($A382/$R382))</f>
        <v>0</v>
      </c>
      <c r="AW382" s="1">
        <f>$A382-$AV382*$R382</f>
        <v>0</v>
      </c>
    </row>
    <row r="383" ht="24.95" customHeight="1" outlineLevel="3" s="1" customFormat="1">
      <c r="A383" s="15"/>
      <c r="B383" s="16">
        <v>790</v>
      </c>
      <c r="C383" s="17">
        <v>1146</v>
      </c>
      <c r="D383" s="16">
        <v>24349</v>
      </c>
      <c r="E383" s="18"/>
      <c r="F383" s="18" t="s">
        <v>582</v>
      </c>
      <c r="G383" s="18" t="s">
        <v>583</v>
      </c>
      <c r="H383" s="18" t="s">
        <v>95</v>
      </c>
      <c r="I383" s="18"/>
      <c r="J383" s="16">
        <v>2026</v>
      </c>
      <c r="K383" s="18" t="s">
        <v>584</v>
      </c>
      <c r="L383" s="16">
        <v>9785907470729</v>
      </c>
      <c r="M383" s="18" t="s">
        <v>585</v>
      </c>
      <c r="N383" s="16">
        <v>152</v>
      </c>
      <c r="O383" s="19">
        <v>0.29</v>
      </c>
      <c r="P383" s="16">
        <v>160</v>
      </c>
      <c r="Q383" s="16">
        <v>220</v>
      </c>
      <c r="R383" s="16">
        <v>12</v>
      </c>
      <c r="S383" s="18" t="s">
        <v>43</v>
      </c>
      <c r="T383" s="18"/>
      <c r="U383" s="17">
        <v>3000</v>
      </c>
      <c r="V383" s="18" t="s">
        <v>77</v>
      </c>
      <c r="W383" s="18" t="s">
        <v>91</v>
      </c>
      <c r="X383" s="16">
        <v>10</v>
      </c>
      <c r="Y383" s="43" t="str">
        <f>HYPERLINK("https://api-enni.alpina.ru/FilePrivilegesApproval/414","https://api-enni.alpina.ru/FilePrivilegesApproval/414")</f>
        <v>https://api-enni.alpina.ru/FilePrivilegesApproval/414</v>
      </c>
      <c r="Z383" s="18"/>
      <c r="AS383" s="1">
        <f>IF($A383&lt;&gt;0,1,0)</f>
        <v>0</v>
      </c>
      <c r="AT383" s="1">
        <f>$A383*$B383</f>
        <v>0</v>
      </c>
      <c r="AU383" s="1">
        <f>$A383*$O383</f>
        <v>0</v>
      </c>
      <c r="AV383" s="1">
        <f>IF($R383=0,0,INT($A383/$R383))</f>
        <v>0</v>
      </c>
      <c r="AW383" s="1">
        <f>$A383-$AV383*$R383</f>
        <v>0</v>
      </c>
    </row>
    <row r="384" ht="24.95" customHeight="1" outlineLevel="3" s="1" customFormat="1">
      <c r="A384" s="15"/>
      <c r="B384" s="16">
        <v>390</v>
      </c>
      <c r="C384" s="16">
        <v>624</v>
      </c>
      <c r="D384" s="16">
        <v>30358</v>
      </c>
      <c r="E384" s="18"/>
      <c r="F384" s="18" t="s">
        <v>1284</v>
      </c>
      <c r="G384" s="18" t="s">
        <v>1285</v>
      </c>
      <c r="H384" s="18" t="s">
        <v>86</v>
      </c>
      <c r="I384" s="18" t="s">
        <v>74</v>
      </c>
      <c r="J384" s="16">
        <v>2025</v>
      </c>
      <c r="K384" s="18" t="s">
        <v>1286</v>
      </c>
      <c r="L384" s="16">
        <v>9785961495317</v>
      </c>
      <c r="M384" s="18" t="s">
        <v>1287</v>
      </c>
      <c r="N384" s="16">
        <v>336</v>
      </c>
      <c r="O384" s="19">
        <v>0.22</v>
      </c>
      <c r="P384" s="16">
        <v>120</v>
      </c>
      <c r="Q384" s="16">
        <v>170</v>
      </c>
      <c r="R384" s="16">
        <v>10</v>
      </c>
      <c r="S384" s="18" t="s">
        <v>190</v>
      </c>
      <c r="T384" s="18" t="s">
        <v>451</v>
      </c>
      <c r="U384" s="17">
        <v>3000</v>
      </c>
      <c r="V384" s="18" t="s">
        <v>44</v>
      </c>
      <c r="W384" s="18" t="s">
        <v>184</v>
      </c>
      <c r="X384" s="16">
        <v>10</v>
      </c>
      <c r="Y384" s="43" t="str">
        <f>HYPERLINK("https://api-enni.alpina.ru/FilePrivilegesApproval/221","https://api-enni.alpina.ru/FilePrivilegesApproval/221")</f>
        <v>https://api-enni.alpina.ru/FilePrivilegesApproval/221</v>
      </c>
      <c r="Z384" s="18"/>
      <c r="AS384" s="1">
        <f>IF($A384&lt;&gt;0,1,0)</f>
        <v>0</v>
      </c>
      <c r="AT384" s="1">
        <f>$A384*$B384</f>
        <v>0</v>
      </c>
      <c r="AU384" s="1">
        <f>$A384*$O384</f>
        <v>0</v>
      </c>
      <c r="AV384" s="1">
        <f>IF($R384=0,0,INT($A384/$R384))</f>
        <v>0</v>
      </c>
      <c r="AW384" s="1">
        <f>$A384-$AV384*$R384</f>
        <v>0</v>
      </c>
    </row>
    <row r="385" ht="24.95" customHeight="1" outlineLevel="3" s="1" customFormat="1">
      <c r="A385" s="15"/>
      <c r="B385" s="16">
        <v>640</v>
      </c>
      <c r="C385" s="16">
        <v>960</v>
      </c>
      <c r="D385" s="16">
        <v>34559</v>
      </c>
      <c r="E385" s="18"/>
      <c r="F385" s="18" t="s">
        <v>1284</v>
      </c>
      <c r="G385" s="18" t="s">
        <v>1288</v>
      </c>
      <c r="H385" s="18" t="s">
        <v>86</v>
      </c>
      <c r="I385" s="18" t="s">
        <v>74</v>
      </c>
      <c r="J385" s="16">
        <v>2026</v>
      </c>
      <c r="K385" s="18" t="s">
        <v>1289</v>
      </c>
      <c r="L385" s="16">
        <v>9785006308022</v>
      </c>
      <c r="M385" s="18" t="s">
        <v>1290</v>
      </c>
      <c r="N385" s="16">
        <v>264</v>
      </c>
      <c r="O385" s="19">
        <v>0.42</v>
      </c>
      <c r="P385" s="16">
        <v>150</v>
      </c>
      <c r="Q385" s="16">
        <v>220</v>
      </c>
      <c r="R385" s="16">
        <v>10</v>
      </c>
      <c r="S385" s="18" t="s">
        <v>43</v>
      </c>
      <c r="T385" s="18"/>
      <c r="U385" s="17">
        <v>1000</v>
      </c>
      <c r="V385" s="18" t="s">
        <v>77</v>
      </c>
      <c r="W385" s="18" t="s">
        <v>184</v>
      </c>
      <c r="X385" s="16">
        <v>10</v>
      </c>
      <c r="Y385" s="43" t="str">
        <f>HYPERLINK("https://api-enni.alpina.ru/FilePrivilegesApproval/953","https://api-enni.alpina.ru/FilePrivilegesApproval/953")</f>
        <v>https://api-enni.alpina.ru/FilePrivilegesApproval/953</v>
      </c>
      <c r="Z385" s="18"/>
      <c r="AS385" s="1">
        <f>IF($A385&lt;&gt;0,1,0)</f>
        <v>0</v>
      </c>
      <c r="AT385" s="1">
        <f>$A385*$B385</f>
        <v>0</v>
      </c>
      <c r="AU385" s="1">
        <f>$A385*$O385</f>
        <v>0</v>
      </c>
      <c r="AV385" s="1">
        <f>IF($R385=0,0,INT($A385/$R385))</f>
        <v>0</v>
      </c>
      <c r="AW385" s="1">
        <f>$A385-$AV385*$R385</f>
        <v>0</v>
      </c>
    </row>
    <row r="386" ht="24.95" customHeight="1" outlineLevel="3" s="1" customFormat="1">
      <c r="A386" s="15"/>
      <c r="B386" s="16">
        <v>340</v>
      </c>
      <c r="C386" s="16">
        <v>544</v>
      </c>
      <c r="D386" s="16">
        <v>31760</v>
      </c>
      <c r="E386" s="18"/>
      <c r="F386" s="18" t="s">
        <v>1284</v>
      </c>
      <c r="G386" s="18" t="s">
        <v>1291</v>
      </c>
      <c r="H386" s="18" t="s">
        <v>86</v>
      </c>
      <c r="I386" s="18" t="s">
        <v>74</v>
      </c>
      <c r="J386" s="16">
        <v>2024</v>
      </c>
      <c r="K386" s="18" t="s">
        <v>1292</v>
      </c>
      <c r="L386" s="16">
        <v>9785006300125</v>
      </c>
      <c r="M386" s="18" t="s">
        <v>1293</v>
      </c>
      <c r="N386" s="16">
        <v>486</v>
      </c>
      <c r="O386" s="19">
        <v>0.32</v>
      </c>
      <c r="P386" s="16">
        <v>120</v>
      </c>
      <c r="Q386" s="16">
        <v>170</v>
      </c>
      <c r="R386" s="16">
        <v>20</v>
      </c>
      <c r="S386" s="18" t="s">
        <v>190</v>
      </c>
      <c r="T386" s="18"/>
      <c r="U386" s="17">
        <v>2000</v>
      </c>
      <c r="V386" s="18" t="s">
        <v>44</v>
      </c>
      <c r="W386" s="18" t="s">
        <v>91</v>
      </c>
      <c r="X386" s="16">
        <v>10</v>
      </c>
      <c r="Y386" s="43" t="str">
        <f>HYPERLINK("https://api-enni.alpina.ru/FilePrivilegesApproval/713","https://api-enni.alpina.ru/FilePrivilegesApproval/713")</f>
        <v>https://api-enni.alpina.ru/FilePrivilegesApproval/713</v>
      </c>
      <c r="Z386" s="18"/>
      <c r="AS386" s="1">
        <f>IF($A386&lt;&gt;0,1,0)</f>
        <v>0</v>
      </c>
      <c r="AT386" s="1">
        <f>$A386*$B386</f>
        <v>0</v>
      </c>
      <c r="AU386" s="1">
        <f>$A386*$O386</f>
        <v>0</v>
      </c>
      <c r="AV386" s="1">
        <f>IF($R386=0,0,INT($A386/$R386))</f>
        <v>0</v>
      </c>
      <c r="AW386" s="1">
        <f>$A386-$AV386*$R386</f>
        <v>0</v>
      </c>
    </row>
    <row r="387" ht="24.95" customHeight="1" outlineLevel="3" s="1" customFormat="1">
      <c r="A387" s="15"/>
      <c r="B387" s="16">
        <v>340</v>
      </c>
      <c r="C387" s="16">
        <v>544</v>
      </c>
      <c r="D387" s="16">
        <v>27436</v>
      </c>
      <c r="E387" s="18"/>
      <c r="F387" s="18" t="s">
        <v>1294</v>
      </c>
      <c r="G387" s="18" t="s">
        <v>1295</v>
      </c>
      <c r="H387" s="18" t="s">
        <v>86</v>
      </c>
      <c r="I387" s="18" t="s">
        <v>1296</v>
      </c>
      <c r="J387" s="16">
        <v>2025</v>
      </c>
      <c r="K387" s="18" t="s">
        <v>1297</v>
      </c>
      <c r="L387" s="16">
        <v>9785961485028</v>
      </c>
      <c r="M387" s="18" t="s">
        <v>1298</v>
      </c>
      <c r="N387" s="16">
        <v>144</v>
      </c>
      <c r="O387" s="19">
        <v>0.16</v>
      </c>
      <c r="P387" s="16">
        <v>130</v>
      </c>
      <c r="Q387" s="16">
        <v>200</v>
      </c>
      <c r="R387" s="16">
        <v>28</v>
      </c>
      <c r="S387" s="18" t="s">
        <v>90</v>
      </c>
      <c r="T387" s="18" t="s">
        <v>1299</v>
      </c>
      <c r="U387" s="17">
        <v>2000</v>
      </c>
      <c r="V387" s="18" t="s">
        <v>44</v>
      </c>
      <c r="W387" s="18" t="s">
        <v>184</v>
      </c>
      <c r="X387" s="16">
        <v>10</v>
      </c>
      <c r="Y387" s="43" t="str">
        <f>HYPERLINK("https://api-enni.alpina.ru/FilePrivilegesApproval/200","https://api-enni.alpina.ru/FilePrivilegesApproval/200")</f>
        <v>https://api-enni.alpina.ru/FilePrivilegesApproval/200</v>
      </c>
      <c r="Z387" s="18"/>
      <c r="AS387" s="1">
        <f>IF($A387&lt;&gt;0,1,0)</f>
        <v>0</v>
      </c>
      <c r="AT387" s="1">
        <f>$A387*$B387</f>
        <v>0</v>
      </c>
      <c r="AU387" s="1">
        <f>$A387*$O387</f>
        <v>0</v>
      </c>
      <c r="AV387" s="1">
        <f>IF($R387=0,0,INT($A387/$R387))</f>
        <v>0</v>
      </c>
      <c r="AW387" s="1">
        <f>$A387-$AV387*$R387</f>
        <v>0</v>
      </c>
    </row>
    <row r="388" ht="24.95" customHeight="1" outlineLevel="3" s="1" customFormat="1">
      <c r="A388" s="15"/>
      <c r="B388" s="16">
        <v>490</v>
      </c>
      <c r="C388" s="16">
        <v>760</v>
      </c>
      <c r="D388" s="16">
        <v>30508</v>
      </c>
      <c r="E388" s="18"/>
      <c r="F388" s="18" t="s">
        <v>1300</v>
      </c>
      <c r="G388" s="18" t="s">
        <v>1301</v>
      </c>
      <c r="H388" s="18" t="s">
        <v>86</v>
      </c>
      <c r="I388" s="18" t="s">
        <v>40</v>
      </c>
      <c r="J388" s="16">
        <v>2025</v>
      </c>
      <c r="K388" s="18" t="s">
        <v>1302</v>
      </c>
      <c r="L388" s="16">
        <v>9785961495683</v>
      </c>
      <c r="M388" s="18" t="s">
        <v>1303</v>
      </c>
      <c r="N388" s="16">
        <v>142</v>
      </c>
      <c r="O388" s="19">
        <v>0.2</v>
      </c>
      <c r="P388" s="16">
        <v>130</v>
      </c>
      <c r="Q388" s="16">
        <v>200</v>
      </c>
      <c r="R388" s="16">
        <v>24</v>
      </c>
      <c r="S388" s="18" t="s">
        <v>90</v>
      </c>
      <c r="T388" s="18"/>
      <c r="U388" s="17">
        <v>3000</v>
      </c>
      <c r="V388" s="18" t="s">
        <v>44</v>
      </c>
      <c r="W388" s="18" t="s">
        <v>69</v>
      </c>
      <c r="X388" s="16">
        <v>10</v>
      </c>
      <c r="Y388" s="43" t="str">
        <f>HYPERLINK("https://api-enni.alpina.ru/FilePrivilegesApproval/713","https://api-enni.alpina.ru/FilePrivilegesApproval/713")</f>
        <v>https://api-enni.alpina.ru/FilePrivilegesApproval/713</v>
      </c>
      <c r="Z388" s="18"/>
      <c r="AS388" s="1">
        <f>IF($A388&lt;&gt;0,1,0)</f>
        <v>0</v>
      </c>
      <c r="AT388" s="1">
        <f>$A388*$B388</f>
        <v>0</v>
      </c>
      <c r="AU388" s="1">
        <f>$A388*$O388</f>
        <v>0</v>
      </c>
      <c r="AV388" s="1">
        <f>IF($R388=0,0,INT($A388/$R388))</f>
        <v>0</v>
      </c>
      <c r="AW388" s="1">
        <f>$A388-$AV388*$R388</f>
        <v>0</v>
      </c>
    </row>
    <row r="389" ht="24.95" customHeight="1" outlineLevel="3" s="1" customFormat="1">
      <c r="A389" s="15"/>
      <c r="B389" s="16">
        <v>590</v>
      </c>
      <c r="C389" s="16">
        <v>885</v>
      </c>
      <c r="D389" s="16">
        <v>29116</v>
      </c>
      <c r="E389" s="18"/>
      <c r="F389" s="18" t="s">
        <v>1304</v>
      </c>
      <c r="G389" s="18" t="s">
        <v>1305</v>
      </c>
      <c r="H389" s="18" t="s">
        <v>86</v>
      </c>
      <c r="I389" s="18" t="s">
        <v>74</v>
      </c>
      <c r="J389" s="16">
        <v>2025</v>
      </c>
      <c r="K389" s="18" t="s">
        <v>1306</v>
      </c>
      <c r="L389" s="16">
        <v>9785961491531</v>
      </c>
      <c r="M389" s="18" t="s">
        <v>1307</v>
      </c>
      <c r="N389" s="16">
        <v>284</v>
      </c>
      <c r="O389" s="19">
        <v>0.35</v>
      </c>
      <c r="P389" s="16">
        <v>140</v>
      </c>
      <c r="Q389" s="16">
        <v>210</v>
      </c>
      <c r="R389" s="16">
        <v>8</v>
      </c>
      <c r="S389" s="18" t="s">
        <v>43</v>
      </c>
      <c r="T389" s="18" t="s">
        <v>1308</v>
      </c>
      <c r="U389" s="17">
        <v>1000</v>
      </c>
      <c r="V389" s="18" t="s">
        <v>44</v>
      </c>
      <c r="W389" s="18" t="s">
        <v>184</v>
      </c>
      <c r="X389" s="16">
        <v>10</v>
      </c>
      <c r="Y389" s="43" t="str">
        <f>HYPERLINK("https://api-enni.alpina.ru/FilePrivilegesApproval/140","https://api-enni.alpina.ru/FilePrivilegesApproval/140")</f>
        <v>https://api-enni.alpina.ru/FilePrivilegesApproval/140</v>
      </c>
      <c r="Z389" s="18"/>
      <c r="AS389" s="1">
        <f>IF($A389&lt;&gt;0,1,0)</f>
        <v>0</v>
      </c>
      <c r="AT389" s="1">
        <f>$A389*$B389</f>
        <v>0</v>
      </c>
      <c r="AU389" s="1">
        <f>$A389*$O389</f>
        <v>0</v>
      </c>
      <c r="AV389" s="1">
        <f>IF($R389=0,0,INT($A389/$R389))</f>
        <v>0</v>
      </c>
      <c r="AW389" s="1">
        <f>$A389-$AV389*$R389</f>
        <v>0</v>
      </c>
    </row>
    <row r="390" ht="24.95" customHeight="1" outlineLevel="3" s="1" customFormat="1">
      <c r="A390" s="15"/>
      <c r="B390" s="16">
        <v>390</v>
      </c>
      <c r="C390" s="16">
        <v>624</v>
      </c>
      <c r="D390" s="16">
        <v>27446</v>
      </c>
      <c r="E390" s="18"/>
      <c r="F390" s="18" t="s">
        <v>1309</v>
      </c>
      <c r="G390" s="18" t="s">
        <v>1310</v>
      </c>
      <c r="H390" s="18" t="s">
        <v>86</v>
      </c>
      <c r="I390" s="18" t="s">
        <v>74</v>
      </c>
      <c r="J390" s="16">
        <v>2026</v>
      </c>
      <c r="K390" s="18" t="s">
        <v>1311</v>
      </c>
      <c r="L390" s="16">
        <v>9785961485127</v>
      </c>
      <c r="M390" s="18" t="s">
        <v>1312</v>
      </c>
      <c r="N390" s="16">
        <v>416</v>
      </c>
      <c r="O390" s="19">
        <v>0.26</v>
      </c>
      <c r="P390" s="16">
        <v>120</v>
      </c>
      <c r="Q390" s="16">
        <v>170</v>
      </c>
      <c r="R390" s="16">
        <v>8</v>
      </c>
      <c r="S390" s="18" t="s">
        <v>190</v>
      </c>
      <c r="T390" s="18" t="s">
        <v>451</v>
      </c>
      <c r="U390" s="17">
        <v>3000</v>
      </c>
      <c r="V390" s="18" t="s">
        <v>44</v>
      </c>
      <c r="W390" s="18" t="s">
        <v>184</v>
      </c>
      <c r="X390" s="16">
        <v>10</v>
      </c>
      <c r="Y390" s="43" t="str">
        <f>HYPERLINK("https://api-enni.alpina.ru/FilePrivilegesApproval/200","https://api-enni.alpina.ru/FilePrivilegesApproval/200")</f>
        <v>https://api-enni.alpina.ru/FilePrivilegesApproval/200</v>
      </c>
      <c r="Z390" s="18" t="s">
        <v>1313</v>
      </c>
      <c r="AS390" s="1">
        <f>IF($A390&lt;&gt;0,1,0)</f>
        <v>0</v>
      </c>
      <c r="AT390" s="1">
        <f>$A390*$B390</f>
        <v>0</v>
      </c>
      <c r="AU390" s="1">
        <f>$A390*$O390</f>
        <v>0</v>
      </c>
      <c r="AV390" s="1">
        <f>IF($R390=0,0,INT($A390/$R390))</f>
        <v>0</v>
      </c>
      <c r="AW390" s="1">
        <f>$A390-$AV390*$R390</f>
        <v>0</v>
      </c>
    </row>
    <row r="391" ht="24.95" customHeight="1" outlineLevel="3" s="1" customFormat="1">
      <c r="A391" s="15"/>
      <c r="B391" s="16">
        <v>890</v>
      </c>
      <c r="C391" s="17">
        <v>1246</v>
      </c>
      <c r="D391" s="16">
        <v>4491</v>
      </c>
      <c r="E391" s="18"/>
      <c r="F391" s="18" t="s">
        <v>1309</v>
      </c>
      <c r="G391" s="18" t="s">
        <v>1314</v>
      </c>
      <c r="H391" s="18" t="s">
        <v>86</v>
      </c>
      <c r="I391" s="18" t="s">
        <v>74</v>
      </c>
      <c r="J391" s="16">
        <v>2026</v>
      </c>
      <c r="K391" s="18" t="s">
        <v>1315</v>
      </c>
      <c r="L391" s="16">
        <v>9785961466249</v>
      </c>
      <c r="M391" s="18" t="s">
        <v>1316</v>
      </c>
      <c r="N391" s="16">
        <v>288</v>
      </c>
      <c r="O391" s="19">
        <v>0.57</v>
      </c>
      <c r="P391" s="16">
        <v>170</v>
      </c>
      <c r="Q391" s="16">
        <v>240</v>
      </c>
      <c r="R391" s="16">
        <v>10</v>
      </c>
      <c r="S391" s="18" t="s">
        <v>123</v>
      </c>
      <c r="T391" s="18"/>
      <c r="U391" s="17">
        <v>1000</v>
      </c>
      <c r="V391" s="18" t="s">
        <v>77</v>
      </c>
      <c r="W391" s="18" t="s">
        <v>184</v>
      </c>
      <c r="X391" s="16">
        <v>10</v>
      </c>
      <c r="Y391" s="43" t="str">
        <f>HYPERLINK("https://api-enni.alpina.ru/FilePrivilegesApproval/2","https://api-enni.alpina.ru/FilePrivilegesApproval/2")</f>
        <v>https://api-enni.alpina.ru/FilePrivilegesApproval/2</v>
      </c>
      <c r="Z391" s="18" t="s">
        <v>46</v>
      </c>
      <c r="AS391" s="1">
        <f>IF($A391&lt;&gt;0,1,0)</f>
        <v>0</v>
      </c>
      <c r="AT391" s="1">
        <f>$A391*$B391</f>
        <v>0</v>
      </c>
      <c r="AU391" s="1">
        <f>$A391*$O391</f>
        <v>0</v>
      </c>
      <c r="AV391" s="1">
        <f>IF($R391=0,0,INT($A391/$R391))</f>
        <v>0</v>
      </c>
      <c r="AW391" s="1">
        <f>$A391-$AV391*$R391</f>
        <v>0</v>
      </c>
    </row>
    <row r="392" ht="24.95" customHeight="1" outlineLevel="3" s="1" customFormat="1">
      <c r="A392" s="15"/>
      <c r="B392" s="16">
        <v>340</v>
      </c>
      <c r="C392" s="16">
        <v>544</v>
      </c>
      <c r="D392" s="16">
        <v>27426</v>
      </c>
      <c r="E392" s="18"/>
      <c r="F392" s="18" t="s">
        <v>1317</v>
      </c>
      <c r="G392" s="18" t="s">
        <v>1318</v>
      </c>
      <c r="H392" s="18" t="s">
        <v>86</v>
      </c>
      <c r="I392" s="18" t="s">
        <v>74</v>
      </c>
      <c r="J392" s="16">
        <v>2025</v>
      </c>
      <c r="K392" s="18" t="s">
        <v>1319</v>
      </c>
      <c r="L392" s="16">
        <v>9785961484953</v>
      </c>
      <c r="M392" s="18" t="s">
        <v>1320</v>
      </c>
      <c r="N392" s="16">
        <v>224</v>
      </c>
      <c r="O392" s="19">
        <v>0.18</v>
      </c>
      <c r="P392" s="16">
        <v>120</v>
      </c>
      <c r="Q392" s="16">
        <v>170</v>
      </c>
      <c r="R392" s="16">
        <v>20</v>
      </c>
      <c r="S392" s="18" t="s">
        <v>190</v>
      </c>
      <c r="T392" s="18" t="s">
        <v>451</v>
      </c>
      <c r="U392" s="17">
        <v>2000</v>
      </c>
      <c r="V392" s="18" t="s">
        <v>44</v>
      </c>
      <c r="W392" s="18" t="s">
        <v>184</v>
      </c>
      <c r="X392" s="16">
        <v>10</v>
      </c>
      <c r="Y392" s="43" t="str">
        <f>HYPERLINK("https://api-enni.alpina.ru/FilePrivilegesApproval/200","https://api-enni.alpina.ru/FilePrivilegesApproval/200")</f>
        <v>https://api-enni.alpina.ru/FilePrivilegesApproval/200</v>
      </c>
      <c r="Z392" s="18"/>
      <c r="AS392" s="1">
        <f>IF($A392&lt;&gt;0,1,0)</f>
        <v>0</v>
      </c>
      <c r="AT392" s="1">
        <f>$A392*$B392</f>
        <v>0</v>
      </c>
      <c r="AU392" s="1">
        <f>$A392*$O392</f>
        <v>0</v>
      </c>
      <c r="AV392" s="1">
        <f>IF($R392=0,0,INT($A392/$R392))</f>
        <v>0</v>
      </c>
      <c r="AW392" s="1">
        <f>$A392-$AV392*$R392</f>
        <v>0</v>
      </c>
    </row>
    <row r="393" ht="24.95" customHeight="1" outlineLevel="3" s="1" customFormat="1">
      <c r="A393" s="15"/>
      <c r="B393" s="16">
        <v>590</v>
      </c>
      <c r="C393" s="16">
        <v>885</v>
      </c>
      <c r="D393" s="16">
        <v>20571</v>
      </c>
      <c r="E393" s="18"/>
      <c r="F393" s="18" t="s">
        <v>1321</v>
      </c>
      <c r="G393" s="18" t="s">
        <v>1322</v>
      </c>
      <c r="H393" s="18" t="s">
        <v>86</v>
      </c>
      <c r="I393" s="18"/>
      <c r="J393" s="16">
        <v>2021</v>
      </c>
      <c r="K393" s="18" t="s">
        <v>1323</v>
      </c>
      <c r="L393" s="16">
        <v>9785961440478</v>
      </c>
      <c r="M393" s="18" t="s">
        <v>1324</v>
      </c>
      <c r="N393" s="16">
        <v>256</v>
      </c>
      <c r="O393" s="19">
        <v>0.41</v>
      </c>
      <c r="P393" s="16">
        <v>146</v>
      </c>
      <c r="Q393" s="16">
        <v>216</v>
      </c>
      <c r="R393" s="16">
        <v>14</v>
      </c>
      <c r="S393" s="18" t="s">
        <v>43</v>
      </c>
      <c r="T393" s="18"/>
      <c r="U393" s="17">
        <v>3000</v>
      </c>
      <c r="V393" s="18" t="s">
        <v>77</v>
      </c>
      <c r="W393" s="18" t="s">
        <v>69</v>
      </c>
      <c r="X393" s="16">
        <v>10</v>
      </c>
      <c r="Y393" s="43" t="str">
        <f>HYPERLINK("https://api-enni.alpina.ru/FilePrivilegesApproval/109","https://api-enni.alpina.ru/FilePrivilegesApproval/109")</f>
        <v>https://api-enni.alpina.ru/FilePrivilegesApproval/109</v>
      </c>
      <c r="Z393" s="18"/>
      <c r="AS393" s="1">
        <f>IF($A393&lt;&gt;0,1,0)</f>
        <v>0</v>
      </c>
      <c r="AT393" s="1">
        <f>$A393*$B393</f>
        <v>0</v>
      </c>
      <c r="AU393" s="1">
        <f>$A393*$O393</f>
        <v>0</v>
      </c>
      <c r="AV393" s="1">
        <f>IF($R393=0,0,INT($A393/$R393))</f>
        <v>0</v>
      </c>
      <c r="AW393" s="1">
        <f>$A393-$AV393*$R393</f>
        <v>0</v>
      </c>
    </row>
    <row r="394" ht="24.95" customHeight="1" outlineLevel="3" s="1" customFormat="1">
      <c r="A394" s="15"/>
      <c r="B394" s="16">
        <v>640</v>
      </c>
      <c r="C394" s="16">
        <v>960</v>
      </c>
      <c r="D394" s="16">
        <v>36119</v>
      </c>
      <c r="E394" s="18"/>
      <c r="F394" s="18" t="s">
        <v>136</v>
      </c>
      <c r="G394" s="18" t="s">
        <v>137</v>
      </c>
      <c r="H394" s="18" t="s">
        <v>86</v>
      </c>
      <c r="I394" s="18" t="s">
        <v>40</v>
      </c>
      <c r="J394" s="16">
        <v>2026</v>
      </c>
      <c r="K394" s="18" t="s">
        <v>138</v>
      </c>
      <c r="L394" s="16">
        <v>9785006310230</v>
      </c>
      <c r="M394" s="18" t="s">
        <v>139</v>
      </c>
      <c r="N394" s="16">
        <v>272</v>
      </c>
      <c r="O394" s="19">
        <v>0.34</v>
      </c>
      <c r="P394" s="16">
        <v>140</v>
      </c>
      <c r="Q394" s="16">
        <v>210</v>
      </c>
      <c r="R394" s="16">
        <v>16</v>
      </c>
      <c r="S394" s="18" t="s">
        <v>43</v>
      </c>
      <c r="T394" s="18"/>
      <c r="U394" s="17">
        <v>2000</v>
      </c>
      <c r="V394" s="18" t="s">
        <v>44</v>
      </c>
      <c r="W394" s="18" t="s">
        <v>69</v>
      </c>
      <c r="X394" s="16">
        <v>10</v>
      </c>
      <c r="Y394" s="43" t="str">
        <f>HYPERLINK("https://api-enni.alpina.ru/FilePrivilegesApproval/1163","https://api-enni.alpina.ru/FilePrivilegesApproval/1163")</f>
        <v>https://api-enni.alpina.ru/FilePrivilegesApproval/1163</v>
      </c>
      <c r="Z394" s="18" t="s">
        <v>108</v>
      </c>
      <c r="AS394" s="1">
        <f>IF($A394&lt;&gt;0,1,0)</f>
        <v>0</v>
      </c>
      <c r="AT394" s="1">
        <f>$A394*$B394</f>
        <v>0</v>
      </c>
      <c r="AU394" s="1">
        <f>$A394*$O394</f>
        <v>0</v>
      </c>
      <c r="AV394" s="1">
        <f>IF($R394=0,0,INT($A394/$R394))</f>
        <v>0</v>
      </c>
      <c r="AW394" s="1">
        <f>$A394-$AV394*$R394</f>
        <v>0</v>
      </c>
    </row>
    <row r="395" ht="24.95" customHeight="1" outlineLevel="3" s="1" customFormat="1">
      <c r="A395" s="15"/>
      <c r="B395" s="16">
        <v>890</v>
      </c>
      <c r="C395" s="17">
        <v>1246</v>
      </c>
      <c r="D395" s="16">
        <v>8919</v>
      </c>
      <c r="E395" s="18"/>
      <c r="F395" s="18" t="s">
        <v>1325</v>
      </c>
      <c r="G395" s="18" t="s">
        <v>1326</v>
      </c>
      <c r="H395" s="18" t="s">
        <v>86</v>
      </c>
      <c r="I395" s="18" t="s">
        <v>74</v>
      </c>
      <c r="J395" s="16">
        <v>2026</v>
      </c>
      <c r="K395" s="18" t="s">
        <v>1327</v>
      </c>
      <c r="L395" s="16">
        <v>9785961470765</v>
      </c>
      <c r="M395" s="18" t="s">
        <v>1328</v>
      </c>
      <c r="N395" s="16">
        <v>176</v>
      </c>
      <c r="O395" s="19">
        <v>0.4</v>
      </c>
      <c r="P395" s="16">
        <v>168</v>
      </c>
      <c r="Q395" s="16">
        <v>241</v>
      </c>
      <c r="R395" s="16">
        <v>12</v>
      </c>
      <c r="S395" s="18" t="s">
        <v>123</v>
      </c>
      <c r="T395" s="18"/>
      <c r="U395" s="17">
        <v>2000</v>
      </c>
      <c r="V395" s="18" t="s">
        <v>77</v>
      </c>
      <c r="W395" s="18" t="s">
        <v>184</v>
      </c>
      <c r="X395" s="16">
        <v>10</v>
      </c>
      <c r="Y395" s="43" t="str">
        <f>HYPERLINK("https://api-enni.alpina.ru/FilePrivilegesApproval/2","https://api-enni.alpina.ru/FilePrivilegesApproval/2")</f>
        <v>https://api-enni.alpina.ru/FilePrivilegesApproval/2</v>
      </c>
      <c r="Z395" s="18"/>
      <c r="AS395" s="1">
        <f>IF($A395&lt;&gt;0,1,0)</f>
        <v>0</v>
      </c>
      <c r="AT395" s="1">
        <f>$A395*$B395</f>
        <v>0</v>
      </c>
      <c r="AU395" s="1">
        <f>$A395*$O395</f>
        <v>0</v>
      </c>
      <c r="AV395" s="1">
        <f>IF($R395=0,0,INT($A395/$R395))</f>
        <v>0</v>
      </c>
      <c r="AW395" s="1">
        <f>$A395-$AV395*$R395</f>
        <v>0</v>
      </c>
    </row>
    <row r="396" ht="24.95" customHeight="1" outlineLevel="3" s="1" customFormat="1">
      <c r="A396" s="15"/>
      <c r="B396" s="16">
        <v>340</v>
      </c>
      <c r="C396" s="16">
        <v>544</v>
      </c>
      <c r="D396" s="16">
        <v>29403</v>
      </c>
      <c r="E396" s="18"/>
      <c r="F396" s="18" t="s">
        <v>1329</v>
      </c>
      <c r="G396" s="18" t="s">
        <v>1330</v>
      </c>
      <c r="H396" s="18" t="s">
        <v>86</v>
      </c>
      <c r="I396" s="18"/>
      <c r="J396" s="16">
        <v>2026</v>
      </c>
      <c r="K396" s="18" t="s">
        <v>1331</v>
      </c>
      <c r="L396" s="16">
        <v>9785961492439</v>
      </c>
      <c r="M396" s="18" t="s">
        <v>1332</v>
      </c>
      <c r="N396" s="16">
        <v>224</v>
      </c>
      <c r="O396" s="19">
        <v>0.15</v>
      </c>
      <c r="P396" s="16">
        <v>120</v>
      </c>
      <c r="Q396" s="16">
        <v>170</v>
      </c>
      <c r="R396" s="16">
        <v>16</v>
      </c>
      <c r="S396" s="18" t="s">
        <v>190</v>
      </c>
      <c r="T396" s="18" t="s">
        <v>959</v>
      </c>
      <c r="U396" s="17">
        <v>3000</v>
      </c>
      <c r="V396" s="18" t="s">
        <v>44</v>
      </c>
      <c r="W396" s="18" t="s">
        <v>69</v>
      </c>
      <c r="X396" s="16">
        <v>10</v>
      </c>
      <c r="Y396" s="43" t="str">
        <f>HYPERLINK("https://api-enni.alpina.ru/FilePrivilegesApproval/186","https://api-enni.alpina.ru/FilePrivilegesApproval/186")</f>
        <v>https://api-enni.alpina.ru/FilePrivilegesApproval/186</v>
      </c>
      <c r="Z396" s="18" t="s">
        <v>1313</v>
      </c>
      <c r="AS396" s="1">
        <f>IF($A396&lt;&gt;0,1,0)</f>
        <v>0</v>
      </c>
      <c r="AT396" s="1">
        <f>$A396*$B396</f>
        <v>0</v>
      </c>
      <c r="AU396" s="1">
        <f>$A396*$O396</f>
        <v>0</v>
      </c>
      <c r="AV396" s="1">
        <f>IF($R396=0,0,INT($A396/$R396))</f>
        <v>0</v>
      </c>
      <c r="AW396" s="1">
        <f>$A396-$AV396*$R396</f>
        <v>0</v>
      </c>
    </row>
    <row r="397" ht="24.95" customHeight="1" outlineLevel="3" s="1" customFormat="1">
      <c r="A397" s="15"/>
      <c r="B397" s="16">
        <v>590</v>
      </c>
      <c r="C397" s="16">
        <v>885</v>
      </c>
      <c r="D397" s="16">
        <v>27497</v>
      </c>
      <c r="E397" s="18"/>
      <c r="F397" s="18" t="s">
        <v>1333</v>
      </c>
      <c r="G397" s="18" t="s">
        <v>1334</v>
      </c>
      <c r="H397" s="18" t="s">
        <v>86</v>
      </c>
      <c r="I397" s="18" t="s">
        <v>74</v>
      </c>
      <c r="J397" s="16">
        <v>2026</v>
      </c>
      <c r="K397" s="18" t="s">
        <v>1335</v>
      </c>
      <c r="L397" s="16">
        <v>9785961485387</v>
      </c>
      <c r="M397" s="18" t="s">
        <v>1336</v>
      </c>
      <c r="N397" s="16">
        <v>332</v>
      </c>
      <c r="O397" s="19">
        <v>0.34</v>
      </c>
      <c r="P397" s="16">
        <v>150</v>
      </c>
      <c r="Q397" s="16">
        <v>210</v>
      </c>
      <c r="R397" s="16">
        <v>10</v>
      </c>
      <c r="S397" s="18" t="s">
        <v>43</v>
      </c>
      <c r="T397" s="18" t="s">
        <v>1308</v>
      </c>
      <c r="U397" s="17">
        <v>1000</v>
      </c>
      <c r="V397" s="18" t="s">
        <v>44</v>
      </c>
      <c r="W397" s="18" t="s">
        <v>184</v>
      </c>
      <c r="X397" s="16">
        <v>10</v>
      </c>
      <c r="Y397" s="43" t="str">
        <f>HYPERLINK("https://api-enni.alpina.ru/FilePrivilegesApproval/200","https://api-enni.alpina.ru/FilePrivilegesApproval/200")</f>
        <v>https://api-enni.alpina.ru/FilePrivilegesApproval/200</v>
      </c>
      <c r="Z397" s="18"/>
      <c r="AS397" s="1">
        <f>IF($A397&lt;&gt;0,1,0)</f>
        <v>0</v>
      </c>
      <c r="AT397" s="1">
        <f>$A397*$B397</f>
        <v>0</v>
      </c>
      <c r="AU397" s="1">
        <f>$A397*$O397</f>
        <v>0</v>
      </c>
      <c r="AV397" s="1">
        <f>IF($R397=0,0,INT($A397/$R397))</f>
        <v>0</v>
      </c>
      <c r="AW397" s="1">
        <f>$A397-$AV397*$R397</f>
        <v>0</v>
      </c>
    </row>
    <row r="398" ht="24.95" customHeight="1" outlineLevel="3" s="1" customFormat="1">
      <c r="A398" s="15"/>
      <c r="B398" s="16">
        <v>590</v>
      </c>
      <c r="C398" s="16">
        <v>885</v>
      </c>
      <c r="D398" s="16">
        <v>23672</v>
      </c>
      <c r="E398" s="18"/>
      <c r="F398" s="18" t="s">
        <v>1337</v>
      </c>
      <c r="G398" s="18" t="s">
        <v>1338</v>
      </c>
      <c r="H398" s="18" t="s">
        <v>86</v>
      </c>
      <c r="I398" s="18" t="s">
        <v>74</v>
      </c>
      <c r="J398" s="16">
        <v>2023</v>
      </c>
      <c r="K398" s="18" t="s">
        <v>1339</v>
      </c>
      <c r="L398" s="16">
        <v>9785961478600</v>
      </c>
      <c r="M398" s="18" t="s">
        <v>1340</v>
      </c>
      <c r="N398" s="16">
        <v>276</v>
      </c>
      <c r="O398" s="19">
        <v>0.44</v>
      </c>
      <c r="P398" s="16">
        <v>150</v>
      </c>
      <c r="Q398" s="16">
        <v>220</v>
      </c>
      <c r="R398" s="16">
        <v>14</v>
      </c>
      <c r="S398" s="18" t="s">
        <v>43</v>
      </c>
      <c r="T398" s="18"/>
      <c r="U398" s="17">
        <v>1500</v>
      </c>
      <c r="V398" s="18" t="s">
        <v>77</v>
      </c>
      <c r="W398" s="18" t="s">
        <v>91</v>
      </c>
      <c r="X398" s="16">
        <v>10</v>
      </c>
      <c r="Y398" s="43" t="str">
        <f>HYPERLINK("https://api-enni.alpina.ru/FilePrivilegesApproval/157","https://api-enni.alpina.ru/FilePrivilegesApproval/157")</f>
        <v>https://api-enni.alpina.ru/FilePrivilegesApproval/157</v>
      </c>
      <c r="Z398" s="18"/>
      <c r="AS398" s="1">
        <f>IF($A398&lt;&gt;0,1,0)</f>
        <v>0</v>
      </c>
      <c r="AT398" s="1">
        <f>$A398*$B398</f>
        <v>0</v>
      </c>
      <c r="AU398" s="1">
        <f>$A398*$O398</f>
        <v>0</v>
      </c>
      <c r="AV398" s="1">
        <f>IF($R398=0,0,INT($A398/$R398))</f>
        <v>0</v>
      </c>
      <c r="AW398" s="1">
        <f>$A398-$AV398*$R398</f>
        <v>0</v>
      </c>
    </row>
    <row r="399" ht="24.95" customHeight="1" outlineLevel="3" s="1" customFormat="1">
      <c r="A399" s="15"/>
      <c r="B399" s="16">
        <v>590</v>
      </c>
      <c r="C399" s="16">
        <v>885</v>
      </c>
      <c r="D399" s="16">
        <v>27448</v>
      </c>
      <c r="E399" s="18"/>
      <c r="F399" s="18" t="s">
        <v>1341</v>
      </c>
      <c r="G399" s="18" t="s">
        <v>1342</v>
      </c>
      <c r="H399" s="18" t="s">
        <v>86</v>
      </c>
      <c r="I399" s="18" t="s">
        <v>74</v>
      </c>
      <c r="J399" s="16">
        <v>2024</v>
      </c>
      <c r="K399" s="18" t="s">
        <v>1343</v>
      </c>
      <c r="L399" s="16">
        <v>9785961485141</v>
      </c>
      <c r="M399" s="18" t="s">
        <v>1344</v>
      </c>
      <c r="N399" s="16">
        <v>360</v>
      </c>
      <c r="O399" s="19">
        <v>0.43</v>
      </c>
      <c r="P399" s="16">
        <v>140</v>
      </c>
      <c r="Q399" s="16">
        <v>210</v>
      </c>
      <c r="R399" s="16">
        <v>12</v>
      </c>
      <c r="S399" s="18" t="s">
        <v>43</v>
      </c>
      <c r="T399" s="18"/>
      <c r="U399" s="17">
        <v>2000</v>
      </c>
      <c r="V399" s="18" t="s">
        <v>44</v>
      </c>
      <c r="W399" s="18" t="s">
        <v>45</v>
      </c>
      <c r="X399" s="16">
        <v>10</v>
      </c>
      <c r="Y399" s="43" t="str">
        <f>HYPERLINK("https://api-enni.alpina.ru/FilePrivilegesApproval/315","https://api-enni.alpina.ru/FilePrivilegesApproval/315")</f>
        <v>https://api-enni.alpina.ru/FilePrivilegesApproval/315</v>
      </c>
      <c r="Z399" s="18"/>
      <c r="AS399" s="1">
        <f>IF($A399&lt;&gt;0,1,0)</f>
        <v>0</v>
      </c>
      <c r="AT399" s="1">
        <f>$A399*$B399</f>
        <v>0</v>
      </c>
      <c r="AU399" s="1">
        <f>$A399*$O399</f>
        <v>0</v>
      </c>
      <c r="AV399" s="1">
        <f>IF($R399=0,0,INT($A399/$R399))</f>
        <v>0</v>
      </c>
      <c r="AW399" s="1">
        <f>$A399-$AV399*$R399</f>
        <v>0</v>
      </c>
    </row>
    <row r="400" ht="24.95" customHeight="1" outlineLevel="3" s="1" customFormat="1">
      <c r="A400" s="15"/>
      <c r="B400" s="16">
        <v>740</v>
      </c>
      <c r="C400" s="17">
        <v>1073</v>
      </c>
      <c r="D400" s="16">
        <v>25449</v>
      </c>
      <c r="E400" s="18"/>
      <c r="F400" s="18" t="s">
        <v>1345</v>
      </c>
      <c r="G400" s="18" t="s">
        <v>1346</v>
      </c>
      <c r="H400" s="18" t="s">
        <v>86</v>
      </c>
      <c r="I400" s="18" t="s">
        <v>74</v>
      </c>
      <c r="J400" s="16">
        <v>2026</v>
      </c>
      <c r="K400" s="18" t="s">
        <v>1347</v>
      </c>
      <c r="L400" s="16">
        <v>9785961498318</v>
      </c>
      <c r="M400" s="18" t="s">
        <v>1348</v>
      </c>
      <c r="N400" s="16">
        <v>280</v>
      </c>
      <c r="O400" s="19">
        <v>0.35</v>
      </c>
      <c r="P400" s="16">
        <v>140</v>
      </c>
      <c r="Q400" s="16">
        <v>210</v>
      </c>
      <c r="R400" s="16">
        <v>10</v>
      </c>
      <c r="S400" s="18" t="s">
        <v>43</v>
      </c>
      <c r="T400" s="18"/>
      <c r="U400" s="17">
        <v>1000</v>
      </c>
      <c r="V400" s="18" t="s">
        <v>44</v>
      </c>
      <c r="W400" s="18" t="s">
        <v>91</v>
      </c>
      <c r="X400" s="16">
        <v>10</v>
      </c>
      <c r="Y400" s="43" t="str">
        <f>HYPERLINK("https://api-enni.alpina.ru/FilePrivilegesApproval/500","https://api-enni.alpina.ru/FilePrivilegesApproval/500")</f>
        <v>https://api-enni.alpina.ru/FilePrivilegesApproval/500</v>
      </c>
      <c r="Z400" s="18"/>
      <c r="AS400" s="1">
        <f>IF($A400&lt;&gt;0,1,0)</f>
        <v>0</v>
      </c>
      <c r="AT400" s="1">
        <f>$A400*$B400</f>
        <v>0</v>
      </c>
      <c r="AU400" s="1">
        <f>$A400*$O400</f>
        <v>0</v>
      </c>
      <c r="AV400" s="1">
        <f>IF($R400=0,0,INT($A400/$R400))</f>
        <v>0</v>
      </c>
      <c r="AW400" s="1">
        <f>$A400-$AV400*$R400</f>
        <v>0</v>
      </c>
    </row>
    <row r="401" ht="24.95" customHeight="1" outlineLevel="3" s="1" customFormat="1">
      <c r="A401" s="15"/>
      <c r="B401" s="16">
        <v>890</v>
      </c>
      <c r="C401" s="17">
        <v>1246</v>
      </c>
      <c r="D401" s="16">
        <v>27469</v>
      </c>
      <c r="E401" s="18"/>
      <c r="F401" s="18" t="s">
        <v>1349</v>
      </c>
      <c r="G401" s="18" t="s">
        <v>1350</v>
      </c>
      <c r="H401" s="18" t="s">
        <v>95</v>
      </c>
      <c r="I401" s="18"/>
      <c r="J401" s="16">
        <v>2024</v>
      </c>
      <c r="K401" s="18" t="s">
        <v>1351</v>
      </c>
      <c r="L401" s="16">
        <v>9785206001532</v>
      </c>
      <c r="M401" s="18" t="s">
        <v>1352</v>
      </c>
      <c r="N401" s="16">
        <v>600</v>
      </c>
      <c r="O401" s="19">
        <v>0.84</v>
      </c>
      <c r="P401" s="16">
        <v>160</v>
      </c>
      <c r="Q401" s="16">
        <v>220</v>
      </c>
      <c r="R401" s="16">
        <v>3</v>
      </c>
      <c r="S401" s="18" t="s">
        <v>43</v>
      </c>
      <c r="T401" s="18"/>
      <c r="U401" s="17">
        <v>1000</v>
      </c>
      <c r="V401" s="18" t="s">
        <v>77</v>
      </c>
      <c r="W401" s="18" t="s">
        <v>91</v>
      </c>
      <c r="X401" s="16">
        <v>10</v>
      </c>
      <c r="Y401" s="43" t="str">
        <f>HYPERLINK("https://api-enni.alpina.ru/FilePrivilegesApproval/237","https://api-enni.alpina.ru/FilePrivilegesApproval/237")</f>
        <v>https://api-enni.alpina.ru/FilePrivilegesApproval/237</v>
      </c>
      <c r="Z401" s="18"/>
      <c r="AS401" s="1">
        <f>IF($A401&lt;&gt;0,1,0)</f>
        <v>0</v>
      </c>
      <c r="AT401" s="1">
        <f>$A401*$B401</f>
        <v>0</v>
      </c>
      <c r="AU401" s="1">
        <f>$A401*$O401</f>
        <v>0</v>
      </c>
      <c r="AV401" s="1">
        <f>IF($R401=0,0,INT($A401/$R401))</f>
        <v>0</v>
      </c>
      <c r="AW401" s="1">
        <f>$A401-$AV401*$R401</f>
        <v>0</v>
      </c>
    </row>
    <row r="402" ht="24.95" customHeight="1" outlineLevel="3" s="1" customFormat="1">
      <c r="A402" s="25"/>
      <c r="B402" s="26">
        <v>590</v>
      </c>
      <c r="C402" s="26">
        <v>885</v>
      </c>
      <c r="D402" s="26">
        <v>7462</v>
      </c>
      <c r="E402" s="27"/>
      <c r="F402" s="27" t="s">
        <v>1353</v>
      </c>
      <c r="G402" s="27" t="s">
        <v>1354</v>
      </c>
      <c r="H402" s="27" t="s">
        <v>86</v>
      </c>
      <c r="I402" s="27" t="s">
        <v>74</v>
      </c>
      <c r="J402" s="26">
        <v>2019</v>
      </c>
      <c r="K402" s="27" t="s">
        <v>1355</v>
      </c>
      <c r="L402" s="26">
        <v>9785961465136</v>
      </c>
      <c r="M402" s="27" t="s">
        <v>1356</v>
      </c>
      <c r="N402" s="26">
        <v>272</v>
      </c>
      <c r="O402" s="28">
        <v>0.43</v>
      </c>
      <c r="P402" s="26">
        <v>146</v>
      </c>
      <c r="Q402" s="26">
        <v>216</v>
      </c>
      <c r="R402" s="26">
        <v>14</v>
      </c>
      <c r="S402" s="27" t="s">
        <v>43</v>
      </c>
      <c r="T402" s="27"/>
      <c r="U402" s="29">
        <v>3000</v>
      </c>
      <c r="V402" s="27" t="s">
        <v>77</v>
      </c>
      <c r="W402" s="27" t="s">
        <v>69</v>
      </c>
      <c r="X402" s="26">
        <v>10</v>
      </c>
      <c r="Y402" s="45" t="str">
        <f>HYPERLINK("https://api-enni.alpina.ru/FilePrivilegesApproval/2","https://api-enni.alpina.ru/FilePrivilegesApproval/2")</f>
        <v>https://api-enni.alpina.ru/FilePrivilegesApproval/2</v>
      </c>
      <c r="Z402" s="27"/>
      <c r="AS402" s="1">
        <f>IF($A402&lt;&gt;0,1,0)</f>
        <v>0</v>
      </c>
      <c r="AT402" s="1">
        <f>$A402*$B402</f>
        <v>0</v>
      </c>
      <c r="AU402" s="1">
        <f>$A402*$O402</f>
        <v>0</v>
      </c>
      <c r="AV402" s="1">
        <f>IF($R402=0,0,INT($A402/$R402))</f>
        <v>0</v>
      </c>
      <c r="AW402" s="1">
        <f>$A402-$AV402*$R402</f>
        <v>0</v>
      </c>
    </row>
    <row r="403" ht="24.95" customHeight="1" outlineLevel="3" s="1" customFormat="1">
      <c r="A403" s="15"/>
      <c r="B403" s="16">
        <v>690</v>
      </c>
      <c r="C403" s="17">
        <v>1035</v>
      </c>
      <c r="D403" s="16">
        <v>28073</v>
      </c>
      <c r="E403" s="18"/>
      <c r="F403" s="18" t="s">
        <v>1357</v>
      </c>
      <c r="G403" s="18" t="s">
        <v>1358</v>
      </c>
      <c r="H403" s="18" t="s">
        <v>73</v>
      </c>
      <c r="I403" s="18"/>
      <c r="J403" s="16">
        <v>2026</v>
      </c>
      <c r="K403" s="18" t="s">
        <v>1359</v>
      </c>
      <c r="L403" s="16">
        <v>9785001399926</v>
      </c>
      <c r="M403" s="18" t="s">
        <v>1360</v>
      </c>
      <c r="N403" s="16">
        <v>304</v>
      </c>
      <c r="O403" s="19">
        <v>0.38</v>
      </c>
      <c r="P403" s="16">
        <v>140</v>
      </c>
      <c r="Q403" s="16">
        <v>210</v>
      </c>
      <c r="R403" s="16">
        <v>16</v>
      </c>
      <c r="S403" s="18" t="s">
        <v>43</v>
      </c>
      <c r="T403" s="18"/>
      <c r="U403" s="17">
        <v>3000</v>
      </c>
      <c r="V403" s="18" t="s">
        <v>44</v>
      </c>
      <c r="W403" s="18" t="s">
        <v>45</v>
      </c>
      <c r="X403" s="16">
        <v>10</v>
      </c>
      <c r="Y403" s="43" t="str">
        <f>HYPERLINK("https://api-enni.alpina.ru/FilePrivilegesApproval/412","https://api-enni.alpina.ru/FilePrivilegesApproval/412")</f>
        <v>https://api-enni.alpina.ru/FilePrivilegesApproval/412</v>
      </c>
      <c r="Z403" s="18"/>
      <c r="AS403" s="1">
        <f>IF($A403&lt;&gt;0,1,0)</f>
        <v>0</v>
      </c>
      <c r="AT403" s="1">
        <f>$A403*$B403</f>
        <v>0</v>
      </c>
      <c r="AU403" s="1">
        <f>$A403*$O403</f>
        <v>0</v>
      </c>
      <c r="AV403" s="1">
        <f>IF($R403=0,0,INT($A403/$R403))</f>
        <v>0</v>
      </c>
      <c r="AW403" s="1">
        <f>$A403-$AV403*$R403</f>
        <v>0</v>
      </c>
    </row>
    <row r="404" ht="24.95" customHeight="1" outlineLevel="3" s="1" customFormat="1">
      <c r="A404" s="15"/>
      <c r="B404" s="16">
        <v>890</v>
      </c>
      <c r="C404" s="17">
        <v>1246</v>
      </c>
      <c r="D404" s="16">
        <v>24666</v>
      </c>
      <c r="E404" s="18"/>
      <c r="F404" s="18" t="s">
        <v>610</v>
      </c>
      <c r="G404" s="18" t="s">
        <v>1361</v>
      </c>
      <c r="H404" s="18" t="s">
        <v>86</v>
      </c>
      <c r="I404" s="18" t="s">
        <v>74</v>
      </c>
      <c r="J404" s="16">
        <v>2026</v>
      </c>
      <c r="K404" s="18" t="s">
        <v>1362</v>
      </c>
      <c r="L404" s="16">
        <v>9785961478938</v>
      </c>
      <c r="M404" s="18" t="s">
        <v>1363</v>
      </c>
      <c r="N404" s="16">
        <v>444</v>
      </c>
      <c r="O404" s="19">
        <v>0.6</v>
      </c>
      <c r="P404" s="16">
        <v>150</v>
      </c>
      <c r="Q404" s="16">
        <v>220</v>
      </c>
      <c r="R404" s="16">
        <v>8</v>
      </c>
      <c r="S404" s="18" t="s">
        <v>43</v>
      </c>
      <c r="T404" s="18"/>
      <c r="U404" s="17">
        <v>3000</v>
      </c>
      <c r="V404" s="18" t="s">
        <v>77</v>
      </c>
      <c r="W404" s="18" t="s">
        <v>69</v>
      </c>
      <c r="X404" s="16">
        <v>10</v>
      </c>
      <c r="Y404" s="43" t="str">
        <f>HYPERLINK("https://api-enni.alpina.ru/FilePrivilegesApproval/156","https://api-enni.alpina.ru/FilePrivilegesApproval/156")</f>
        <v>https://api-enni.alpina.ru/FilePrivilegesApproval/156</v>
      </c>
      <c r="Z404" s="18"/>
      <c r="AS404" s="1">
        <f>IF($A404&lt;&gt;0,1,0)</f>
        <v>0</v>
      </c>
      <c r="AT404" s="1">
        <f>$A404*$B404</f>
        <v>0</v>
      </c>
      <c r="AU404" s="1">
        <f>$A404*$O404</f>
        <v>0</v>
      </c>
      <c r="AV404" s="1">
        <f>IF($R404=0,0,INT($A404/$R404))</f>
        <v>0</v>
      </c>
      <c r="AW404" s="1">
        <f>$A404-$AV404*$R404</f>
        <v>0</v>
      </c>
    </row>
    <row r="405" ht="24.95" customHeight="1" outlineLevel="3" s="1" customFormat="1">
      <c r="A405" s="15"/>
      <c r="B405" s="17">
        <v>1290</v>
      </c>
      <c r="C405" s="17">
        <v>1742</v>
      </c>
      <c r="D405" s="16">
        <v>17911</v>
      </c>
      <c r="E405" s="18"/>
      <c r="F405" s="18" t="s">
        <v>610</v>
      </c>
      <c r="G405" s="18" t="s">
        <v>611</v>
      </c>
      <c r="H405" s="18" t="s">
        <v>86</v>
      </c>
      <c r="I405" s="18" t="s">
        <v>74</v>
      </c>
      <c r="J405" s="16">
        <v>2025</v>
      </c>
      <c r="K405" s="18" t="s">
        <v>612</v>
      </c>
      <c r="L405" s="16">
        <v>9785961440157</v>
      </c>
      <c r="M405" s="18" t="s">
        <v>613</v>
      </c>
      <c r="N405" s="16">
        <v>935</v>
      </c>
      <c r="O405" s="19">
        <v>1.02</v>
      </c>
      <c r="P405" s="16">
        <v>146</v>
      </c>
      <c r="Q405" s="16">
        <v>216</v>
      </c>
      <c r="R405" s="16">
        <v>4</v>
      </c>
      <c r="S405" s="18" t="s">
        <v>43</v>
      </c>
      <c r="T405" s="18"/>
      <c r="U405" s="17">
        <v>5000</v>
      </c>
      <c r="V405" s="18" t="s">
        <v>77</v>
      </c>
      <c r="W405" s="18" t="s">
        <v>69</v>
      </c>
      <c r="X405" s="16">
        <v>10</v>
      </c>
      <c r="Y405" s="43" t="str">
        <f>HYPERLINK("https://api-enni.alpina.ru/FilePrivilegesApproval/128","https://api-enni.alpina.ru/FilePrivilegesApproval/128")</f>
        <v>https://api-enni.alpina.ru/FilePrivilegesApproval/128</v>
      </c>
      <c r="Z405" s="18"/>
      <c r="AS405" s="1">
        <f>IF($A405&lt;&gt;0,1,0)</f>
        <v>0</v>
      </c>
      <c r="AT405" s="1">
        <f>$A405*$B405</f>
        <v>0</v>
      </c>
      <c r="AU405" s="1">
        <f>$A405*$O405</f>
        <v>0</v>
      </c>
      <c r="AV405" s="1">
        <f>IF($R405=0,0,INT($A405/$R405))</f>
        <v>0</v>
      </c>
      <c r="AW405" s="1">
        <f>$A405-$AV405*$R405</f>
        <v>0</v>
      </c>
    </row>
    <row r="406" ht="24.95" customHeight="1" outlineLevel="3" s="1" customFormat="1">
      <c r="A406" s="15"/>
      <c r="B406" s="16">
        <v>640</v>
      </c>
      <c r="C406" s="16">
        <v>960</v>
      </c>
      <c r="D406" s="16">
        <v>30258</v>
      </c>
      <c r="E406" s="18"/>
      <c r="F406" s="18" t="s">
        <v>1364</v>
      </c>
      <c r="G406" s="18" t="s">
        <v>1365</v>
      </c>
      <c r="H406" s="18" t="s">
        <v>95</v>
      </c>
      <c r="I406" s="18"/>
      <c r="J406" s="16">
        <v>2024</v>
      </c>
      <c r="K406" s="18" t="s">
        <v>1366</v>
      </c>
      <c r="L406" s="16">
        <v>9785206003130</v>
      </c>
      <c r="M406" s="18" t="s">
        <v>1367</v>
      </c>
      <c r="N406" s="16">
        <v>136</v>
      </c>
      <c r="O406" s="19">
        <v>0.32</v>
      </c>
      <c r="P406" s="16">
        <v>150</v>
      </c>
      <c r="Q406" s="16">
        <v>220</v>
      </c>
      <c r="R406" s="16">
        <v>20</v>
      </c>
      <c r="S406" s="18" t="s">
        <v>43</v>
      </c>
      <c r="T406" s="18"/>
      <c r="U406" s="17">
        <v>2005</v>
      </c>
      <c r="V406" s="18" t="s">
        <v>77</v>
      </c>
      <c r="W406" s="18" t="s">
        <v>45</v>
      </c>
      <c r="X406" s="16">
        <v>10</v>
      </c>
      <c r="Y406" s="43" t="str">
        <f>HYPERLINK("https://api-enni.alpina.ru/FilePrivilegesApproval/537","https://api-enni.alpina.ru/FilePrivilegesApproval/537")</f>
        <v>https://api-enni.alpina.ru/FilePrivilegesApproval/537</v>
      </c>
      <c r="Z406" s="18"/>
      <c r="AS406" s="1">
        <f>IF($A406&lt;&gt;0,1,0)</f>
        <v>0</v>
      </c>
      <c r="AT406" s="1">
        <f>$A406*$B406</f>
        <v>0</v>
      </c>
      <c r="AU406" s="1">
        <f>$A406*$O406</f>
        <v>0</v>
      </c>
      <c r="AV406" s="1">
        <f>IF($R406=0,0,INT($A406/$R406))</f>
        <v>0</v>
      </c>
      <c r="AW406" s="1">
        <f>$A406-$AV406*$R406</f>
        <v>0</v>
      </c>
    </row>
    <row r="407" ht="24.95" customHeight="1" outlineLevel="3" s="1" customFormat="1">
      <c r="A407" s="15"/>
      <c r="B407" s="16">
        <v>650</v>
      </c>
      <c r="C407" s="16">
        <v>975</v>
      </c>
      <c r="D407" s="16">
        <v>36002</v>
      </c>
      <c r="E407" s="18"/>
      <c r="F407" s="18" t="s">
        <v>154</v>
      </c>
      <c r="G407" s="18" t="s">
        <v>155</v>
      </c>
      <c r="H407" s="18" t="s">
        <v>86</v>
      </c>
      <c r="I407" s="18" t="s">
        <v>74</v>
      </c>
      <c r="J407" s="16">
        <v>2026</v>
      </c>
      <c r="K407" s="18" t="s">
        <v>156</v>
      </c>
      <c r="L407" s="16">
        <v>9785006315815</v>
      </c>
      <c r="M407" s="18" t="s">
        <v>157</v>
      </c>
      <c r="N407" s="16">
        <v>288</v>
      </c>
      <c r="O407" s="19">
        <v>0.45</v>
      </c>
      <c r="P407" s="16">
        <v>150</v>
      </c>
      <c r="Q407" s="16">
        <v>220</v>
      </c>
      <c r="R407" s="16">
        <v>14</v>
      </c>
      <c r="S407" s="18" t="s">
        <v>43</v>
      </c>
      <c r="T407" s="18"/>
      <c r="U407" s="17">
        <v>2000</v>
      </c>
      <c r="V407" s="18" t="s">
        <v>77</v>
      </c>
      <c r="W407" s="18" t="s">
        <v>69</v>
      </c>
      <c r="X407" s="16">
        <v>10</v>
      </c>
      <c r="Y407" s="43" t="str">
        <f>HYPERLINK("https://api-enni.alpina.ru/FilePrivilegesApproval/1163","https://api-enni.alpina.ru/FilePrivilegesApproval/1163")</f>
        <v>https://api-enni.alpina.ru/FilePrivilegesApproval/1163</v>
      </c>
      <c r="Z407" s="18" t="s">
        <v>113</v>
      </c>
      <c r="AS407" s="1">
        <f>IF($A407&lt;&gt;0,1,0)</f>
        <v>0</v>
      </c>
      <c r="AT407" s="1">
        <f>$A407*$B407</f>
        <v>0</v>
      </c>
      <c r="AU407" s="1">
        <f>$A407*$O407</f>
        <v>0</v>
      </c>
      <c r="AV407" s="1">
        <f>IF($R407=0,0,INT($A407/$R407))</f>
        <v>0</v>
      </c>
      <c r="AW407" s="1">
        <f>$A407-$AV407*$R407</f>
        <v>0</v>
      </c>
    </row>
    <row r="408" ht="24.95" customHeight="1" outlineLevel="3" s="1" customFormat="1">
      <c r="A408" s="25"/>
      <c r="B408" s="26">
        <v>700</v>
      </c>
      <c r="C408" s="29">
        <v>1050</v>
      </c>
      <c r="D408" s="26">
        <v>24005</v>
      </c>
      <c r="E408" s="27"/>
      <c r="F408" s="27" t="s">
        <v>1368</v>
      </c>
      <c r="G408" s="27" t="s">
        <v>1369</v>
      </c>
      <c r="H408" s="27" t="s">
        <v>95</v>
      </c>
      <c r="I408" s="27"/>
      <c r="J408" s="26">
        <v>2022</v>
      </c>
      <c r="K408" s="27" t="s">
        <v>1370</v>
      </c>
      <c r="L408" s="26">
        <v>9785907534063</v>
      </c>
      <c r="M408" s="27" t="s">
        <v>1371</v>
      </c>
      <c r="N408" s="26">
        <v>152</v>
      </c>
      <c r="O408" s="28">
        <v>0.28</v>
      </c>
      <c r="P408" s="26">
        <v>146</v>
      </c>
      <c r="Q408" s="26">
        <v>216</v>
      </c>
      <c r="R408" s="26">
        <v>14</v>
      </c>
      <c r="S408" s="27" t="s">
        <v>43</v>
      </c>
      <c r="T408" s="27"/>
      <c r="U408" s="29">
        <v>2000</v>
      </c>
      <c r="V408" s="27" t="s">
        <v>77</v>
      </c>
      <c r="W408" s="27" t="s">
        <v>69</v>
      </c>
      <c r="X408" s="26">
        <v>10</v>
      </c>
      <c r="Y408" s="45" t="str">
        <f>HYPERLINK("https://api-enni.alpina.ru/FilePrivilegesApproval/139","https://api-enni.alpina.ru/FilePrivilegesApproval/139")</f>
        <v>https://api-enni.alpina.ru/FilePrivilegesApproval/139</v>
      </c>
      <c r="Z408" s="27"/>
      <c r="AS408" s="1">
        <f>IF($A408&lt;&gt;0,1,0)</f>
        <v>0</v>
      </c>
      <c r="AT408" s="1">
        <f>$A408*$B408</f>
        <v>0</v>
      </c>
      <c r="AU408" s="1">
        <f>$A408*$O408</f>
        <v>0</v>
      </c>
      <c r="AV408" s="1">
        <f>IF($R408=0,0,INT($A408/$R408))</f>
        <v>0</v>
      </c>
      <c r="AW408" s="1">
        <f>$A408-$AV408*$R408</f>
        <v>0</v>
      </c>
    </row>
    <row r="409" ht="24.95" customHeight="1" outlineLevel="3" s="1" customFormat="1">
      <c r="A409" s="15"/>
      <c r="B409" s="16">
        <v>790</v>
      </c>
      <c r="C409" s="17">
        <v>1146</v>
      </c>
      <c r="D409" s="16">
        <v>23858</v>
      </c>
      <c r="E409" s="18"/>
      <c r="F409" s="18" t="s">
        <v>1372</v>
      </c>
      <c r="G409" s="18" t="s">
        <v>1373</v>
      </c>
      <c r="H409" s="18" t="s">
        <v>86</v>
      </c>
      <c r="I409" s="18" t="s">
        <v>74</v>
      </c>
      <c r="J409" s="16">
        <v>2025</v>
      </c>
      <c r="K409" s="18" t="s">
        <v>1374</v>
      </c>
      <c r="L409" s="16">
        <v>9785961487732</v>
      </c>
      <c r="M409" s="18" t="s">
        <v>1375</v>
      </c>
      <c r="N409" s="16">
        <v>360</v>
      </c>
      <c r="O409" s="19">
        <v>0.43</v>
      </c>
      <c r="P409" s="16">
        <v>140</v>
      </c>
      <c r="Q409" s="16">
        <v>210</v>
      </c>
      <c r="R409" s="16">
        <v>12</v>
      </c>
      <c r="S409" s="18" t="s">
        <v>43</v>
      </c>
      <c r="T409" s="18"/>
      <c r="U409" s="17">
        <v>4000</v>
      </c>
      <c r="V409" s="18" t="s">
        <v>44</v>
      </c>
      <c r="W409" s="18" t="s">
        <v>69</v>
      </c>
      <c r="X409" s="16">
        <v>10</v>
      </c>
      <c r="Y409" s="43" t="str">
        <f>HYPERLINK("https://api-enni.alpina.ru/FilePrivilegesApproval/302","https://api-enni.alpina.ru/FilePrivilegesApproval/302")</f>
        <v>https://api-enni.alpina.ru/FilePrivilegesApproval/302</v>
      </c>
      <c r="Z409" s="18"/>
      <c r="AS409" s="1">
        <f>IF($A409&lt;&gt;0,1,0)</f>
        <v>0</v>
      </c>
      <c r="AT409" s="1">
        <f>$A409*$B409</f>
        <v>0</v>
      </c>
      <c r="AU409" s="1">
        <f>$A409*$O409</f>
        <v>0</v>
      </c>
      <c r="AV409" s="1">
        <f>IF($R409=0,0,INT($A409/$R409))</f>
        <v>0</v>
      </c>
      <c r="AW409" s="1">
        <f>$A409-$AV409*$R409</f>
        <v>0</v>
      </c>
    </row>
    <row r="410" ht="24.95" customHeight="1" outlineLevel="3" s="1" customFormat="1">
      <c r="A410" s="15"/>
      <c r="B410" s="16">
        <v>640</v>
      </c>
      <c r="C410" s="16">
        <v>960</v>
      </c>
      <c r="D410" s="16">
        <v>28866</v>
      </c>
      <c r="E410" s="18"/>
      <c r="F410" s="18" t="s">
        <v>1376</v>
      </c>
      <c r="G410" s="18" t="s">
        <v>1377</v>
      </c>
      <c r="H410" s="18" t="s">
        <v>86</v>
      </c>
      <c r="I410" s="18"/>
      <c r="J410" s="16">
        <v>2025</v>
      </c>
      <c r="K410" s="18" t="s">
        <v>1378</v>
      </c>
      <c r="L410" s="16">
        <v>9785961490404</v>
      </c>
      <c r="M410" s="18" t="s">
        <v>1379</v>
      </c>
      <c r="N410" s="16">
        <v>299</v>
      </c>
      <c r="O410" s="19">
        <v>0.46</v>
      </c>
      <c r="P410" s="16">
        <v>150</v>
      </c>
      <c r="Q410" s="16">
        <v>220</v>
      </c>
      <c r="R410" s="16">
        <v>12</v>
      </c>
      <c r="S410" s="18" t="s">
        <v>43</v>
      </c>
      <c r="T410" s="18"/>
      <c r="U410" s="17">
        <v>1500</v>
      </c>
      <c r="V410" s="18" t="s">
        <v>77</v>
      </c>
      <c r="W410" s="18" t="s">
        <v>69</v>
      </c>
      <c r="X410" s="16">
        <v>10</v>
      </c>
      <c r="Y410" s="43" t="str">
        <f>HYPERLINK("https://api-enni.alpina.ru/FilePrivilegesApproval/405","https://api-enni.alpina.ru/FilePrivilegesApproval/405")</f>
        <v>https://api-enni.alpina.ru/FilePrivilegesApproval/405</v>
      </c>
      <c r="Z410" s="18"/>
      <c r="AS410" s="1">
        <f>IF($A410&lt;&gt;0,1,0)</f>
        <v>0</v>
      </c>
      <c r="AT410" s="1">
        <f>$A410*$B410</f>
        <v>0</v>
      </c>
      <c r="AU410" s="1">
        <f>$A410*$O410</f>
        <v>0</v>
      </c>
      <c r="AV410" s="1">
        <f>IF($R410=0,0,INT($A410/$R410))</f>
        <v>0</v>
      </c>
      <c r="AW410" s="1">
        <f>$A410-$AV410*$R410</f>
        <v>0</v>
      </c>
    </row>
    <row r="411" ht="24.95" customHeight="1" outlineLevel="3" s="1" customFormat="1">
      <c r="A411" s="15"/>
      <c r="B411" s="16">
        <v>690</v>
      </c>
      <c r="C411" s="17">
        <v>1035</v>
      </c>
      <c r="D411" s="16">
        <v>35980</v>
      </c>
      <c r="E411" s="18"/>
      <c r="F411" s="18" t="s">
        <v>1380</v>
      </c>
      <c r="G411" s="18" t="s">
        <v>1381</v>
      </c>
      <c r="H411" s="18" t="s">
        <v>95</v>
      </c>
      <c r="I411" s="18"/>
      <c r="J411" s="16">
        <v>2026</v>
      </c>
      <c r="K411" s="18" t="s">
        <v>1382</v>
      </c>
      <c r="L411" s="16">
        <v>9785206006162</v>
      </c>
      <c r="M411" s="18" t="s">
        <v>1383</v>
      </c>
      <c r="N411" s="16">
        <v>172</v>
      </c>
      <c r="O411" s="19">
        <v>0.31</v>
      </c>
      <c r="P411" s="16">
        <v>150</v>
      </c>
      <c r="Q411" s="16">
        <v>220</v>
      </c>
      <c r="R411" s="16">
        <v>10</v>
      </c>
      <c r="S411" s="18" t="s">
        <v>43</v>
      </c>
      <c r="T411" s="18"/>
      <c r="U411" s="17">
        <v>2005</v>
      </c>
      <c r="V411" s="18" t="s">
        <v>77</v>
      </c>
      <c r="W411" s="18" t="s">
        <v>69</v>
      </c>
      <c r="X411" s="16">
        <v>10</v>
      </c>
      <c r="Y411" s="43" t="str">
        <f>HYPERLINK("https://api-enni.alpina.ru/FilePrivilegesApproval/1181","https://api-enni.alpina.ru/FilePrivilegesApproval/1181")</f>
        <v>https://api-enni.alpina.ru/FilePrivilegesApproval/1181</v>
      </c>
      <c r="Z411" s="18" t="s">
        <v>251</v>
      </c>
      <c r="AS411" s="1">
        <f>IF($A411&lt;&gt;0,1,0)</f>
        <v>0</v>
      </c>
      <c r="AT411" s="1">
        <f>$A411*$B411</f>
        <v>0</v>
      </c>
      <c r="AU411" s="1">
        <f>$A411*$O411</f>
        <v>0</v>
      </c>
      <c r="AV411" s="1">
        <f>IF($R411=0,0,INT($A411/$R411))</f>
        <v>0</v>
      </c>
      <c r="AW411" s="1">
        <f>$A411-$AV411*$R411</f>
        <v>0</v>
      </c>
    </row>
    <row r="412" ht="24.95" customHeight="1" outlineLevel="3" s="1" customFormat="1">
      <c r="A412" s="15"/>
      <c r="B412" s="16">
        <v>890</v>
      </c>
      <c r="C412" s="17">
        <v>1246</v>
      </c>
      <c r="D412" s="16">
        <v>23554</v>
      </c>
      <c r="E412" s="18"/>
      <c r="F412" s="18" t="s">
        <v>1384</v>
      </c>
      <c r="G412" s="18" t="s">
        <v>1385</v>
      </c>
      <c r="H412" s="18" t="s">
        <v>95</v>
      </c>
      <c r="I412" s="18"/>
      <c r="J412" s="16">
        <v>2022</v>
      </c>
      <c r="K412" s="18" t="s">
        <v>1386</v>
      </c>
      <c r="L412" s="16">
        <v>9785907470019</v>
      </c>
      <c r="M412" s="18" t="s">
        <v>1387</v>
      </c>
      <c r="N412" s="16">
        <v>248</v>
      </c>
      <c r="O412" s="19">
        <v>0.41</v>
      </c>
      <c r="P412" s="16">
        <v>146</v>
      </c>
      <c r="Q412" s="16">
        <v>216</v>
      </c>
      <c r="R412" s="16">
        <v>10</v>
      </c>
      <c r="S412" s="18" t="s">
        <v>43</v>
      </c>
      <c r="T412" s="18"/>
      <c r="U412" s="17">
        <v>1250</v>
      </c>
      <c r="V412" s="18" t="s">
        <v>77</v>
      </c>
      <c r="W412" s="18" t="s">
        <v>91</v>
      </c>
      <c r="X412" s="16">
        <v>10</v>
      </c>
      <c r="Y412" s="43" t="str">
        <f>HYPERLINK("https://api-enni.alpina.ru/FilePrivilegesApproval/154","https://api-enni.alpina.ru/FilePrivilegesApproval/154")</f>
        <v>https://api-enni.alpina.ru/FilePrivilegesApproval/154</v>
      </c>
      <c r="Z412" s="18"/>
      <c r="AS412" s="1">
        <f>IF($A412&lt;&gt;0,1,0)</f>
        <v>0</v>
      </c>
      <c r="AT412" s="1">
        <f>$A412*$B412</f>
        <v>0</v>
      </c>
      <c r="AU412" s="1">
        <f>$A412*$O412</f>
        <v>0</v>
      </c>
      <c r="AV412" s="1">
        <f>IF($R412=0,0,INT($A412/$R412))</f>
        <v>0</v>
      </c>
      <c r="AW412" s="1">
        <f>$A412-$AV412*$R412</f>
        <v>0</v>
      </c>
    </row>
    <row r="413" ht="24.95" customHeight="1" outlineLevel="3" s="1" customFormat="1">
      <c r="A413" s="15"/>
      <c r="B413" s="16">
        <v>340</v>
      </c>
      <c r="C413" s="16">
        <v>544</v>
      </c>
      <c r="D413" s="16">
        <v>27438</v>
      </c>
      <c r="E413" s="18"/>
      <c r="F413" s="18" t="s">
        <v>1388</v>
      </c>
      <c r="G413" s="18" t="s">
        <v>1389</v>
      </c>
      <c r="H413" s="18" t="s">
        <v>86</v>
      </c>
      <c r="I413" s="18"/>
      <c r="J413" s="16">
        <v>2025</v>
      </c>
      <c r="K413" s="18" t="s">
        <v>1390</v>
      </c>
      <c r="L413" s="16">
        <v>9785961485042</v>
      </c>
      <c r="M413" s="18" t="s">
        <v>1391</v>
      </c>
      <c r="N413" s="16">
        <v>288</v>
      </c>
      <c r="O413" s="19">
        <v>0.19</v>
      </c>
      <c r="P413" s="16">
        <v>120</v>
      </c>
      <c r="Q413" s="16">
        <v>170</v>
      </c>
      <c r="R413" s="16">
        <v>10</v>
      </c>
      <c r="S413" s="18" t="s">
        <v>190</v>
      </c>
      <c r="T413" s="18" t="s">
        <v>451</v>
      </c>
      <c r="U413" s="17">
        <v>4000</v>
      </c>
      <c r="V413" s="18" t="s">
        <v>44</v>
      </c>
      <c r="W413" s="18" t="s">
        <v>184</v>
      </c>
      <c r="X413" s="16">
        <v>10</v>
      </c>
      <c r="Y413" s="43" t="str">
        <f>HYPERLINK("https://api-enni.alpina.ru/FilePrivilegesApproval/200","https://api-enni.alpina.ru/FilePrivilegesApproval/200")</f>
        <v>https://api-enni.alpina.ru/FilePrivilegesApproval/200</v>
      </c>
      <c r="Z413" s="18"/>
      <c r="AS413" s="1">
        <f>IF($A413&lt;&gt;0,1,0)</f>
        <v>0</v>
      </c>
      <c r="AT413" s="1">
        <f>$A413*$B413</f>
        <v>0</v>
      </c>
      <c r="AU413" s="1">
        <f>$A413*$O413</f>
        <v>0</v>
      </c>
      <c r="AV413" s="1">
        <f>IF($R413=0,0,INT($A413/$R413))</f>
        <v>0</v>
      </c>
      <c r="AW413" s="1">
        <f>$A413-$AV413*$R413</f>
        <v>0</v>
      </c>
    </row>
    <row r="414" ht="24.95" customHeight="1" outlineLevel="3" s="1" customFormat="1">
      <c r="A414" s="15"/>
      <c r="B414" s="16">
        <v>640</v>
      </c>
      <c r="C414" s="16">
        <v>960</v>
      </c>
      <c r="D414" s="16">
        <v>25088</v>
      </c>
      <c r="E414" s="18"/>
      <c r="F414" s="18" t="s">
        <v>1392</v>
      </c>
      <c r="G414" s="18" t="s">
        <v>1393</v>
      </c>
      <c r="H414" s="18" t="s">
        <v>86</v>
      </c>
      <c r="I414" s="18" t="s">
        <v>74</v>
      </c>
      <c r="J414" s="16">
        <v>2025</v>
      </c>
      <c r="K414" s="18" t="s">
        <v>1394</v>
      </c>
      <c r="L414" s="16">
        <v>9785961480481</v>
      </c>
      <c r="M414" s="18" t="s">
        <v>1395</v>
      </c>
      <c r="N414" s="16">
        <v>238</v>
      </c>
      <c r="O414" s="19">
        <v>0.3</v>
      </c>
      <c r="P414" s="16">
        <v>140</v>
      </c>
      <c r="Q414" s="16">
        <v>210</v>
      </c>
      <c r="R414" s="16">
        <v>10</v>
      </c>
      <c r="S414" s="18" t="s">
        <v>43</v>
      </c>
      <c r="T414" s="18"/>
      <c r="U414" s="17">
        <v>1000</v>
      </c>
      <c r="V414" s="18" t="s">
        <v>44</v>
      </c>
      <c r="W414" s="18" t="s">
        <v>184</v>
      </c>
      <c r="X414" s="16">
        <v>10</v>
      </c>
      <c r="Y414" s="43" t="str">
        <f>HYPERLINK("https://api-enni.alpina.ru/FilePrivilegesApproval/152","https://api-enni.alpina.ru/FilePrivilegesApproval/152")</f>
        <v>https://api-enni.alpina.ru/FilePrivilegesApproval/152</v>
      </c>
      <c r="Z414" s="18"/>
      <c r="AS414" s="1">
        <f>IF($A414&lt;&gt;0,1,0)</f>
        <v>0</v>
      </c>
      <c r="AT414" s="1">
        <f>$A414*$B414</f>
        <v>0</v>
      </c>
      <c r="AU414" s="1">
        <f>$A414*$O414</f>
        <v>0</v>
      </c>
      <c r="AV414" s="1">
        <f>IF($R414=0,0,INT($A414/$R414))</f>
        <v>0</v>
      </c>
      <c r="AW414" s="1">
        <f>$A414-$AV414*$R414</f>
        <v>0</v>
      </c>
    </row>
    <row r="415" ht="24.95" customHeight="1" outlineLevel="3" s="1" customFormat="1">
      <c r="A415" s="15"/>
      <c r="B415" s="16">
        <v>340</v>
      </c>
      <c r="C415" s="16">
        <v>544</v>
      </c>
      <c r="D415" s="16">
        <v>27439</v>
      </c>
      <c r="E415" s="18"/>
      <c r="F415" s="18" t="s">
        <v>1396</v>
      </c>
      <c r="G415" s="18" t="s">
        <v>1397</v>
      </c>
      <c r="H415" s="18" t="s">
        <v>86</v>
      </c>
      <c r="I415" s="18"/>
      <c r="J415" s="16">
        <v>2024</v>
      </c>
      <c r="K415" s="18" t="s">
        <v>1398</v>
      </c>
      <c r="L415" s="16">
        <v>9785961485059</v>
      </c>
      <c r="M415" s="18" t="s">
        <v>1399</v>
      </c>
      <c r="N415" s="16">
        <v>400</v>
      </c>
      <c r="O415" s="19">
        <v>0.25</v>
      </c>
      <c r="P415" s="16">
        <v>120</v>
      </c>
      <c r="Q415" s="16">
        <v>170</v>
      </c>
      <c r="R415" s="16">
        <v>14</v>
      </c>
      <c r="S415" s="18" t="s">
        <v>190</v>
      </c>
      <c r="T415" s="18" t="s">
        <v>451</v>
      </c>
      <c r="U415" s="17">
        <v>2000</v>
      </c>
      <c r="V415" s="18" t="s">
        <v>44</v>
      </c>
      <c r="W415" s="18" t="s">
        <v>184</v>
      </c>
      <c r="X415" s="16">
        <v>10</v>
      </c>
      <c r="Y415" s="43" t="str">
        <f>HYPERLINK("https://api-enni.alpina.ru/FilePrivilegesApproval/200","https://api-enni.alpina.ru/FilePrivilegesApproval/200")</f>
        <v>https://api-enni.alpina.ru/FilePrivilegesApproval/200</v>
      </c>
      <c r="Z415" s="18"/>
      <c r="AS415" s="1">
        <f>IF($A415&lt;&gt;0,1,0)</f>
        <v>0</v>
      </c>
      <c r="AT415" s="1">
        <f>$A415*$B415</f>
        <v>0</v>
      </c>
      <c r="AU415" s="1">
        <f>$A415*$O415</f>
        <v>0</v>
      </c>
      <c r="AV415" s="1">
        <f>IF($R415=0,0,INT($A415/$R415))</f>
        <v>0</v>
      </c>
      <c r="AW415" s="1">
        <f>$A415-$AV415*$R415</f>
        <v>0</v>
      </c>
    </row>
    <row r="416" ht="24.95" customHeight="1" outlineLevel="3" s="1" customFormat="1">
      <c r="A416" s="15"/>
      <c r="B416" s="16">
        <v>990</v>
      </c>
      <c r="C416" s="17">
        <v>1386</v>
      </c>
      <c r="D416" s="16">
        <v>24411</v>
      </c>
      <c r="E416" s="18"/>
      <c r="F416" s="18" t="s">
        <v>1400</v>
      </c>
      <c r="G416" s="18" t="s">
        <v>1401</v>
      </c>
      <c r="H416" s="18" t="s">
        <v>95</v>
      </c>
      <c r="I416" s="18"/>
      <c r="J416" s="16">
        <v>2022</v>
      </c>
      <c r="K416" s="18" t="s">
        <v>1402</v>
      </c>
      <c r="L416" s="16">
        <v>9785907534032</v>
      </c>
      <c r="M416" s="18" t="s">
        <v>1403</v>
      </c>
      <c r="N416" s="16">
        <v>160</v>
      </c>
      <c r="O416" s="19">
        <v>0.31</v>
      </c>
      <c r="P416" s="16">
        <v>146</v>
      </c>
      <c r="Q416" s="16">
        <v>216</v>
      </c>
      <c r="R416" s="16">
        <v>14</v>
      </c>
      <c r="S416" s="18" t="s">
        <v>43</v>
      </c>
      <c r="T416" s="18"/>
      <c r="U416" s="17">
        <v>2000</v>
      </c>
      <c r="V416" s="18" t="s">
        <v>77</v>
      </c>
      <c r="W416" s="18" t="s">
        <v>91</v>
      </c>
      <c r="X416" s="16">
        <v>10</v>
      </c>
      <c r="Y416" s="43" t="str">
        <f>HYPERLINK("https://api-enni.alpina.ru/FilePrivilegesApproval/130","https://api-enni.alpina.ru/FilePrivilegesApproval/130")</f>
        <v>https://api-enni.alpina.ru/FilePrivilegesApproval/130</v>
      </c>
      <c r="Z416" s="18"/>
      <c r="AS416" s="1">
        <f>IF($A416&lt;&gt;0,1,0)</f>
        <v>0</v>
      </c>
      <c r="AT416" s="1">
        <f>$A416*$B416</f>
        <v>0</v>
      </c>
      <c r="AU416" s="1">
        <f>$A416*$O416</f>
        <v>0</v>
      </c>
      <c r="AV416" s="1">
        <f>IF($R416=0,0,INT($A416/$R416))</f>
        <v>0</v>
      </c>
      <c r="AW416" s="1">
        <f>$A416-$AV416*$R416</f>
        <v>0</v>
      </c>
    </row>
    <row r="417" ht="24.95" customHeight="1" outlineLevel="3" s="1" customFormat="1">
      <c r="A417" s="15"/>
      <c r="B417" s="16">
        <v>640</v>
      </c>
      <c r="C417" s="16">
        <v>960</v>
      </c>
      <c r="D417" s="16">
        <v>5469</v>
      </c>
      <c r="E417" s="18"/>
      <c r="F417" s="18" t="s">
        <v>1404</v>
      </c>
      <c r="G417" s="18" t="s">
        <v>1405</v>
      </c>
      <c r="H417" s="18" t="s">
        <v>86</v>
      </c>
      <c r="I417" s="18" t="s">
        <v>160</v>
      </c>
      <c r="J417" s="16">
        <v>2025</v>
      </c>
      <c r="K417" s="18" t="s">
        <v>1406</v>
      </c>
      <c r="L417" s="16">
        <v>9785961469509</v>
      </c>
      <c r="M417" s="18" t="s">
        <v>1407</v>
      </c>
      <c r="N417" s="16">
        <v>232</v>
      </c>
      <c r="O417" s="19">
        <v>0.41</v>
      </c>
      <c r="P417" s="16">
        <v>146</v>
      </c>
      <c r="Q417" s="16">
        <v>216</v>
      </c>
      <c r="R417" s="16">
        <v>10</v>
      </c>
      <c r="S417" s="18" t="s">
        <v>43</v>
      </c>
      <c r="T417" s="18"/>
      <c r="U417" s="17">
        <v>1000</v>
      </c>
      <c r="V417" s="18" t="s">
        <v>77</v>
      </c>
      <c r="W417" s="18" t="s">
        <v>184</v>
      </c>
      <c r="X417" s="16">
        <v>10</v>
      </c>
      <c r="Y417" s="43" t="str">
        <f>HYPERLINK("https://api-enni.alpina.ru/FilePrivilegesApproval/2","https://api-enni.alpina.ru/FilePrivilegesApproval/2")</f>
        <v>https://api-enni.alpina.ru/FilePrivilegesApproval/2</v>
      </c>
      <c r="Z417" s="18"/>
      <c r="AS417" s="1">
        <f>IF($A417&lt;&gt;0,1,0)</f>
        <v>0</v>
      </c>
      <c r="AT417" s="1">
        <f>$A417*$B417</f>
        <v>0</v>
      </c>
      <c r="AU417" s="1">
        <f>$A417*$O417</f>
        <v>0</v>
      </c>
      <c r="AV417" s="1">
        <f>IF($R417=0,0,INT($A417/$R417))</f>
        <v>0</v>
      </c>
      <c r="AW417" s="1">
        <f>$A417-$AV417*$R417</f>
        <v>0</v>
      </c>
    </row>
    <row r="418" ht="24.95" customHeight="1" outlineLevel="3" s="1" customFormat="1">
      <c r="A418" s="15"/>
      <c r="B418" s="16">
        <v>790</v>
      </c>
      <c r="C418" s="17">
        <v>1146</v>
      </c>
      <c r="D418" s="16">
        <v>34854</v>
      </c>
      <c r="E418" s="18"/>
      <c r="F418" s="18" t="s">
        <v>1408</v>
      </c>
      <c r="G418" s="18" t="s">
        <v>1409</v>
      </c>
      <c r="H418" s="18" t="s">
        <v>95</v>
      </c>
      <c r="I418" s="18"/>
      <c r="J418" s="16">
        <v>2025</v>
      </c>
      <c r="K418" s="18" t="s">
        <v>1410</v>
      </c>
      <c r="L418" s="16">
        <v>9785206005233</v>
      </c>
      <c r="M418" s="18" t="s">
        <v>1411</v>
      </c>
      <c r="N418" s="16">
        <v>288</v>
      </c>
      <c r="O418" s="19">
        <v>0.43</v>
      </c>
      <c r="P418" s="16">
        <v>150</v>
      </c>
      <c r="Q418" s="16">
        <v>220</v>
      </c>
      <c r="R418" s="16">
        <v>10</v>
      </c>
      <c r="S418" s="18" t="s">
        <v>43</v>
      </c>
      <c r="T418" s="18"/>
      <c r="U418" s="17">
        <v>1005</v>
      </c>
      <c r="V418" s="18" t="s">
        <v>77</v>
      </c>
      <c r="W418" s="18" t="s">
        <v>69</v>
      </c>
      <c r="X418" s="16">
        <v>10</v>
      </c>
      <c r="Y418" s="43" t="str">
        <f>HYPERLINK("https://api-enni.alpina.ru/FilePrivilegesApproval/1100","https://api-enni.alpina.ru/FilePrivilegesApproval/1100")</f>
        <v>https://api-enni.alpina.ru/FilePrivilegesApproval/1100</v>
      </c>
      <c r="Z418" s="18"/>
      <c r="AS418" s="1">
        <f>IF($A418&lt;&gt;0,1,0)</f>
        <v>0</v>
      </c>
      <c r="AT418" s="1">
        <f>$A418*$B418</f>
        <v>0</v>
      </c>
      <c r="AU418" s="1">
        <f>$A418*$O418</f>
        <v>0</v>
      </c>
      <c r="AV418" s="1">
        <f>IF($R418=0,0,INT($A418/$R418))</f>
        <v>0</v>
      </c>
      <c r="AW418" s="1">
        <f>$A418-$AV418*$R418</f>
        <v>0</v>
      </c>
    </row>
    <row r="419" ht="24.95" customHeight="1" outlineLevel="3" s="1" customFormat="1">
      <c r="A419" s="15"/>
      <c r="B419" s="16">
        <v>640</v>
      </c>
      <c r="C419" s="16">
        <v>960</v>
      </c>
      <c r="D419" s="16">
        <v>31641</v>
      </c>
      <c r="E419" s="18"/>
      <c r="F419" s="18" t="s">
        <v>1412</v>
      </c>
      <c r="G419" s="18" t="s">
        <v>1413</v>
      </c>
      <c r="H419" s="18" t="s">
        <v>86</v>
      </c>
      <c r="I419" s="18"/>
      <c r="J419" s="16">
        <v>2025</v>
      </c>
      <c r="K419" s="18" t="s">
        <v>1414</v>
      </c>
      <c r="L419" s="16">
        <v>9785961499698</v>
      </c>
      <c r="M419" s="18" t="s">
        <v>1415</v>
      </c>
      <c r="N419" s="16">
        <v>248</v>
      </c>
      <c r="O419" s="19">
        <v>0.39</v>
      </c>
      <c r="P419" s="16">
        <v>150</v>
      </c>
      <c r="Q419" s="16">
        <v>220</v>
      </c>
      <c r="R419" s="16">
        <v>16</v>
      </c>
      <c r="S419" s="18" t="s">
        <v>43</v>
      </c>
      <c r="T419" s="18"/>
      <c r="U419" s="17">
        <v>2000</v>
      </c>
      <c r="V419" s="18" t="s">
        <v>77</v>
      </c>
      <c r="W419" s="18" t="s">
        <v>91</v>
      </c>
      <c r="X419" s="16">
        <v>10</v>
      </c>
      <c r="Y419" s="43" t="str">
        <f>HYPERLINK("https://api-enni.alpina.ru/FilePrivilegesApproval/856","https://api-enni.alpina.ru/FilePrivilegesApproval/856")</f>
        <v>https://api-enni.alpina.ru/FilePrivilegesApproval/856</v>
      </c>
      <c r="Z419" s="18"/>
      <c r="AS419" s="1">
        <f>IF($A419&lt;&gt;0,1,0)</f>
        <v>0</v>
      </c>
      <c r="AT419" s="1">
        <f>$A419*$B419</f>
        <v>0</v>
      </c>
      <c r="AU419" s="1">
        <f>$A419*$O419</f>
        <v>0</v>
      </c>
      <c r="AV419" s="1">
        <f>IF($R419=0,0,INT($A419/$R419))</f>
        <v>0</v>
      </c>
      <c r="AW419" s="1">
        <f>$A419-$AV419*$R419</f>
        <v>0</v>
      </c>
    </row>
    <row r="420" ht="24.95" customHeight="1" outlineLevel="3" s="1" customFormat="1">
      <c r="A420" s="15"/>
      <c r="B420" s="16">
        <v>790</v>
      </c>
      <c r="C420" s="17">
        <v>1146</v>
      </c>
      <c r="D420" s="16">
        <v>31501</v>
      </c>
      <c r="E420" s="18"/>
      <c r="F420" s="18" t="s">
        <v>1416</v>
      </c>
      <c r="G420" s="18" t="s">
        <v>1417</v>
      </c>
      <c r="H420" s="18" t="s">
        <v>86</v>
      </c>
      <c r="I420" s="18"/>
      <c r="J420" s="16">
        <v>2024</v>
      </c>
      <c r="K420" s="18" t="s">
        <v>1418</v>
      </c>
      <c r="L420" s="16">
        <v>9785961499070</v>
      </c>
      <c r="M420" s="18" t="s">
        <v>1419</v>
      </c>
      <c r="N420" s="16">
        <v>384</v>
      </c>
      <c r="O420" s="19">
        <v>0.71</v>
      </c>
      <c r="P420" s="16">
        <v>170</v>
      </c>
      <c r="Q420" s="16">
        <v>220</v>
      </c>
      <c r="R420" s="16">
        <v>5</v>
      </c>
      <c r="S420" s="18" t="s">
        <v>52</v>
      </c>
      <c r="T420" s="18"/>
      <c r="U420" s="17">
        <v>2000</v>
      </c>
      <c r="V420" s="18" t="s">
        <v>44</v>
      </c>
      <c r="W420" s="18" t="s">
        <v>69</v>
      </c>
      <c r="X420" s="16">
        <v>10</v>
      </c>
      <c r="Y420" s="43" t="str">
        <f>HYPERLINK("https://api-enni.alpina.ru/FilePrivilegesApproval/633","https://api-enni.alpina.ru/FilePrivilegesApproval/633")</f>
        <v>https://api-enni.alpina.ru/FilePrivilegesApproval/633</v>
      </c>
      <c r="Z420" s="18"/>
      <c r="AS420" s="1">
        <f>IF($A420&lt;&gt;0,1,0)</f>
        <v>0</v>
      </c>
      <c r="AT420" s="1">
        <f>$A420*$B420</f>
        <v>0</v>
      </c>
      <c r="AU420" s="1">
        <f>$A420*$O420</f>
        <v>0</v>
      </c>
      <c r="AV420" s="1">
        <f>IF($R420=0,0,INT($A420/$R420))</f>
        <v>0</v>
      </c>
      <c r="AW420" s="1">
        <f>$A420-$AV420*$R420</f>
        <v>0</v>
      </c>
    </row>
    <row r="421" ht="24.95" customHeight="1" outlineLevel="3" s="1" customFormat="1">
      <c r="A421" s="25"/>
      <c r="B421" s="26">
        <v>890</v>
      </c>
      <c r="C421" s="29">
        <v>2012</v>
      </c>
      <c r="D421" s="26">
        <v>35879</v>
      </c>
      <c r="E421" s="27"/>
      <c r="F421" s="27" t="s">
        <v>630</v>
      </c>
      <c r="G421" s="27" t="s">
        <v>631</v>
      </c>
      <c r="H421" s="27" t="s">
        <v>95</v>
      </c>
      <c r="I421" s="27"/>
      <c r="J421" s="26">
        <v>2026</v>
      </c>
      <c r="K421" s="27" t="s">
        <v>632</v>
      </c>
      <c r="L421" s="26">
        <v>9785206006094</v>
      </c>
      <c r="M421" s="27" t="s">
        <v>633</v>
      </c>
      <c r="N421" s="26">
        <v>352</v>
      </c>
      <c r="O421" s="28">
        <v>0.62</v>
      </c>
      <c r="P421" s="26">
        <v>150</v>
      </c>
      <c r="Q421" s="26">
        <v>220</v>
      </c>
      <c r="R421" s="26">
        <v>8</v>
      </c>
      <c r="S421" s="27" t="s">
        <v>43</v>
      </c>
      <c r="T421" s="27"/>
      <c r="U421" s="29">
        <v>1005</v>
      </c>
      <c r="V421" s="27" t="s">
        <v>77</v>
      </c>
      <c r="W421" s="27" t="s">
        <v>69</v>
      </c>
      <c r="X421" s="26">
        <v>10</v>
      </c>
      <c r="Y421" s="45" t="str">
        <f>HYPERLINK("https://api-enni.alpina.ru/FilePrivilegesApproval/1181","https://api-enni.alpina.ru/FilePrivilegesApproval/1181")</f>
        <v>https://api-enni.alpina.ru/FilePrivilegesApproval/1181</v>
      </c>
      <c r="Z421" s="27"/>
      <c r="AS421" s="1">
        <f>IF($A421&lt;&gt;0,1,0)</f>
        <v>0</v>
      </c>
      <c r="AT421" s="1">
        <f>$A421*$B421</f>
        <v>0</v>
      </c>
      <c r="AU421" s="1">
        <f>$A421*$O421</f>
        <v>0</v>
      </c>
      <c r="AV421" s="1">
        <f>IF($R421=0,0,INT($A421/$R421))</f>
        <v>0</v>
      </c>
      <c r="AW421" s="1">
        <f>$A421-$AV421*$R421</f>
        <v>0</v>
      </c>
    </row>
    <row r="422" ht="24.95" customHeight="1" outlineLevel="3" s="1" customFormat="1">
      <c r="A422" s="15"/>
      <c r="B422" s="16">
        <v>640</v>
      </c>
      <c r="C422" s="16">
        <v>960</v>
      </c>
      <c r="D422" s="16">
        <v>31536</v>
      </c>
      <c r="E422" s="18"/>
      <c r="F422" s="18" t="s">
        <v>1420</v>
      </c>
      <c r="G422" s="18" t="s">
        <v>1421</v>
      </c>
      <c r="H422" s="18" t="s">
        <v>86</v>
      </c>
      <c r="I422" s="18" t="s">
        <v>74</v>
      </c>
      <c r="J422" s="16">
        <v>2025</v>
      </c>
      <c r="K422" s="18" t="s">
        <v>1422</v>
      </c>
      <c r="L422" s="16">
        <v>9785961499179</v>
      </c>
      <c r="M422" s="18" t="s">
        <v>1423</v>
      </c>
      <c r="N422" s="16">
        <v>298</v>
      </c>
      <c r="O422" s="19">
        <v>0.37</v>
      </c>
      <c r="P422" s="16">
        <v>140</v>
      </c>
      <c r="Q422" s="16">
        <v>210</v>
      </c>
      <c r="R422" s="16">
        <v>16</v>
      </c>
      <c r="S422" s="18" t="s">
        <v>43</v>
      </c>
      <c r="T422" s="18"/>
      <c r="U422" s="17">
        <v>2000</v>
      </c>
      <c r="V422" s="18" t="s">
        <v>44</v>
      </c>
      <c r="W422" s="18" t="s">
        <v>69</v>
      </c>
      <c r="X422" s="16">
        <v>10</v>
      </c>
      <c r="Y422" s="43" t="str">
        <f>HYPERLINK("https://api-enni.alpina.ru/FilePrivilegesApproval/831","https://api-enni.alpina.ru/FilePrivilegesApproval/831")</f>
        <v>https://api-enni.alpina.ru/FilePrivilegesApproval/831</v>
      </c>
      <c r="Z422" s="18"/>
      <c r="AS422" s="1">
        <f>IF($A422&lt;&gt;0,1,0)</f>
        <v>0</v>
      </c>
      <c r="AT422" s="1">
        <f>$A422*$B422</f>
        <v>0</v>
      </c>
      <c r="AU422" s="1">
        <f>$A422*$O422</f>
        <v>0</v>
      </c>
      <c r="AV422" s="1">
        <f>IF($R422=0,0,INT($A422/$R422))</f>
        <v>0</v>
      </c>
      <c r="AW422" s="1">
        <f>$A422-$AV422*$R422</f>
        <v>0</v>
      </c>
    </row>
    <row r="423" ht="24.95" customHeight="1" outlineLevel="3" s="1" customFormat="1">
      <c r="A423" s="15"/>
      <c r="B423" s="16">
        <v>390</v>
      </c>
      <c r="C423" s="16">
        <v>544</v>
      </c>
      <c r="D423" s="16">
        <v>31397</v>
      </c>
      <c r="E423" s="18"/>
      <c r="F423" s="18" t="s">
        <v>1424</v>
      </c>
      <c r="G423" s="18" t="s">
        <v>1425</v>
      </c>
      <c r="H423" s="18" t="s">
        <v>86</v>
      </c>
      <c r="I423" s="18" t="s">
        <v>74</v>
      </c>
      <c r="J423" s="16">
        <v>2026</v>
      </c>
      <c r="K423" s="18" t="s">
        <v>1426</v>
      </c>
      <c r="L423" s="16">
        <v>9785961498578</v>
      </c>
      <c r="M423" s="18" t="s">
        <v>1427</v>
      </c>
      <c r="N423" s="16">
        <v>329</v>
      </c>
      <c r="O423" s="19">
        <v>0.22</v>
      </c>
      <c r="P423" s="16">
        <v>120</v>
      </c>
      <c r="Q423" s="16">
        <v>170</v>
      </c>
      <c r="R423" s="16">
        <v>10</v>
      </c>
      <c r="S423" s="18" t="s">
        <v>190</v>
      </c>
      <c r="T423" s="18" t="s">
        <v>347</v>
      </c>
      <c r="U423" s="17">
        <v>3000</v>
      </c>
      <c r="V423" s="18" t="s">
        <v>44</v>
      </c>
      <c r="W423" s="18" t="s">
        <v>91</v>
      </c>
      <c r="X423" s="16">
        <v>10</v>
      </c>
      <c r="Y423" s="43" t="str">
        <f>HYPERLINK("https://api-enni.alpina.ru/FilePrivilegesApproval/1078","https://api-enni.alpina.ru/FilePrivilegesApproval/1078")</f>
        <v>https://api-enni.alpina.ru/FilePrivilegesApproval/1078</v>
      </c>
      <c r="Z423" s="18"/>
      <c r="AS423" s="1">
        <f>IF($A423&lt;&gt;0,1,0)</f>
        <v>0</v>
      </c>
      <c r="AT423" s="1">
        <f>$A423*$B423</f>
        <v>0</v>
      </c>
      <c r="AU423" s="1">
        <f>$A423*$O423</f>
        <v>0</v>
      </c>
      <c r="AV423" s="1">
        <f>IF($R423=0,0,INT($A423/$R423))</f>
        <v>0</v>
      </c>
      <c r="AW423" s="1">
        <f>$A423-$AV423*$R423</f>
        <v>0</v>
      </c>
    </row>
    <row r="424" ht="24.95" customHeight="1" outlineLevel="3" s="1" customFormat="1">
      <c r="A424" s="15"/>
      <c r="B424" s="16">
        <v>790</v>
      </c>
      <c r="C424" s="17">
        <v>1146</v>
      </c>
      <c r="D424" s="16">
        <v>5981</v>
      </c>
      <c r="E424" s="18"/>
      <c r="F424" s="18" t="s">
        <v>1428</v>
      </c>
      <c r="G424" s="18" t="s">
        <v>1429</v>
      </c>
      <c r="H424" s="18" t="s">
        <v>86</v>
      </c>
      <c r="I424" s="18" t="s">
        <v>74</v>
      </c>
      <c r="J424" s="16">
        <v>2026</v>
      </c>
      <c r="K424" s="18" t="s">
        <v>1430</v>
      </c>
      <c r="L424" s="16">
        <v>9785961461206</v>
      </c>
      <c r="M424" s="18" t="s">
        <v>1431</v>
      </c>
      <c r="N424" s="16">
        <v>310</v>
      </c>
      <c r="O424" s="19">
        <v>0.6</v>
      </c>
      <c r="P424" s="16">
        <v>171</v>
      </c>
      <c r="Q424" s="16">
        <v>241</v>
      </c>
      <c r="R424" s="16">
        <v>8</v>
      </c>
      <c r="S424" s="18" t="s">
        <v>123</v>
      </c>
      <c r="T424" s="18"/>
      <c r="U424" s="17">
        <v>1000</v>
      </c>
      <c r="V424" s="18" t="s">
        <v>77</v>
      </c>
      <c r="W424" s="18" t="s">
        <v>184</v>
      </c>
      <c r="X424" s="16">
        <v>10</v>
      </c>
      <c r="Y424" s="43" t="str">
        <f>HYPERLINK("https://api-enni.alpina.ru/FilePrivilegesApproval/157","https://api-enni.alpina.ru/FilePrivilegesApproval/157")</f>
        <v>https://api-enni.alpina.ru/FilePrivilegesApproval/157</v>
      </c>
      <c r="Z424" s="18"/>
      <c r="AS424" s="1">
        <f>IF($A424&lt;&gt;0,1,0)</f>
        <v>0</v>
      </c>
      <c r="AT424" s="1">
        <f>$A424*$B424</f>
        <v>0</v>
      </c>
      <c r="AU424" s="1">
        <f>$A424*$O424</f>
        <v>0</v>
      </c>
      <c r="AV424" s="1">
        <f>IF($R424=0,0,INT($A424/$R424))</f>
        <v>0</v>
      </c>
      <c r="AW424" s="1">
        <f>$A424-$AV424*$R424</f>
        <v>0</v>
      </c>
    </row>
    <row r="425" ht="24.95" customHeight="1" outlineLevel="3" s="1" customFormat="1">
      <c r="A425" s="15"/>
      <c r="B425" s="16">
        <v>390</v>
      </c>
      <c r="C425" s="16">
        <v>624</v>
      </c>
      <c r="D425" s="16">
        <v>29101</v>
      </c>
      <c r="E425" s="18"/>
      <c r="F425" s="18" t="s">
        <v>1432</v>
      </c>
      <c r="G425" s="18" t="s">
        <v>1433</v>
      </c>
      <c r="H425" s="18" t="s">
        <v>86</v>
      </c>
      <c r="I425" s="18" t="s">
        <v>74</v>
      </c>
      <c r="J425" s="16">
        <v>2024</v>
      </c>
      <c r="K425" s="18" t="s">
        <v>1434</v>
      </c>
      <c r="L425" s="16">
        <v>9785961491456</v>
      </c>
      <c r="M425" s="18" t="s">
        <v>1435</v>
      </c>
      <c r="N425" s="16">
        <v>191</v>
      </c>
      <c r="O425" s="19">
        <v>0.34</v>
      </c>
      <c r="P425" s="16">
        <v>140</v>
      </c>
      <c r="Q425" s="16">
        <v>220</v>
      </c>
      <c r="R425" s="16">
        <v>16</v>
      </c>
      <c r="S425" s="18" t="s">
        <v>90</v>
      </c>
      <c r="T425" s="18"/>
      <c r="U425" s="17">
        <v>2500</v>
      </c>
      <c r="V425" s="18" t="s">
        <v>54</v>
      </c>
      <c r="W425" s="18" t="s">
        <v>69</v>
      </c>
      <c r="X425" s="16">
        <v>10</v>
      </c>
      <c r="Y425" s="43" t="str">
        <f>HYPERLINK("https://api-enni.alpina.ru/FilePrivilegesApproval/379","https://api-enni.alpina.ru/FilePrivilegesApproval/379")</f>
        <v>https://api-enni.alpina.ru/FilePrivilegesApproval/379</v>
      </c>
      <c r="Z425" s="18"/>
      <c r="AS425" s="1">
        <f>IF($A425&lt;&gt;0,1,0)</f>
        <v>0</v>
      </c>
      <c r="AT425" s="1">
        <f>$A425*$B425</f>
        <v>0</v>
      </c>
      <c r="AU425" s="1">
        <f>$A425*$O425</f>
        <v>0</v>
      </c>
      <c r="AV425" s="1">
        <f>IF($R425=0,0,INT($A425/$R425))</f>
        <v>0</v>
      </c>
      <c r="AW425" s="1">
        <f>$A425-$AV425*$R425</f>
        <v>0</v>
      </c>
    </row>
    <row r="426" ht="24.95" customHeight="1" outlineLevel="3" s="1" customFormat="1">
      <c r="A426" s="15"/>
      <c r="B426" s="16">
        <v>390</v>
      </c>
      <c r="C426" s="16">
        <v>544</v>
      </c>
      <c r="D426" s="16">
        <v>31395</v>
      </c>
      <c r="E426" s="18"/>
      <c r="F426" s="18" t="s">
        <v>1424</v>
      </c>
      <c r="G426" s="18" t="s">
        <v>1436</v>
      </c>
      <c r="H426" s="18" t="s">
        <v>86</v>
      </c>
      <c r="I426" s="18" t="s">
        <v>74</v>
      </c>
      <c r="J426" s="16">
        <v>2026</v>
      </c>
      <c r="K426" s="18" t="s">
        <v>1437</v>
      </c>
      <c r="L426" s="16">
        <v>9785961498554</v>
      </c>
      <c r="M426" s="18" t="s">
        <v>1438</v>
      </c>
      <c r="N426" s="16">
        <v>358</v>
      </c>
      <c r="O426" s="19">
        <v>0.24</v>
      </c>
      <c r="P426" s="16">
        <v>120</v>
      </c>
      <c r="Q426" s="16">
        <v>170</v>
      </c>
      <c r="R426" s="16">
        <v>10</v>
      </c>
      <c r="S426" s="18" t="s">
        <v>190</v>
      </c>
      <c r="T426" s="18" t="s">
        <v>347</v>
      </c>
      <c r="U426" s="17">
        <v>3000</v>
      </c>
      <c r="V426" s="18" t="s">
        <v>44</v>
      </c>
      <c r="W426" s="18" t="s">
        <v>91</v>
      </c>
      <c r="X426" s="16">
        <v>10</v>
      </c>
      <c r="Y426" s="43" t="str">
        <f>HYPERLINK("https://api-enni.alpina.ru/FilePrivilegesApproval/1078","https://api-enni.alpina.ru/FilePrivilegesApproval/1078")</f>
        <v>https://api-enni.alpina.ru/FilePrivilegesApproval/1078</v>
      </c>
      <c r="Z426" s="18"/>
      <c r="AS426" s="1">
        <f>IF($A426&lt;&gt;0,1,0)</f>
        <v>0</v>
      </c>
      <c r="AT426" s="1">
        <f>$A426*$B426</f>
        <v>0</v>
      </c>
      <c r="AU426" s="1">
        <f>$A426*$O426</f>
        <v>0</v>
      </c>
      <c r="AV426" s="1">
        <f>IF($R426=0,0,INT($A426/$R426))</f>
        <v>0</v>
      </c>
      <c r="AW426" s="1">
        <f>$A426-$AV426*$R426</f>
        <v>0</v>
      </c>
    </row>
    <row r="427" ht="24.95" customHeight="1" outlineLevel="3" s="1" customFormat="1">
      <c r="A427" s="15"/>
      <c r="B427" s="16">
        <v>390</v>
      </c>
      <c r="C427" s="16">
        <v>624</v>
      </c>
      <c r="D427" s="16">
        <v>34609</v>
      </c>
      <c r="E427" s="18"/>
      <c r="F427" s="18" t="s">
        <v>1439</v>
      </c>
      <c r="G427" s="18" t="s">
        <v>1440</v>
      </c>
      <c r="H427" s="18" t="s">
        <v>86</v>
      </c>
      <c r="I427" s="18" t="s">
        <v>74</v>
      </c>
      <c r="J427" s="16">
        <v>2025</v>
      </c>
      <c r="K427" s="18" t="s">
        <v>1441</v>
      </c>
      <c r="L427" s="16">
        <v>9785006308282</v>
      </c>
      <c r="M427" s="18" t="s">
        <v>1442</v>
      </c>
      <c r="N427" s="16">
        <v>458</v>
      </c>
      <c r="O427" s="19">
        <v>0.3</v>
      </c>
      <c r="P427" s="16">
        <v>120</v>
      </c>
      <c r="Q427" s="16">
        <v>170</v>
      </c>
      <c r="R427" s="16">
        <v>14</v>
      </c>
      <c r="S427" s="18" t="s">
        <v>190</v>
      </c>
      <c r="T427" s="18" t="s">
        <v>451</v>
      </c>
      <c r="U427" s="17">
        <v>3000</v>
      </c>
      <c r="V427" s="18" t="s">
        <v>44</v>
      </c>
      <c r="W427" s="18" t="s">
        <v>184</v>
      </c>
      <c r="X427" s="16">
        <v>10</v>
      </c>
      <c r="Y427" s="43" t="str">
        <f>HYPERLINK("https://api-enni.alpina.ru/FilePrivilegesApproval/965","https://api-enni.alpina.ru/FilePrivilegesApproval/965")</f>
        <v>https://api-enni.alpina.ru/FilePrivilegesApproval/965</v>
      </c>
      <c r="Z427" s="18"/>
      <c r="AS427" s="1">
        <f>IF($A427&lt;&gt;0,1,0)</f>
        <v>0</v>
      </c>
      <c r="AT427" s="1">
        <f>$A427*$B427</f>
        <v>0</v>
      </c>
      <c r="AU427" s="1">
        <f>$A427*$O427</f>
        <v>0</v>
      </c>
      <c r="AV427" s="1">
        <f>IF($R427=0,0,INT($A427/$R427))</f>
        <v>0</v>
      </c>
      <c r="AW427" s="1">
        <f>$A427-$AV427*$R427</f>
        <v>0</v>
      </c>
    </row>
    <row r="428" ht="24.95" customHeight="1" outlineLevel="3" s="1" customFormat="1">
      <c r="A428" s="15"/>
      <c r="B428" s="16">
        <v>340</v>
      </c>
      <c r="C428" s="16">
        <v>544</v>
      </c>
      <c r="D428" s="16">
        <v>29527</v>
      </c>
      <c r="E428" s="18"/>
      <c r="F428" s="18" t="s">
        <v>1443</v>
      </c>
      <c r="G428" s="18" t="s">
        <v>1444</v>
      </c>
      <c r="H428" s="18" t="s">
        <v>86</v>
      </c>
      <c r="I428" s="18" t="s">
        <v>74</v>
      </c>
      <c r="J428" s="16">
        <v>2025</v>
      </c>
      <c r="K428" s="18" t="s">
        <v>1445</v>
      </c>
      <c r="L428" s="16">
        <v>9785961492118</v>
      </c>
      <c r="M428" s="18" t="s">
        <v>1446</v>
      </c>
      <c r="N428" s="16">
        <v>218</v>
      </c>
      <c r="O428" s="19">
        <v>0.11</v>
      </c>
      <c r="P428" s="16">
        <v>120</v>
      </c>
      <c r="Q428" s="16">
        <v>170</v>
      </c>
      <c r="R428" s="16">
        <v>16</v>
      </c>
      <c r="S428" s="18" t="s">
        <v>190</v>
      </c>
      <c r="T428" s="18" t="s">
        <v>959</v>
      </c>
      <c r="U428" s="17">
        <v>2000</v>
      </c>
      <c r="V428" s="18" t="s">
        <v>44</v>
      </c>
      <c r="W428" s="18" t="s">
        <v>91</v>
      </c>
      <c r="X428" s="16">
        <v>10</v>
      </c>
      <c r="Y428" s="43" t="str">
        <f>HYPERLINK("https://api-enni.alpina.ru/FilePrivilegesApproval/128","https://api-enni.alpina.ru/FilePrivilegesApproval/128")</f>
        <v>https://api-enni.alpina.ru/FilePrivilegesApproval/128</v>
      </c>
      <c r="Z428" s="18"/>
      <c r="AS428" s="1">
        <f>IF($A428&lt;&gt;0,1,0)</f>
        <v>0</v>
      </c>
      <c r="AT428" s="1">
        <f>$A428*$B428</f>
        <v>0</v>
      </c>
      <c r="AU428" s="1">
        <f>$A428*$O428</f>
        <v>0</v>
      </c>
      <c r="AV428" s="1">
        <f>IF($R428=0,0,INT($A428/$R428))</f>
        <v>0</v>
      </c>
      <c r="AW428" s="1">
        <f>$A428-$AV428*$R428</f>
        <v>0</v>
      </c>
    </row>
    <row r="429" ht="24.95" customHeight="1" outlineLevel="3" s="1" customFormat="1">
      <c r="A429" s="15"/>
      <c r="B429" s="16">
        <v>390</v>
      </c>
      <c r="C429" s="16">
        <v>544</v>
      </c>
      <c r="D429" s="16">
        <v>31396</v>
      </c>
      <c r="E429" s="18"/>
      <c r="F429" s="18" t="s">
        <v>1424</v>
      </c>
      <c r="G429" s="18" t="s">
        <v>1447</v>
      </c>
      <c r="H429" s="18" t="s">
        <v>86</v>
      </c>
      <c r="I429" s="18" t="s">
        <v>74</v>
      </c>
      <c r="J429" s="16">
        <v>2026</v>
      </c>
      <c r="K429" s="18" t="s">
        <v>1448</v>
      </c>
      <c r="L429" s="16">
        <v>9785961498561</v>
      </c>
      <c r="M429" s="18" t="s">
        <v>1449</v>
      </c>
      <c r="N429" s="16">
        <v>544</v>
      </c>
      <c r="O429" s="19">
        <v>0.35</v>
      </c>
      <c r="P429" s="16">
        <v>120</v>
      </c>
      <c r="Q429" s="16">
        <v>170</v>
      </c>
      <c r="R429" s="16">
        <v>6</v>
      </c>
      <c r="S429" s="18" t="s">
        <v>190</v>
      </c>
      <c r="T429" s="18" t="s">
        <v>347</v>
      </c>
      <c r="U429" s="17">
        <v>3000</v>
      </c>
      <c r="V429" s="18" t="s">
        <v>44</v>
      </c>
      <c r="W429" s="18" t="s">
        <v>91</v>
      </c>
      <c r="X429" s="16">
        <v>10</v>
      </c>
      <c r="Y429" s="43" t="str">
        <f>HYPERLINK("https://api-enni.alpina.ru/FilePrivilegesApproval/1078","https://api-enni.alpina.ru/FilePrivilegesApproval/1078")</f>
        <v>https://api-enni.alpina.ru/FilePrivilegesApproval/1078</v>
      </c>
      <c r="Z429" s="18"/>
      <c r="AS429" s="1">
        <f>IF($A429&lt;&gt;0,1,0)</f>
        <v>0</v>
      </c>
      <c r="AT429" s="1">
        <f>$A429*$B429</f>
        <v>0</v>
      </c>
      <c r="AU429" s="1">
        <f>$A429*$O429</f>
        <v>0</v>
      </c>
      <c r="AV429" s="1">
        <f>IF($R429=0,0,INT($A429/$R429))</f>
        <v>0</v>
      </c>
      <c r="AW429" s="1">
        <f>$A429-$AV429*$R429</f>
        <v>0</v>
      </c>
    </row>
    <row r="430" ht="24.95" customHeight="1" outlineLevel="3" s="1" customFormat="1">
      <c r="A430" s="15"/>
      <c r="B430" s="16">
        <v>590</v>
      </c>
      <c r="C430" s="16">
        <v>885</v>
      </c>
      <c r="D430" s="16">
        <v>30521</v>
      </c>
      <c r="E430" s="18"/>
      <c r="F430" s="18" t="s">
        <v>1450</v>
      </c>
      <c r="G430" s="18" t="s">
        <v>1451</v>
      </c>
      <c r="H430" s="18" t="s">
        <v>86</v>
      </c>
      <c r="I430" s="18" t="s">
        <v>40</v>
      </c>
      <c r="J430" s="16">
        <v>2026</v>
      </c>
      <c r="K430" s="18" t="s">
        <v>1452</v>
      </c>
      <c r="L430" s="16">
        <v>9785961495706</v>
      </c>
      <c r="M430" s="18" t="s">
        <v>1453</v>
      </c>
      <c r="N430" s="16">
        <v>224</v>
      </c>
      <c r="O430" s="19">
        <v>0.28</v>
      </c>
      <c r="P430" s="16">
        <v>150</v>
      </c>
      <c r="Q430" s="16">
        <v>220</v>
      </c>
      <c r="R430" s="16">
        <v>10</v>
      </c>
      <c r="S430" s="18" t="s">
        <v>43</v>
      </c>
      <c r="T430" s="18"/>
      <c r="U430" s="17">
        <v>1000</v>
      </c>
      <c r="V430" s="18" t="s">
        <v>44</v>
      </c>
      <c r="W430" s="18" t="s">
        <v>69</v>
      </c>
      <c r="X430" s="16">
        <v>10</v>
      </c>
      <c r="Y430" s="43" t="str">
        <f>HYPERLINK("https://api-enni.alpina.ru/FilePrivilegesApproval/945","https://api-enni.alpina.ru/FilePrivilegesApproval/945")</f>
        <v>https://api-enni.alpina.ru/FilePrivilegesApproval/945</v>
      </c>
      <c r="Z430" s="18"/>
      <c r="AS430" s="1">
        <f>IF($A430&lt;&gt;0,1,0)</f>
        <v>0</v>
      </c>
      <c r="AT430" s="1">
        <f>$A430*$B430</f>
        <v>0</v>
      </c>
      <c r="AU430" s="1">
        <f>$A430*$O430</f>
        <v>0</v>
      </c>
      <c r="AV430" s="1">
        <f>IF($R430=0,0,INT($A430/$R430))</f>
        <v>0</v>
      </c>
      <c r="AW430" s="1">
        <f>$A430-$AV430*$R430</f>
        <v>0</v>
      </c>
    </row>
    <row r="431" ht="24.95" customHeight="1" outlineLevel="3" s="1" customFormat="1">
      <c r="A431" s="15"/>
      <c r="B431" s="16">
        <v>790</v>
      </c>
      <c r="C431" s="17">
        <v>1146</v>
      </c>
      <c r="D431" s="16">
        <v>17422</v>
      </c>
      <c r="E431" s="18"/>
      <c r="F431" s="18" t="s">
        <v>639</v>
      </c>
      <c r="G431" s="18" t="s">
        <v>640</v>
      </c>
      <c r="H431" s="18" t="s">
        <v>86</v>
      </c>
      <c r="I431" s="18"/>
      <c r="J431" s="16">
        <v>2026</v>
      </c>
      <c r="K431" s="18" t="s">
        <v>641</v>
      </c>
      <c r="L431" s="16">
        <v>9785961481365</v>
      </c>
      <c r="M431" s="18" t="s">
        <v>642</v>
      </c>
      <c r="N431" s="16">
        <v>413</v>
      </c>
      <c r="O431" s="19">
        <v>0.43</v>
      </c>
      <c r="P431" s="16">
        <v>130</v>
      </c>
      <c r="Q431" s="16">
        <v>200</v>
      </c>
      <c r="R431" s="16">
        <v>10</v>
      </c>
      <c r="S431" s="18" t="s">
        <v>90</v>
      </c>
      <c r="T431" s="18"/>
      <c r="U431" s="17">
        <v>1000</v>
      </c>
      <c r="V431" s="18" t="s">
        <v>44</v>
      </c>
      <c r="W431" s="18" t="s">
        <v>69</v>
      </c>
      <c r="X431" s="16">
        <v>10</v>
      </c>
      <c r="Y431" s="43" t="str">
        <f>HYPERLINK("https://api-enni.alpina.ru/FilePrivilegesApproval/205","https://api-enni.alpina.ru/FilePrivilegesApproval/205")</f>
        <v>https://api-enni.alpina.ru/FilePrivilegesApproval/205</v>
      </c>
      <c r="Z431" s="18" t="s">
        <v>119</v>
      </c>
      <c r="AS431" s="1">
        <f>IF($A431&lt;&gt;0,1,0)</f>
        <v>0</v>
      </c>
      <c r="AT431" s="1">
        <f>$A431*$B431</f>
        <v>0</v>
      </c>
      <c r="AU431" s="1">
        <f>$A431*$O431</f>
        <v>0</v>
      </c>
      <c r="AV431" s="1">
        <f>IF($R431=0,0,INT($A431/$R431))</f>
        <v>0</v>
      </c>
      <c r="AW431" s="1">
        <f>$A431-$AV431*$R431</f>
        <v>0</v>
      </c>
    </row>
    <row r="432" ht="24.95" customHeight="1" outlineLevel="3" s="1" customFormat="1">
      <c r="A432" s="15"/>
      <c r="B432" s="16">
        <v>540</v>
      </c>
      <c r="C432" s="16">
        <v>837</v>
      </c>
      <c r="D432" s="16">
        <v>26938</v>
      </c>
      <c r="E432" s="18"/>
      <c r="F432" s="18" t="s">
        <v>1443</v>
      </c>
      <c r="G432" s="18" t="s">
        <v>1454</v>
      </c>
      <c r="H432" s="18" t="s">
        <v>86</v>
      </c>
      <c r="I432" s="18" t="s">
        <v>74</v>
      </c>
      <c r="J432" s="16">
        <v>2023</v>
      </c>
      <c r="K432" s="18" t="s">
        <v>1455</v>
      </c>
      <c r="L432" s="16">
        <v>9785961483406</v>
      </c>
      <c r="M432" s="18" t="s">
        <v>1456</v>
      </c>
      <c r="N432" s="16">
        <v>154</v>
      </c>
      <c r="O432" s="19">
        <v>0.25</v>
      </c>
      <c r="P432" s="16">
        <v>140</v>
      </c>
      <c r="Q432" s="16">
        <v>210</v>
      </c>
      <c r="R432" s="16">
        <v>20</v>
      </c>
      <c r="S432" s="18" t="s">
        <v>43</v>
      </c>
      <c r="T432" s="18"/>
      <c r="U432" s="17">
        <v>2000</v>
      </c>
      <c r="V432" s="18" t="s">
        <v>44</v>
      </c>
      <c r="W432" s="18" t="s">
        <v>69</v>
      </c>
      <c r="X432" s="16">
        <v>10</v>
      </c>
      <c r="Y432" s="43" t="str">
        <f>HYPERLINK("https://api-enni.alpina.ru/FilePrivilegesApproval/224","https://api-enni.alpina.ru/FilePrivilegesApproval/224")</f>
        <v>https://api-enni.alpina.ru/FilePrivilegesApproval/224</v>
      </c>
      <c r="Z432" s="18"/>
      <c r="AS432" s="1">
        <f>IF($A432&lt;&gt;0,1,0)</f>
        <v>0</v>
      </c>
      <c r="AT432" s="1">
        <f>$A432*$B432</f>
        <v>0</v>
      </c>
      <c r="AU432" s="1">
        <f>$A432*$O432</f>
        <v>0</v>
      </c>
      <c r="AV432" s="1">
        <f>IF($R432=0,0,INT($A432/$R432))</f>
        <v>0</v>
      </c>
      <c r="AW432" s="1">
        <f>$A432-$AV432*$R432</f>
        <v>0</v>
      </c>
    </row>
    <row r="433" ht="24.95" customHeight="1" outlineLevel="3" s="1" customFormat="1">
      <c r="A433" s="15"/>
      <c r="B433" s="16">
        <v>390</v>
      </c>
      <c r="C433" s="16">
        <v>624</v>
      </c>
      <c r="D433" s="16">
        <v>28505</v>
      </c>
      <c r="E433" s="18"/>
      <c r="F433" s="18" t="s">
        <v>1457</v>
      </c>
      <c r="G433" s="18" t="s">
        <v>1458</v>
      </c>
      <c r="H433" s="18" t="s">
        <v>86</v>
      </c>
      <c r="I433" s="18" t="s">
        <v>74</v>
      </c>
      <c r="J433" s="16">
        <v>2025</v>
      </c>
      <c r="K433" s="18" t="s">
        <v>1459</v>
      </c>
      <c r="L433" s="16">
        <v>9785961489194</v>
      </c>
      <c r="M433" s="18" t="s">
        <v>1460</v>
      </c>
      <c r="N433" s="16">
        <v>376</v>
      </c>
      <c r="O433" s="19">
        <v>0.25</v>
      </c>
      <c r="P433" s="16">
        <v>120</v>
      </c>
      <c r="Q433" s="16">
        <v>170</v>
      </c>
      <c r="R433" s="16">
        <v>10</v>
      </c>
      <c r="S433" s="18" t="s">
        <v>190</v>
      </c>
      <c r="T433" s="18" t="s">
        <v>565</v>
      </c>
      <c r="U433" s="17">
        <v>2000</v>
      </c>
      <c r="V433" s="18" t="s">
        <v>44</v>
      </c>
      <c r="W433" s="18" t="s">
        <v>184</v>
      </c>
      <c r="X433" s="16">
        <v>10</v>
      </c>
      <c r="Y433" s="43" t="str">
        <f>HYPERLINK("https://api-enni.alpina.ru/FilePrivilegesApproval/128","https://api-enni.alpina.ru/FilePrivilegesApproval/128")</f>
        <v>https://api-enni.alpina.ru/FilePrivilegesApproval/128</v>
      </c>
      <c r="Z433" s="18"/>
      <c r="AS433" s="1">
        <f>IF($A433&lt;&gt;0,1,0)</f>
        <v>0</v>
      </c>
      <c r="AT433" s="1">
        <f>$A433*$B433</f>
        <v>0</v>
      </c>
      <c r="AU433" s="1">
        <f>$A433*$O433</f>
        <v>0</v>
      </c>
      <c r="AV433" s="1">
        <f>IF($R433=0,0,INT($A433/$R433))</f>
        <v>0</v>
      </c>
      <c r="AW433" s="1">
        <f>$A433-$AV433*$R433</f>
        <v>0</v>
      </c>
    </row>
    <row r="434" ht="24.95" customHeight="1" outlineLevel="3" s="1" customFormat="1">
      <c r="A434" s="15"/>
      <c r="B434" s="16">
        <v>790</v>
      </c>
      <c r="C434" s="17">
        <v>1146</v>
      </c>
      <c r="D434" s="16">
        <v>26928</v>
      </c>
      <c r="E434" s="18"/>
      <c r="F434" s="18" t="s">
        <v>1461</v>
      </c>
      <c r="G434" s="18" t="s">
        <v>1462</v>
      </c>
      <c r="H434" s="18" t="s">
        <v>95</v>
      </c>
      <c r="I434" s="18"/>
      <c r="J434" s="16">
        <v>2023</v>
      </c>
      <c r="K434" s="18" t="s">
        <v>1463</v>
      </c>
      <c r="L434" s="16">
        <v>9785206001143</v>
      </c>
      <c r="M434" s="18" t="s">
        <v>1464</v>
      </c>
      <c r="N434" s="16">
        <v>146</v>
      </c>
      <c r="O434" s="19">
        <v>0.3</v>
      </c>
      <c r="P434" s="16">
        <v>150</v>
      </c>
      <c r="Q434" s="16">
        <v>220</v>
      </c>
      <c r="R434" s="16">
        <v>8</v>
      </c>
      <c r="S434" s="18" t="s">
        <v>43</v>
      </c>
      <c r="T434" s="18"/>
      <c r="U434" s="17">
        <v>1000</v>
      </c>
      <c r="V434" s="18" t="s">
        <v>77</v>
      </c>
      <c r="W434" s="18" t="s">
        <v>91</v>
      </c>
      <c r="X434" s="16">
        <v>10</v>
      </c>
      <c r="Y434" s="43" t="str">
        <f>HYPERLINK("https://api-enni.alpina.ru/FilePrivilegesApproval/223","https://api-enni.alpina.ru/FilePrivilegesApproval/223")</f>
        <v>https://api-enni.alpina.ru/FilePrivilegesApproval/223</v>
      </c>
      <c r="Z434" s="18"/>
      <c r="AS434" s="1">
        <f>IF($A434&lt;&gt;0,1,0)</f>
        <v>0</v>
      </c>
      <c r="AT434" s="1">
        <f>$A434*$B434</f>
        <v>0</v>
      </c>
      <c r="AU434" s="1">
        <f>$A434*$O434</f>
        <v>0</v>
      </c>
      <c r="AV434" s="1">
        <f>IF($R434=0,0,INT($A434/$R434))</f>
        <v>0</v>
      </c>
      <c r="AW434" s="1">
        <f>$A434-$AV434*$R434</f>
        <v>0</v>
      </c>
    </row>
    <row r="435" ht="24.95" customHeight="1" outlineLevel="3" s="1" customFormat="1">
      <c r="A435" s="15"/>
      <c r="B435" s="16">
        <v>890</v>
      </c>
      <c r="C435" s="17">
        <v>1246</v>
      </c>
      <c r="D435" s="16">
        <v>28808</v>
      </c>
      <c r="E435" s="18"/>
      <c r="F435" s="18" t="s">
        <v>1465</v>
      </c>
      <c r="G435" s="18" t="s">
        <v>1466</v>
      </c>
      <c r="H435" s="18" t="s">
        <v>86</v>
      </c>
      <c r="I435" s="18" t="s">
        <v>74</v>
      </c>
      <c r="J435" s="16">
        <v>2025</v>
      </c>
      <c r="K435" s="18" t="s">
        <v>1467</v>
      </c>
      <c r="L435" s="16">
        <v>9785961490121</v>
      </c>
      <c r="M435" s="18" t="s">
        <v>1468</v>
      </c>
      <c r="N435" s="16">
        <v>256</v>
      </c>
      <c r="O435" s="19">
        <v>0.5</v>
      </c>
      <c r="P435" s="16">
        <v>150</v>
      </c>
      <c r="Q435" s="16">
        <v>220</v>
      </c>
      <c r="R435" s="16">
        <v>12</v>
      </c>
      <c r="S435" s="18" t="s">
        <v>43</v>
      </c>
      <c r="T435" s="18"/>
      <c r="U435" s="17">
        <v>2000</v>
      </c>
      <c r="V435" s="18" t="s">
        <v>77</v>
      </c>
      <c r="W435" s="18" t="s">
        <v>184</v>
      </c>
      <c r="X435" s="16">
        <v>10</v>
      </c>
      <c r="Y435" s="43" t="str">
        <f>HYPERLINK("https://api-enni.alpina.ru/FilePrivilegesApproval/339","https://api-enni.alpina.ru/FilePrivilegesApproval/339")</f>
        <v>https://api-enni.alpina.ru/FilePrivilegesApproval/339</v>
      </c>
      <c r="Z435" s="18"/>
      <c r="AS435" s="1">
        <f>IF($A435&lt;&gt;0,1,0)</f>
        <v>0</v>
      </c>
      <c r="AT435" s="1">
        <f>$A435*$B435</f>
        <v>0</v>
      </c>
      <c r="AU435" s="1">
        <f>$A435*$O435</f>
        <v>0</v>
      </c>
      <c r="AV435" s="1">
        <f>IF($R435=0,0,INT($A435/$R435))</f>
        <v>0</v>
      </c>
      <c r="AW435" s="1">
        <f>$A435-$AV435*$R435</f>
        <v>0</v>
      </c>
    </row>
    <row r="436" ht="24.95" customHeight="1" outlineLevel="3" s="1" customFormat="1">
      <c r="A436" s="15"/>
      <c r="B436" s="16">
        <v>740</v>
      </c>
      <c r="C436" s="17">
        <v>1073</v>
      </c>
      <c r="D436" s="16">
        <v>8510</v>
      </c>
      <c r="E436" s="18"/>
      <c r="F436" s="18" t="s">
        <v>1469</v>
      </c>
      <c r="G436" s="18" t="s">
        <v>1470</v>
      </c>
      <c r="H436" s="18" t="s">
        <v>86</v>
      </c>
      <c r="I436" s="18" t="s">
        <v>74</v>
      </c>
      <c r="J436" s="16">
        <v>2026</v>
      </c>
      <c r="K436" s="18" t="s">
        <v>1471</v>
      </c>
      <c r="L436" s="16">
        <v>9785961468021</v>
      </c>
      <c r="M436" s="18" t="s">
        <v>1472</v>
      </c>
      <c r="N436" s="16">
        <v>337</v>
      </c>
      <c r="O436" s="19">
        <v>0.54</v>
      </c>
      <c r="P436" s="16">
        <v>155</v>
      </c>
      <c r="Q436" s="16">
        <v>217</v>
      </c>
      <c r="R436" s="16">
        <v>10</v>
      </c>
      <c r="S436" s="18" t="s">
        <v>43</v>
      </c>
      <c r="T436" s="18"/>
      <c r="U436" s="17">
        <v>1000</v>
      </c>
      <c r="V436" s="18" t="s">
        <v>77</v>
      </c>
      <c r="W436" s="18" t="s">
        <v>184</v>
      </c>
      <c r="X436" s="16">
        <v>10</v>
      </c>
      <c r="Y436" s="43" t="str">
        <f>HYPERLINK("https://api-enni.alpina.ru/FilePrivilegesApproval/2","https://api-enni.alpina.ru/FilePrivilegesApproval/2")</f>
        <v>https://api-enni.alpina.ru/FilePrivilegesApproval/2</v>
      </c>
      <c r="Z436" s="18"/>
      <c r="AS436" s="1">
        <f>IF($A436&lt;&gt;0,1,0)</f>
        <v>0</v>
      </c>
      <c r="AT436" s="1">
        <f>$A436*$B436</f>
        <v>0</v>
      </c>
      <c r="AU436" s="1">
        <f>$A436*$O436</f>
        <v>0</v>
      </c>
      <c r="AV436" s="1">
        <f>IF($R436=0,0,INT($A436/$R436))</f>
        <v>0</v>
      </c>
      <c r="AW436" s="1">
        <f>$A436-$AV436*$R436</f>
        <v>0</v>
      </c>
    </row>
    <row r="437" ht="24.95" customHeight="1" outlineLevel="3" s="1" customFormat="1">
      <c r="A437" s="15"/>
      <c r="B437" s="16">
        <v>890</v>
      </c>
      <c r="C437" s="17">
        <v>1246</v>
      </c>
      <c r="D437" s="16">
        <v>12822</v>
      </c>
      <c r="E437" s="18"/>
      <c r="F437" s="18" t="s">
        <v>1473</v>
      </c>
      <c r="G437" s="18" t="s">
        <v>1474</v>
      </c>
      <c r="H437" s="18" t="s">
        <v>86</v>
      </c>
      <c r="I437" s="18" t="s">
        <v>74</v>
      </c>
      <c r="J437" s="16">
        <v>2025</v>
      </c>
      <c r="K437" s="18" t="s">
        <v>1475</v>
      </c>
      <c r="L437" s="16">
        <v>9785961428278</v>
      </c>
      <c r="M437" s="18" t="s">
        <v>1476</v>
      </c>
      <c r="N437" s="16">
        <v>264</v>
      </c>
      <c r="O437" s="19">
        <v>0.41</v>
      </c>
      <c r="P437" s="16">
        <v>163</v>
      </c>
      <c r="Q437" s="16">
        <v>235</v>
      </c>
      <c r="R437" s="16">
        <v>10</v>
      </c>
      <c r="S437" s="18" t="s">
        <v>123</v>
      </c>
      <c r="T437" s="18"/>
      <c r="U437" s="17">
        <v>1000</v>
      </c>
      <c r="V437" s="18" t="s">
        <v>44</v>
      </c>
      <c r="W437" s="18" t="s">
        <v>55</v>
      </c>
      <c r="X437" s="16">
        <v>10</v>
      </c>
      <c r="Y437" s="43" t="str">
        <f>HYPERLINK("https://api-enni.alpina.ru/FilePrivilegesApproval/157","https://api-enni.alpina.ru/FilePrivilegesApproval/157")</f>
        <v>https://api-enni.alpina.ru/FilePrivilegesApproval/157</v>
      </c>
      <c r="Z437" s="18"/>
      <c r="AS437" s="1">
        <f>IF($A437&lt;&gt;0,1,0)</f>
        <v>0</v>
      </c>
      <c r="AT437" s="1">
        <f>$A437*$B437</f>
        <v>0</v>
      </c>
      <c r="AU437" s="1">
        <f>$A437*$O437</f>
        <v>0</v>
      </c>
      <c r="AV437" s="1">
        <f>IF($R437=0,0,INT($A437/$R437))</f>
        <v>0</v>
      </c>
      <c r="AW437" s="1">
        <f>$A437-$AV437*$R437</f>
        <v>0</v>
      </c>
    </row>
    <row r="438" ht="24.95" customHeight="1" outlineLevel="3" s="1" customFormat="1">
      <c r="A438" s="15"/>
      <c r="B438" s="16">
        <v>790</v>
      </c>
      <c r="C438" s="17">
        <v>1146</v>
      </c>
      <c r="D438" s="16">
        <v>26819</v>
      </c>
      <c r="E438" s="18"/>
      <c r="F438" s="18" t="s">
        <v>1477</v>
      </c>
      <c r="G438" s="18" t="s">
        <v>1478</v>
      </c>
      <c r="H438" s="18" t="s">
        <v>86</v>
      </c>
      <c r="I438" s="18"/>
      <c r="J438" s="16">
        <v>2025</v>
      </c>
      <c r="K438" s="18" t="s">
        <v>1479</v>
      </c>
      <c r="L438" s="16">
        <v>9785961483147</v>
      </c>
      <c r="M438" s="18" t="s">
        <v>1480</v>
      </c>
      <c r="N438" s="16">
        <v>504</v>
      </c>
      <c r="O438" s="19">
        <v>0.69</v>
      </c>
      <c r="P438" s="16">
        <v>150</v>
      </c>
      <c r="Q438" s="16">
        <v>220</v>
      </c>
      <c r="R438" s="16">
        <v>8</v>
      </c>
      <c r="S438" s="18" t="s">
        <v>43</v>
      </c>
      <c r="T438" s="18"/>
      <c r="U438" s="17">
        <v>1500</v>
      </c>
      <c r="V438" s="18" t="s">
        <v>77</v>
      </c>
      <c r="W438" s="18" t="s">
        <v>91</v>
      </c>
      <c r="X438" s="16">
        <v>10</v>
      </c>
      <c r="Y438" s="43" t="str">
        <f>HYPERLINK("https://api-enni.alpina.ru/FilePrivilegesApproval/883","https://api-enni.alpina.ru/FilePrivilegesApproval/883")</f>
        <v>https://api-enni.alpina.ru/FilePrivilegesApproval/883</v>
      </c>
      <c r="Z438" s="18"/>
      <c r="AS438" s="1">
        <f>IF($A438&lt;&gt;0,1,0)</f>
        <v>0</v>
      </c>
      <c r="AT438" s="1">
        <f>$A438*$B438</f>
        <v>0</v>
      </c>
      <c r="AU438" s="1">
        <f>$A438*$O438</f>
        <v>0</v>
      </c>
      <c r="AV438" s="1">
        <f>IF($R438=0,0,INT($A438/$R438))</f>
        <v>0</v>
      </c>
      <c r="AW438" s="1">
        <f>$A438-$AV438*$R438</f>
        <v>0</v>
      </c>
    </row>
    <row r="439" ht="24.95" customHeight="1" outlineLevel="3" s="1" customFormat="1">
      <c r="A439" s="15"/>
      <c r="B439" s="16">
        <v>690</v>
      </c>
      <c r="C439" s="17">
        <v>1035</v>
      </c>
      <c r="D439" s="16">
        <v>12845</v>
      </c>
      <c r="E439" s="18"/>
      <c r="F439" s="18" t="s">
        <v>682</v>
      </c>
      <c r="G439" s="18" t="s">
        <v>683</v>
      </c>
      <c r="H439" s="18" t="s">
        <v>86</v>
      </c>
      <c r="I439" s="18"/>
      <c r="J439" s="16">
        <v>2026</v>
      </c>
      <c r="K439" s="18" t="s">
        <v>684</v>
      </c>
      <c r="L439" s="16">
        <v>9785961436198</v>
      </c>
      <c r="M439" s="18" t="s">
        <v>685</v>
      </c>
      <c r="N439" s="16">
        <v>164</v>
      </c>
      <c r="O439" s="19">
        <v>0.36</v>
      </c>
      <c r="P439" s="16">
        <v>141</v>
      </c>
      <c r="Q439" s="16">
        <v>210</v>
      </c>
      <c r="R439" s="16">
        <v>10</v>
      </c>
      <c r="S439" s="18" t="s">
        <v>43</v>
      </c>
      <c r="T439" s="18"/>
      <c r="U439" s="17">
        <v>1000</v>
      </c>
      <c r="V439" s="18" t="s">
        <v>77</v>
      </c>
      <c r="W439" s="18" t="s">
        <v>184</v>
      </c>
      <c r="X439" s="16">
        <v>10</v>
      </c>
      <c r="Y439" s="43" t="str">
        <f>HYPERLINK("https://api-enni.alpina.ru/FilePrivilegesApproval/128","https://api-enni.alpina.ru/FilePrivilegesApproval/128")</f>
        <v>https://api-enni.alpina.ru/FilePrivilegesApproval/128</v>
      </c>
      <c r="Z439" s="18" t="s">
        <v>46</v>
      </c>
      <c r="AS439" s="1">
        <f>IF($A439&lt;&gt;0,1,0)</f>
        <v>0</v>
      </c>
      <c r="AT439" s="1">
        <f>$A439*$B439</f>
        <v>0</v>
      </c>
      <c r="AU439" s="1">
        <f>$A439*$O439</f>
        <v>0</v>
      </c>
      <c r="AV439" s="1">
        <f>IF($R439=0,0,INT($A439/$R439))</f>
        <v>0</v>
      </c>
      <c r="AW439" s="1">
        <f>$A439-$AV439*$R439</f>
        <v>0</v>
      </c>
    </row>
    <row r="440" ht="24.95" customHeight="1" outlineLevel="3" s="1" customFormat="1">
      <c r="A440" s="15"/>
      <c r="B440" s="16">
        <v>540</v>
      </c>
      <c r="C440" s="16">
        <v>837</v>
      </c>
      <c r="D440" s="16">
        <v>7789</v>
      </c>
      <c r="E440" s="18"/>
      <c r="F440" s="18" t="s">
        <v>1481</v>
      </c>
      <c r="G440" s="18" t="s">
        <v>1482</v>
      </c>
      <c r="H440" s="18" t="s">
        <v>95</v>
      </c>
      <c r="I440" s="18"/>
      <c r="J440" s="16">
        <v>2025</v>
      </c>
      <c r="K440" s="18" t="s">
        <v>1483</v>
      </c>
      <c r="L440" s="16">
        <v>9785907274761</v>
      </c>
      <c r="M440" s="18" t="s">
        <v>1484</v>
      </c>
      <c r="N440" s="16">
        <v>248</v>
      </c>
      <c r="O440" s="19">
        <v>0.4</v>
      </c>
      <c r="P440" s="16">
        <v>146</v>
      </c>
      <c r="Q440" s="16">
        <v>216</v>
      </c>
      <c r="R440" s="16">
        <v>8</v>
      </c>
      <c r="S440" s="18" t="s">
        <v>43</v>
      </c>
      <c r="T440" s="18"/>
      <c r="U440" s="17">
        <v>1000</v>
      </c>
      <c r="V440" s="18" t="s">
        <v>77</v>
      </c>
      <c r="W440" s="18" t="s">
        <v>45</v>
      </c>
      <c r="X440" s="16">
        <v>10</v>
      </c>
      <c r="Y440" s="43" t="str">
        <f>HYPERLINK("https://api-enni.alpina.ru/FilePrivilegesApproval/503","https://api-enni.alpina.ru/FilePrivilegesApproval/503")</f>
        <v>https://api-enni.alpina.ru/FilePrivilegesApproval/503</v>
      </c>
      <c r="Z440" s="18"/>
      <c r="AS440" s="1">
        <f>IF($A440&lt;&gt;0,1,0)</f>
        <v>0</v>
      </c>
      <c r="AT440" s="1">
        <f>$A440*$B440</f>
        <v>0</v>
      </c>
      <c r="AU440" s="1">
        <f>$A440*$O440</f>
        <v>0</v>
      </c>
      <c r="AV440" s="1">
        <f>IF($R440=0,0,INT($A440/$R440))</f>
        <v>0</v>
      </c>
      <c r="AW440" s="1">
        <f>$A440-$AV440*$R440</f>
        <v>0</v>
      </c>
    </row>
    <row r="441" ht="24.95" customHeight="1" outlineLevel="3" s="1" customFormat="1">
      <c r="A441" s="15"/>
      <c r="B441" s="17">
        <v>1490</v>
      </c>
      <c r="C441" s="17">
        <v>2012</v>
      </c>
      <c r="D441" s="16">
        <v>8429</v>
      </c>
      <c r="E441" s="18"/>
      <c r="F441" s="18" t="s">
        <v>691</v>
      </c>
      <c r="G441" s="18" t="s">
        <v>692</v>
      </c>
      <c r="H441" s="18" t="s">
        <v>86</v>
      </c>
      <c r="I441" s="18" t="s">
        <v>74</v>
      </c>
      <c r="J441" s="16">
        <v>2026</v>
      </c>
      <c r="K441" s="18" t="s">
        <v>693</v>
      </c>
      <c r="L441" s="16">
        <v>9785961420814</v>
      </c>
      <c r="M441" s="18" t="s">
        <v>694</v>
      </c>
      <c r="N441" s="16">
        <v>328</v>
      </c>
      <c r="O441" s="19">
        <v>0.95</v>
      </c>
      <c r="P441" s="16">
        <v>190</v>
      </c>
      <c r="Q441" s="16">
        <v>250</v>
      </c>
      <c r="R441" s="16">
        <v>5</v>
      </c>
      <c r="S441" s="18" t="s">
        <v>328</v>
      </c>
      <c r="T441" s="18"/>
      <c r="U441" s="17">
        <v>3000</v>
      </c>
      <c r="V441" s="18" t="s">
        <v>44</v>
      </c>
      <c r="W441" s="18" t="s">
        <v>91</v>
      </c>
      <c r="X441" s="16">
        <v>10</v>
      </c>
      <c r="Y441" s="43" t="str">
        <f>HYPERLINK("https://api-enni.alpina.ru/FilePrivilegesApproval/141","https://api-enni.alpina.ru/FilePrivilegesApproval/141")</f>
        <v>https://api-enni.alpina.ru/FilePrivilegesApproval/141</v>
      </c>
      <c r="Z441" s="18" t="s">
        <v>695</v>
      </c>
      <c r="AS441" s="1">
        <f>IF($A441&lt;&gt;0,1,0)</f>
        <v>0</v>
      </c>
      <c r="AT441" s="1">
        <f>$A441*$B441</f>
        <v>0</v>
      </c>
      <c r="AU441" s="1">
        <f>$A441*$O441</f>
        <v>0</v>
      </c>
      <c r="AV441" s="1">
        <f>IF($R441=0,0,INT($A441/$R441))</f>
        <v>0</v>
      </c>
      <c r="AW441" s="1">
        <f>$A441-$AV441*$R441</f>
        <v>0</v>
      </c>
    </row>
    <row r="442" ht="24.95" customHeight="1" outlineLevel="3" s="1" customFormat="1">
      <c r="A442" s="15"/>
      <c r="B442" s="16">
        <v>740</v>
      </c>
      <c r="C442" s="17">
        <v>1073</v>
      </c>
      <c r="D442" s="16">
        <v>34298</v>
      </c>
      <c r="E442" s="18"/>
      <c r="F442" s="18" t="s">
        <v>1485</v>
      </c>
      <c r="G442" s="18" t="s">
        <v>1486</v>
      </c>
      <c r="H442" s="18" t="s">
        <v>86</v>
      </c>
      <c r="I442" s="18"/>
      <c r="J442" s="16">
        <v>2026</v>
      </c>
      <c r="K442" s="18" t="s">
        <v>1487</v>
      </c>
      <c r="L442" s="16">
        <v>9785006307124</v>
      </c>
      <c r="M442" s="18" t="s">
        <v>1488</v>
      </c>
      <c r="N442" s="16">
        <v>392</v>
      </c>
      <c r="O442" s="19">
        <v>0.58</v>
      </c>
      <c r="P442" s="16">
        <v>150</v>
      </c>
      <c r="Q442" s="16">
        <v>220</v>
      </c>
      <c r="R442" s="16">
        <v>10</v>
      </c>
      <c r="S442" s="18" t="s">
        <v>43</v>
      </c>
      <c r="T442" s="18"/>
      <c r="U442" s="17">
        <v>3000</v>
      </c>
      <c r="V442" s="18" t="s">
        <v>77</v>
      </c>
      <c r="W442" s="18" t="s">
        <v>69</v>
      </c>
      <c r="X442" s="16">
        <v>10</v>
      </c>
      <c r="Y442" s="43" t="str">
        <f>HYPERLINK("https://api-enni.alpina.ru/FilePrivilegesApproval/1163","https://api-enni.alpina.ru/FilePrivilegesApproval/1163")</f>
        <v>https://api-enni.alpina.ru/FilePrivilegesApproval/1163</v>
      </c>
      <c r="Z442" s="18" t="s">
        <v>777</v>
      </c>
      <c r="AS442" s="1">
        <f>IF($A442&lt;&gt;0,1,0)</f>
        <v>0</v>
      </c>
      <c r="AT442" s="1">
        <f>$A442*$B442</f>
        <v>0</v>
      </c>
      <c r="AU442" s="1">
        <f>$A442*$O442</f>
        <v>0</v>
      </c>
      <c r="AV442" s="1">
        <f>IF($R442=0,0,INT($A442/$R442))</f>
        <v>0</v>
      </c>
      <c r="AW442" s="1">
        <f>$A442-$AV442*$R442</f>
        <v>0</v>
      </c>
    </row>
    <row r="443" ht="24.95" customHeight="1" outlineLevel="3" s="1" customFormat="1">
      <c r="A443" s="15"/>
      <c r="B443" s="16">
        <v>640</v>
      </c>
      <c r="C443" s="16">
        <v>960</v>
      </c>
      <c r="D443" s="16">
        <v>31751</v>
      </c>
      <c r="E443" s="18"/>
      <c r="F443" s="18" t="s">
        <v>1489</v>
      </c>
      <c r="G443" s="18" t="s">
        <v>1490</v>
      </c>
      <c r="H443" s="18" t="s">
        <v>86</v>
      </c>
      <c r="I443" s="18" t="s">
        <v>74</v>
      </c>
      <c r="J443" s="16">
        <v>2025</v>
      </c>
      <c r="K443" s="18" t="s">
        <v>1491</v>
      </c>
      <c r="L443" s="16">
        <v>9785006300088</v>
      </c>
      <c r="M443" s="18" t="s">
        <v>1492</v>
      </c>
      <c r="N443" s="16">
        <v>336</v>
      </c>
      <c r="O443" s="19">
        <v>0.51</v>
      </c>
      <c r="P443" s="16">
        <v>150</v>
      </c>
      <c r="Q443" s="16">
        <v>220</v>
      </c>
      <c r="R443" s="16">
        <v>12</v>
      </c>
      <c r="S443" s="18" t="s">
        <v>43</v>
      </c>
      <c r="T443" s="18"/>
      <c r="U443" s="17">
        <v>2000</v>
      </c>
      <c r="V443" s="18" t="s">
        <v>77</v>
      </c>
      <c r="W443" s="18" t="s">
        <v>91</v>
      </c>
      <c r="X443" s="16">
        <v>10</v>
      </c>
      <c r="Y443" s="43" t="str">
        <f>HYPERLINK("https://api-enni.alpina.ru/FilePrivilegesApproval/945","https://api-enni.alpina.ru/FilePrivilegesApproval/945")</f>
        <v>https://api-enni.alpina.ru/FilePrivilegesApproval/945</v>
      </c>
      <c r="Z443" s="18"/>
      <c r="AS443" s="1">
        <f>IF($A443&lt;&gt;0,1,0)</f>
        <v>0</v>
      </c>
      <c r="AT443" s="1">
        <f>$A443*$B443</f>
        <v>0</v>
      </c>
      <c r="AU443" s="1">
        <f>$A443*$O443</f>
        <v>0</v>
      </c>
      <c r="AV443" s="1">
        <f>IF($R443=0,0,INT($A443/$R443))</f>
        <v>0</v>
      </c>
      <c r="AW443" s="1">
        <f>$A443-$AV443*$R443</f>
        <v>0</v>
      </c>
    </row>
    <row r="444" ht="24.95" customHeight="1" outlineLevel="3" s="1" customFormat="1">
      <c r="A444" s="15"/>
      <c r="B444" s="16">
        <v>590</v>
      </c>
      <c r="C444" s="16">
        <v>885</v>
      </c>
      <c r="D444" s="16">
        <v>30930</v>
      </c>
      <c r="E444" s="18"/>
      <c r="F444" s="18" t="s">
        <v>1493</v>
      </c>
      <c r="G444" s="18" t="s">
        <v>1494</v>
      </c>
      <c r="H444" s="18" t="s">
        <v>95</v>
      </c>
      <c r="I444" s="18"/>
      <c r="J444" s="16">
        <v>2025</v>
      </c>
      <c r="K444" s="18" t="s">
        <v>1495</v>
      </c>
      <c r="L444" s="16">
        <v>9785206003420</v>
      </c>
      <c r="M444" s="18" t="s">
        <v>1496</v>
      </c>
      <c r="N444" s="16">
        <v>64</v>
      </c>
      <c r="O444" s="19">
        <v>0.23</v>
      </c>
      <c r="P444" s="16">
        <v>150</v>
      </c>
      <c r="Q444" s="16">
        <v>220</v>
      </c>
      <c r="R444" s="16">
        <v>18</v>
      </c>
      <c r="S444" s="18" t="s">
        <v>43</v>
      </c>
      <c r="T444" s="18"/>
      <c r="U444" s="17">
        <v>1000</v>
      </c>
      <c r="V444" s="18" t="s">
        <v>77</v>
      </c>
      <c r="W444" s="18" t="s">
        <v>91</v>
      </c>
      <c r="X444" s="16">
        <v>10</v>
      </c>
      <c r="Y444" s="43" t="str">
        <f>HYPERLINK("https://api-enni.alpina.ru/FilePrivilegesApproval/570","https://api-enni.alpina.ru/FilePrivilegesApproval/570")</f>
        <v>https://api-enni.alpina.ru/FilePrivilegesApproval/570</v>
      </c>
      <c r="Z444" s="18"/>
      <c r="AS444" s="1">
        <f>IF($A444&lt;&gt;0,1,0)</f>
        <v>0</v>
      </c>
      <c r="AT444" s="1">
        <f>$A444*$B444</f>
        <v>0</v>
      </c>
      <c r="AU444" s="1">
        <f>$A444*$O444</f>
        <v>0</v>
      </c>
      <c r="AV444" s="1">
        <f>IF($R444=0,0,INT($A444/$R444))</f>
        <v>0</v>
      </c>
      <c r="AW444" s="1">
        <f>$A444-$AV444*$R444</f>
        <v>0</v>
      </c>
    </row>
    <row r="445" ht="24.95" customHeight="1" outlineLevel="3" s="1" customFormat="1">
      <c r="A445" s="15"/>
      <c r="B445" s="16">
        <v>590</v>
      </c>
      <c r="C445" s="16">
        <v>885</v>
      </c>
      <c r="D445" s="16">
        <v>33024</v>
      </c>
      <c r="E445" s="18"/>
      <c r="F445" s="18" t="s">
        <v>469</v>
      </c>
      <c r="G445" s="18" t="s">
        <v>1497</v>
      </c>
      <c r="H445" s="18" t="s">
        <v>86</v>
      </c>
      <c r="I445" s="18" t="s">
        <v>87</v>
      </c>
      <c r="J445" s="16">
        <v>2026</v>
      </c>
      <c r="K445" s="18" t="s">
        <v>1498</v>
      </c>
      <c r="L445" s="16">
        <v>9785006303652</v>
      </c>
      <c r="M445" s="18" t="s">
        <v>1499</v>
      </c>
      <c r="N445" s="16">
        <v>178</v>
      </c>
      <c r="O445" s="19">
        <v>0.33</v>
      </c>
      <c r="P445" s="16">
        <v>150</v>
      </c>
      <c r="Q445" s="16">
        <v>220</v>
      </c>
      <c r="R445" s="16">
        <v>18</v>
      </c>
      <c r="S445" s="18" t="s">
        <v>43</v>
      </c>
      <c r="T445" s="18"/>
      <c r="U445" s="17">
        <v>2000</v>
      </c>
      <c r="V445" s="18" t="s">
        <v>77</v>
      </c>
      <c r="W445" s="18" t="s">
        <v>91</v>
      </c>
      <c r="X445" s="16">
        <v>10</v>
      </c>
      <c r="Y445" s="43" t="str">
        <f>HYPERLINK("https://api-enni.alpina.ru/FilePrivilegesApproval/1018","https://api-enni.alpina.ru/FilePrivilegesApproval/1018")</f>
        <v>https://api-enni.alpina.ru/FilePrivilegesApproval/1018</v>
      </c>
      <c r="Z445" s="18"/>
      <c r="AS445" s="1">
        <f>IF($A445&lt;&gt;0,1,0)</f>
        <v>0</v>
      </c>
      <c r="AT445" s="1">
        <f>$A445*$B445</f>
        <v>0</v>
      </c>
      <c r="AU445" s="1">
        <f>$A445*$O445</f>
        <v>0</v>
      </c>
      <c r="AV445" s="1">
        <f>IF($R445=0,0,INT($A445/$R445))</f>
        <v>0</v>
      </c>
      <c r="AW445" s="1">
        <f>$A445-$AV445*$R445</f>
        <v>0</v>
      </c>
    </row>
    <row r="446" ht="24.95" customHeight="1" outlineLevel="3" s="1" customFormat="1">
      <c r="A446" s="15"/>
      <c r="B446" s="16">
        <v>990</v>
      </c>
      <c r="C446" s="17">
        <v>1386</v>
      </c>
      <c r="D446" s="16">
        <v>22581</v>
      </c>
      <c r="E446" s="18"/>
      <c r="F446" s="18" t="s">
        <v>1500</v>
      </c>
      <c r="G446" s="18" t="s">
        <v>1501</v>
      </c>
      <c r="H446" s="18" t="s">
        <v>86</v>
      </c>
      <c r="I446" s="18" t="s">
        <v>74</v>
      </c>
      <c r="J446" s="16">
        <v>2026</v>
      </c>
      <c r="K446" s="18" t="s">
        <v>1502</v>
      </c>
      <c r="L446" s="16">
        <v>9785961478099</v>
      </c>
      <c r="M446" s="18" t="s">
        <v>1503</v>
      </c>
      <c r="N446" s="16">
        <v>248</v>
      </c>
      <c r="O446" s="19">
        <v>0.39</v>
      </c>
      <c r="P446" s="16">
        <v>150</v>
      </c>
      <c r="Q446" s="16">
        <v>220</v>
      </c>
      <c r="R446" s="16">
        <v>10</v>
      </c>
      <c r="S446" s="18" t="s">
        <v>43</v>
      </c>
      <c r="T446" s="18"/>
      <c r="U446" s="17">
        <v>1000</v>
      </c>
      <c r="V446" s="18" t="s">
        <v>77</v>
      </c>
      <c r="W446" s="18" t="s">
        <v>91</v>
      </c>
      <c r="X446" s="16">
        <v>10</v>
      </c>
      <c r="Y446" s="43" t="str">
        <f>HYPERLINK("https://api-enni.alpina.ru/FilePrivilegesApproval/156","https://api-enni.alpina.ru/FilePrivilegesApproval/156")</f>
        <v>https://api-enni.alpina.ru/FilePrivilegesApproval/156</v>
      </c>
      <c r="Z446" s="18" t="s">
        <v>843</v>
      </c>
      <c r="AS446" s="1">
        <f>IF($A446&lt;&gt;0,1,0)</f>
        <v>0</v>
      </c>
      <c r="AT446" s="1">
        <f>$A446*$B446</f>
        <v>0</v>
      </c>
      <c r="AU446" s="1">
        <f>$A446*$O446</f>
        <v>0</v>
      </c>
      <c r="AV446" s="1">
        <f>IF($R446=0,0,INT($A446/$R446))</f>
        <v>0</v>
      </c>
      <c r="AW446" s="1">
        <f>$A446-$AV446*$R446</f>
        <v>0</v>
      </c>
    </row>
    <row r="447" ht="24.95" customHeight="1" outlineLevel="3" s="1" customFormat="1">
      <c r="A447" s="15"/>
      <c r="B447" s="16">
        <v>590</v>
      </c>
      <c r="C447" s="16">
        <v>885</v>
      </c>
      <c r="D447" s="16">
        <v>31628</v>
      </c>
      <c r="E447" s="18"/>
      <c r="F447" s="18" t="s">
        <v>1504</v>
      </c>
      <c r="G447" s="18" t="s">
        <v>1505</v>
      </c>
      <c r="H447" s="18" t="s">
        <v>86</v>
      </c>
      <c r="I447" s="18"/>
      <c r="J447" s="16">
        <v>2025</v>
      </c>
      <c r="K447" s="18" t="s">
        <v>1506</v>
      </c>
      <c r="L447" s="16">
        <v>9785961499612</v>
      </c>
      <c r="M447" s="18" t="s">
        <v>1507</v>
      </c>
      <c r="N447" s="16">
        <v>206</v>
      </c>
      <c r="O447" s="19">
        <v>0.34</v>
      </c>
      <c r="P447" s="16">
        <v>150</v>
      </c>
      <c r="Q447" s="16">
        <v>220</v>
      </c>
      <c r="R447" s="16">
        <v>18</v>
      </c>
      <c r="S447" s="18" t="s">
        <v>43</v>
      </c>
      <c r="T447" s="18"/>
      <c r="U447" s="17">
        <v>2000</v>
      </c>
      <c r="V447" s="18" t="s">
        <v>77</v>
      </c>
      <c r="W447" s="18" t="s">
        <v>69</v>
      </c>
      <c r="X447" s="16">
        <v>10</v>
      </c>
      <c r="Y447" s="43" t="str">
        <f>HYPERLINK("https://api-enni.alpina.ru/FilePrivilegesApproval/883","https://api-enni.alpina.ru/FilePrivilegesApproval/883")</f>
        <v>https://api-enni.alpina.ru/FilePrivilegesApproval/883</v>
      </c>
      <c r="Z447" s="18"/>
      <c r="AS447" s="1">
        <f>IF($A447&lt;&gt;0,1,0)</f>
        <v>0</v>
      </c>
      <c r="AT447" s="1">
        <f>$A447*$B447</f>
        <v>0</v>
      </c>
      <c r="AU447" s="1">
        <f>$A447*$O447</f>
        <v>0</v>
      </c>
      <c r="AV447" s="1">
        <f>IF($R447=0,0,INT($A447/$R447))</f>
        <v>0</v>
      </c>
      <c r="AW447" s="1">
        <f>$A447-$AV447*$R447</f>
        <v>0</v>
      </c>
    </row>
    <row r="448" ht="24.95" customHeight="1" outlineLevel="3" s="1" customFormat="1">
      <c r="A448" s="15"/>
      <c r="B448" s="16">
        <v>590</v>
      </c>
      <c r="C448" s="16">
        <v>885</v>
      </c>
      <c r="D448" s="16">
        <v>29297</v>
      </c>
      <c r="E448" s="18"/>
      <c r="F448" s="18" t="s">
        <v>1508</v>
      </c>
      <c r="G448" s="18" t="s">
        <v>1509</v>
      </c>
      <c r="H448" s="18" t="s">
        <v>86</v>
      </c>
      <c r="I448" s="18" t="s">
        <v>74</v>
      </c>
      <c r="J448" s="16">
        <v>2024</v>
      </c>
      <c r="K448" s="18" t="s">
        <v>1510</v>
      </c>
      <c r="L448" s="16">
        <v>9785961492125</v>
      </c>
      <c r="M448" s="18" t="s">
        <v>1511</v>
      </c>
      <c r="N448" s="16">
        <v>360</v>
      </c>
      <c r="O448" s="19">
        <v>0.44</v>
      </c>
      <c r="P448" s="16">
        <v>140</v>
      </c>
      <c r="Q448" s="16">
        <v>210</v>
      </c>
      <c r="R448" s="16">
        <v>12</v>
      </c>
      <c r="S448" s="18" t="s">
        <v>43</v>
      </c>
      <c r="T448" s="18"/>
      <c r="U448" s="17">
        <v>2000</v>
      </c>
      <c r="V448" s="18" t="s">
        <v>44</v>
      </c>
      <c r="W448" s="18" t="s">
        <v>69</v>
      </c>
      <c r="X448" s="16">
        <v>10</v>
      </c>
      <c r="Y448" s="43" t="str">
        <f>HYPERLINK("https://api-enni.alpina.ru/FilePrivilegesApproval/396","https://api-enni.alpina.ru/FilePrivilegesApproval/396")</f>
        <v>https://api-enni.alpina.ru/FilePrivilegesApproval/396</v>
      </c>
      <c r="Z448" s="18"/>
      <c r="AS448" s="1">
        <f>IF($A448&lt;&gt;0,1,0)</f>
        <v>0</v>
      </c>
      <c r="AT448" s="1">
        <f>$A448*$B448</f>
        <v>0</v>
      </c>
      <c r="AU448" s="1">
        <f>$A448*$O448</f>
        <v>0</v>
      </c>
      <c r="AV448" s="1">
        <f>IF($R448=0,0,INT($A448/$R448))</f>
        <v>0</v>
      </c>
      <c r="AW448" s="1">
        <f>$A448-$AV448*$R448</f>
        <v>0</v>
      </c>
    </row>
    <row r="449" ht="24.95" customHeight="1" outlineLevel="3" s="1" customFormat="1">
      <c r="A449" s="15"/>
      <c r="B449" s="16">
        <v>690</v>
      </c>
      <c r="C449" s="17">
        <v>1035</v>
      </c>
      <c r="D449" s="16">
        <v>28864</v>
      </c>
      <c r="E449" s="18"/>
      <c r="F449" s="18" t="s">
        <v>1512</v>
      </c>
      <c r="G449" s="18" t="s">
        <v>1513</v>
      </c>
      <c r="H449" s="18" t="s">
        <v>86</v>
      </c>
      <c r="I449" s="18"/>
      <c r="J449" s="16">
        <v>2025</v>
      </c>
      <c r="K449" s="18" t="s">
        <v>1514</v>
      </c>
      <c r="L449" s="16">
        <v>9785961490381</v>
      </c>
      <c r="M449" s="18" t="s">
        <v>1515</v>
      </c>
      <c r="N449" s="16">
        <v>285</v>
      </c>
      <c r="O449" s="19">
        <v>0.44</v>
      </c>
      <c r="P449" s="16">
        <v>140</v>
      </c>
      <c r="Q449" s="16">
        <v>210</v>
      </c>
      <c r="R449" s="16">
        <v>12</v>
      </c>
      <c r="S449" s="18" t="s">
        <v>43</v>
      </c>
      <c r="T449" s="18"/>
      <c r="U449" s="17">
        <v>2000</v>
      </c>
      <c r="V449" s="18" t="s">
        <v>44</v>
      </c>
      <c r="W449" s="18" t="s">
        <v>69</v>
      </c>
      <c r="X449" s="16">
        <v>10</v>
      </c>
      <c r="Y449" s="43" t="str">
        <f>HYPERLINK("https://api-enni.alpina.ru/FilePrivilegesApproval/571","https://api-enni.alpina.ru/FilePrivilegesApproval/571")</f>
        <v>https://api-enni.alpina.ru/FilePrivilegesApproval/571</v>
      </c>
      <c r="Z449" s="18"/>
      <c r="AS449" s="1">
        <f>IF($A449&lt;&gt;0,1,0)</f>
        <v>0</v>
      </c>
      <c r="AT449" s="1">
        <f>$A449*$B449</f>
        <v>0</v>
      </c>
      <c r="AU449" s="1">
        <f>$A449*$O449</f>
        <v>0</v>
      </c>
      <c r="AV449" s="1">
        <f>IF($R449=0,0,INT($A449/$R449))</f>
        <v>0</v>
      </c>
      <c r="AW449" s="1">
        <f>$A449-$AV449*$R449</f>
        <v>0</v>
      </c>
    </row>
    <row r="450" ht="24.95" customHeight="1" outlineLevel="3" s="1" customFormat="1">
      <c r="A450" s="15"/>
      <c r="B450" s="16">
        <v>390</v>
      </c>
      <c r="C450" s="16">
        <v>624</v>
      </c>
      <c r="D450" s="16">
        <v>34163</v>
      </c>
      <c r="E450" s="18"/>
      <c r="F450" s="18" t="s">
        <v>1516</v>
      </c>
      <c r="G450" s="18" t="s">
        <v>1517</v>
      </c>
      <c r="H450" s="18" t="s">
        <v>86</v>
      </c>
      <c r="I450" s="18" t="s">
        <v>74</v>
      </c>
      <c r="J450" s="16">
        <v>2025</v>
      </c>
      <c r="K450" s="18" t="s">
        <v>1518</v>
      </c>
      <c r="L450" s="16">
        <v>9785006306462</v>
      </c>
      <c r="M450" s="18" t="s">
        <v>1519</v>
      </c>
      <c r="N450" s="16">
        <v>192</v>
      </c>
      <c r="O450" s="19">
        <v>0.13</v>
      </c>
      <c r="P450" s="16">
        <v>120</v>
      </c>
      <c r="Q450" s="16">
        <v>170</v>
      </c>
      <c r="R450" s="16">
        <v>16</v>
      </c>
      <c r="S450" s="18" t="s">
        <v>190</v>
      </c>
      <c r="T450" s="18" t="s">
        <v>959</v>
      </c>
      <c r="U450" s="17">
        <v>2000</v>
      </c>
      <c r="V450" s="18" t="s">
        <v>44</v>
      </c>
      <c r="W450" s="18" t="s">
        <v>91</v>
      </c>
      <c r="X450" s="16">
        <v>10</v>
      </c>
      <c r="Y450" s="43" t="str">
        <f>HYPERLINK("https://api-enni.alpina.ru/FilePrivilegesApproval/909","https://api-enni.alpina.ru/FilePrivilegesApproval/909")</f>
        <v>https://api-enni.alpina.ru/FilePrivilegesApproval/909</v>
      </c>
      <c r="Z450" s="18"/>
      <c r="AS450" s="1">
        <f>IF($A450&lt;&gt;0,1,0)</f>
        <v>0</v>
      </c>
      <c r="AT450" s="1">
        <f>$A450*$B450</f>
        <v>0</v>
      </c>
      <c r="AU450" s="1">
        <f>$A450*$O450</f>
        <v>0</v>
      </c>
      <c r="AV450" s="1">
        <f>IF($R450=0,0,INT($A450/$R450))</f>
        <v>0</v>
      </c>
      <c r="AW450" s="1">
        <f>$A450-$AV450*$R450</f>
        <v>0</v>
      </c>
    </row>
    <row r="451" ht="24.95" customHeight="1" outlineLevel="3" s="1" customFormat="1">
      <c r="A451" s="15"/>
      <c r="B451" s="16">
        <v>690</v>
      </c>
      <c r="C451" s="17">
        <v>1035</v>
      </c>
      <c r="D451" s="16">
        <v>11617</v>
      </c>
      <c r="E451" s="18"/>
      <c r="F451" s="18" t="s">
        <v>1520</v>
      </c>
      <c r="G451" s="18" t="s">
        <v>1521</v>
      </c>
      <c r="H451" s="18" t="s">
        <v>86</v>
      </c>
      <c r="I451" s="18" t="s">
        <v>74</v>
      </c>
      <c r="J451" s="16">
        <v>2025</v>
      </c>
      <c r="K451" s="18" t="s">
        <v>1522</v>
      </c>
      <c r="L451" s="16">
        <v>9785961427103</v>
      </c>
      <c r="M451" s="18" t="s">
        <v>1523</v>
      </c>
      <c r="N451" s="16">
        <v>270</v>
      </c>
      <c r="O451" s="19">
        <v>0.4</v>
      </c>
      <c r="P451" s="16">
        <v>150</v>
      </c>
      <c r="Q451" s="16">
        <v>220</v>
      </c>
      <c r="R451" s="16">
        <v>16</v>
      </c>
      <c r="S451" s="18" t="s">
        <v>43</v>
      </c>
      <c r="T451" s="18"/>
      <c r="U451" s="17">
        <v>3000</v>
      </c>
      <c r="V451" s="18" t="s">
        <v>77</v>
      </c>
      <c r="W451" s="18" t="s">
        <v>184</v>
      </c>
      <c r="X451" s="16">
        <v>10</v>
      </c>
      <c r="Y451" s="43" t="str">
        <f>HYPERLINK("https://api-enni.alpina.ru/FilePrivilegesApproval/152","https://api-enni.alpina.ru/FilePrivilegesApproval/152")</f>
        <v>https://api-enni.alpina.ru/FilePrivilegesApproval/152</v>
      </c>
      <c r="Z451" s="18"/>
      <c r="AS451" s="1">
        <f>IF($A451&lt;&gt;0,1,0)</f>
        <v>0</v>
      </c>
      <c r="AT451" s="1">
        <f>$A451*$B451</f>
        <v>0</v>
      </c>
      <c r="AU451" s="1">
        <f>$A451*$O451</f>
        <v>0</v>
      </c>
      <c r="AV451" s="1">
        <f>IF($R451=0,0,INT($A451/$R451))</f>
        <v>0</v>
      </c>
      <c r="AW451" s="1">
        <f>$A451-$AV451*$R451</f>
        <v>0</v>
      </c>
    </row>
    <row r="452" ht="24.95" customHeight="1" outlineLevel="3" s="1" customFormat="1">
      <c r="A452" s="15"/>
      <c r="B452" s="16">
        <v>640</v>
      </c>
      <c r="C452" s="16">
        <v>960</v>
      </c>
      <c r="D452" s="16">
        <v>31620</v>
      </c>
      <c r="E452" s="18"/>
      <c r="F452" s="18" t="s">
        <v>1524</v>
      </c>
      <c r="G452" s="18" t="s">
        <v>1525</v>
      </c>
      <c r="H452" s="18" t="s">
        <v>86</v>
      </c>
      <c r="I452" s="18" t="s">
        <v>87</v>
      </c>
      <c r="J452" s="16">
        <v>2026</v>
      </c>
      <c r="K452" s="18" t="s">
        <v>1526</v>
      </c>
      <c r="L452" s="16">
        <v>9785961499551</v>
      </c>
      <c r="M452" s="18" t="s">
        <v>1527</v>
      </c>
      <c r="N452" s="16">
        <v>316</v>
      </c>
      <c r="O452" s="19">
        <v>0.39</v>
      </c>
      <c r="P452" s="16">
        <v>140</v>
      </c>
      <c r="Q452" s="16">
        <v>210</v>
      </c>
      <c r="R452" s="16">
        <v>14</v>
      </c>
      <c r="S452" s="18" t="s">
        <v>43</v>
      </c>
      <c r="T452" s="18"/>
      <c r="U452" s="17">
        <v>2000</v>
      </c>
      <c r="V452" s="18" t="s">
        <v>44</v>
      </c>
      <c r="W452" s="18" t="s">
        <v>69</v>
      </c>
      <c r="X452" s="16">
        <v>10</v>
      </c>
      <c r="Y452" s="43" t="str">
        <f>HYPERLINK("https://api-enni.alpina.ru/FilePrivilegesApproval/1036","https://api-enni.alpina.ru/FilePrivilegesApproval/1036")</f>
        <v>https://api-enni.alpina.ru/FilePrivilegesApproval/1036</v>
      </c>
      <c r="Z452" s="18"/>
      <c r="AS452" s="1">
        <f>IF($A452&lt;&gt;0,1,0)</f>
        <v>0</v>
      </c>
      <c r="AT452" s="1">
        <f>$A452*$B452</f>
        <v>0</v>
      </c>
      <c r="AU452" s="1">
        <f>$A452*$O452</f>
        <v>0</v>
      </c>
      <c r="AV452" s="1">
        <f>IF($R452=0,0,INT($A452/$R452))</f>
        <v>0</v>
      </c>
      <c r="AW452" s="1">
        <f>$A452-$AV452*$R452</f>
        <v>0</v>
      </c>
    </row>
    <row r="453" ht="24.95" customHeight="1" outlineLevel="3" s="1" customFormat="1">
      <c r="A453" s="25"/>
      <c r="B453" s="26">
        <v>590</v>
      </c>
      <c r="C453" s="26">
        <v>885</v>
      </c>
      <c r="D453" s="26">
        <v>27932</v>
      </c>
      <c r="E453" s="27"/>
      <c r="F453" s="27" t="s">
        <v>1304</v>
      </c>
      <c r="G453" s="27" t="s">
        <v>1528</v>
      </c>
      <c r="H453" s="27" t="s">
        <v>86</v>
      </c>
      <c r="I453" s="27" t="s">
        <v>74</v>
      </c>
      <c r="J453" s="26">
        <v>2025</v>
      </c>
      <c r="K453" s="27" t="s">
        <v>1529</v>
      </c>
      <c r="L453" s="26">
        <v>9785961486865</v>
      </c>
      <c r="M453" s="27" t="s">
        <v>1530</v>
      </c>
      <c r="N453" s="26">
        <v>216</v>
      </c>
      <c r="O453" s="28">
        <v>0.22</v>
      </c>
      <c r="P453" s="26">
        <v>140</v>
      </c>
      <c r="Q453" s="26">
        <v>210</v>
      </c>
      <c r="R453" s="26">
        <v>10</v>
      </c>
      <c r="S453" s="27" t="s">
        <v>43</v>
      </c>
      <c r="T453" s="27" t="s">
        <v>1308</v>
      </c>
      <c r="U453" s="29">
        <v>1000</v>
      </c>
      <c r="V453" s="27" t="s">
        <v>44</v>
      </c>
      <c r="W453" s="27" t="s">
        <v>184</v>
      </c>
      <c r="X453" s="26">
        <v>10</v>
      </c>
      <c r="Y453" s="45" t="str">
        <f>HYPERLINK("https://api-enni.alpina.ru/FilePrivilegesApproval/80","https://api-enni.alpina.ru/FilePrivilegesApproval/80")</f>
        <v>https://api-enni.alpina.ru/FilePrivilegesApproval/80</v>
      </c>
      <c r="Z453" s="27"/>
      <c r="AS453" s="1">
        <f>IF($A453&lt;&gt;0,1,0)</f>
        <v>0</v>
      </c>
      <c r="AT453" s="1">
        <f>$A453*$B453</f>
        <v>0</v>
      </c>
      <c r="AU453" s="1">
        <f>$A453*$O453</f>
        <v>0</v>
      </c>
      <c r="AV453" s="1">
        <f>IF($R453=0,0,INT($A453/$R453))</f>
        <v>0</v>
      </c>
      <c r="AW453" s="1">
        <f>$A453-$AV453*$R453</f>
        <v>0</v>
      </c>
    </row>
    <row r="454" ht="24.95" customHeight="1" outlineLevel="3" s="1" customFormat="1">
      <c r="A454" s="15"/>
      <c r="B454" s="16">
        <v>690</v>
      </c>
      <c r="C454" s="17">
        <v>1035</v>
      </c>
      <c r="D454" s="16">
        <v>19088</v>
      </c>
      <c r="E454" s="18"/>
      <c r="F454" s="18" t="s">
        <v>1531</v>
      </c>
      <c r="G454" s="18" t="s">
        <v>1532</v>
      </c>
      <c r="H454" s="18" t="s">
        <v>86</v>
      </c>
      <c r="I454" s="18" t="s">
        <v>74</v>
      </c>
      <c r="J454" s="16">
        <v>2025</v>
      </c>
      <c r="K454" s="18" t="s">
        <v>1533</v>
      </c>
      <c r="L454" s="16">
        <v>9785961439144</v>
      </c>
      <c r="M454" s="18" t="s">
        <v>1534</v>
      </c>
      <c r="N454" s="16">
        <v>374</v>
      </c>
      <c r="O454" s="19">
        <v>0.58</v>
      </c>
      <c r="P454" s="16">
        <v>150</v>
      </c>
      <c r="Q454" s="16">
        <v>220</v>
      </c>
      <c r="R454" s="16">
        <v>5</v>
      </c>
      <c r="S454" s="18" t="s">
        <v>43</v>
      </c>
      <c r="T454" s="18"/>
      <c r="U454" s="17">
        <v>1000</v>
      </c>
      <c r="V454" s="18" t="s">
        <v>77</v>
      </c>
      <c r="W454" s="18" t="s">
        <v>184</v>
      </c>
      <c r="X454" s="16">
        <v>10</v>
      </c>
      <c r="Y454" s="43" t="str">
        <f>HYPERLINK("https://api-enni.alpina.ru/FilePrivilegesApproval/111","https://api-enni.alpina.ru/FilePrivilegesApproval/111")</f>
        <v>https://api-enni.alpina.ru/FilePrivilegesApproval/111</v>
      </c>
      <c r="Z454" s="18"/>
      <c r="AS454" s="1">
        <f>IF($A454&lt;&gt;0,1,0)</f>
        <v>0</v>
      </c>
      <c r="AT454" s="1">
        <f>$A454*$B454</f>
        <v>0</v>
      </c>
      <c r="AU454" s="1">
        <f>$A454*$O454</f>
        <v>0</v>
      </c>
      <c r="AV454" s="1">
        <f>IF($R454=0,0,INT($A454/$R454))</f>
        <v>0</v>
      </c>
      <c r="AW454" s="1">
        <f>$A454-$AV454*$R454</f>
        <v>0</v>
      </c>
    </row>
    <row r="455" ht="24.95" customHeight="1" outlineLevel="3" s="1" customFormat="1">
      <c r="A455" s="15"/>
      <c r="B455" s="16">
        <v>640</v>
      </c>
      <c r="C455" s="16">
        <v>960</v>
      </c>
      <c r="D455" s="16">
        <v>24037</v>
      </c>
      <c r="E455" s="18"/>
      <c r="F455" s="18" t="s">
        <v>1535</v>
      </c>
      <c r="G455" s="18" t="s">
        <v>1536</v>
      </c>
      <c r="H455" s="18" t="s">
        <v>86</v>
      </c>
      <c r="I455" s="18"/>
      <c r="J455" s="16">
        <v>2025</v>
      </c>
      <c r="K455" s="18" t="s">
        <v>1537</v>
      </c>
      <c r="L455" s="16">
        <v>9785961485417</v>
      </c>
      <c r="M455" s="18" t="s">
        <v>1538</v>
      </c>
      <c r="N455" s="16">
        <v>200</v>
      </c>
      <c r="O455" s="19">
        <v>0.33</v>
      </c>
      <c r="P455" s="16">
        <v>150</v>
      </c>
      <c r="Q455" s="16">
        <v>220</v>
      </c>
      <c r="R455" s="16">
        <v>20</v>
      </c>
      <c r="S455" s="18" t="s">
        <v>43</v>
      </c>
      <c r="T455" s="18"/>
      <c r="U455" s="17">
        <v>2000</v>
      </c>
      <c r="V455" s="18" t="s">
        <v>77</v>
      </c>
      <c r="W455" s="18" t="s">
        <v>69</v>
      </c>
      <c r="X455" s="16">
        <v>10</v>
      </c>
      <c r="Y455" s="43" t="str">
        <f>HYPERLINK("https://api-enni.alpina.ru/FilePrivilegesApproval/300","https://api-enni.alpina.ru/FilePrivilegesApproval/300")</f>
        <v>https://api-enni.alpina.ru/FilePrivilegesApproval/300</v>
      </c>
      <c r="Z455" s="18"/>
      <c r="AS455" s="1">
        <f>IF($A455&lt;&gt;0,1,0)</f>
        <v>0</v>
      </c>
      <c r="AT455" s="1">
        <f>$A455*$B455</f>
        <v>0</v>
      </c>
      <c r="AU455" s="1">
        <f>$A455*$O455</f>
        <v>0</v>
      </c>
      <c r="AV455" s="1">
        <f>IF($R455=0,0,INT($A455/$R455))</f>
        <v>0</v>
      </c>
      <c r="AW455" s="1">
        <f>$A455-$AV455*$R455</f>
        <v>0</v>
      </c>
    </row>
    <row r="456" ht="24.95" customHeight="1" outlineLevel="3" s="1" customFormat="1">
      <c r="A456" s="15"/>
      <c r="B456" s="16">
        <v>460</v>
      </c>
      <c r="C456" s="16">
        <v>713</v>
      </c>
      <c r="D456" s="16">
        <v>28522</v>
      </c>
      <c r="E456" s="18"/>
      <c r="F456" s="18" t="s">
        <v>1539</v>
      </c>
      <c r="G456" s="18" t="s">
        <v>1540</v>
      </c>
      <c r="H456" s="18" t="s">
        <v>73</v>
      </c>
      <c r="I456" s="18"/>
      <c r="J456" s="16">
        <v>2023</v>
      </c>
      <c r="K456" s="18" t="s">
        <v>1541</v>
      </c>
      <c r="L456" s="16">
        <v>9785002230198</v>
      </c>
      <c r="M456" s="18" t="s">
        <v>1542</v>
      </c>
      <c r="N456" s="16">
        <v>320</v>
      </c>
      <c r="O456" s="19">
        <v>0.21</v>
      </c>
      <c r="P456" s="16">
        <v>120</v>
      </c>
      <c r="Q456" s="16">
        <v>170</v>
      </c>
      <c r="R456" s="16">
        <v>12</v>
      </c>
      <c r="S456" s="18" t="s">
        <v>190</v>
      </c>
      <c r="T456" s="18" t="s">
        <v>451</v>
      </c>
      <c r="U456" s="17">
        <v>2000</v>
      </c>
      <c r="V456" s="18" t="s">
        <v>44</v>
      </c>
      <c r="W456" s="18" t="s">
        <v>69</v>
      </c>
      <c r="X456" s="16">
        <v>10</v>
      </c>
      <c r="Y456" s="43" t="str">
        <f>HYPERLINK("https://api-enni.alpina.ru/FilePrivilegesApproval/127","https://api-enni.alpina.ru/FilePrivilegesApproval/127")</f>
        <v>https://api-enni.alpina.ru/FilePrivilegesApproval/127</v>
      </c>
      <c r="Z456" s="18"/>
      <c r="AS456" s="1">
        <f>IF($A456&lt;&gt;0,1,0)</f>
        <v>0</v>
      </c>
      <c r="AT456" s="1">
        <f>$A456*$B456</f>
        <v>0</v>
      </c>
      <c r="AU456" s="1">
        <f>$A456*$O456</f>
        <v>0</v>
      </c>
      <c r="AV456" s="1">
        <f>IF($R456=0,0,INT($A456/$R456))</f>
        <v>0</v>
      </c>
      <c r="AW456" s="1">
        <f>$A456-$AV456*$R456</f>
        <v>0</v>
      </c>
    </row>
    <row r="457" ht="24.95" customHeight="1" outlineLevel="3" s="1" customFormat="1">
      <c r="A457" s="15"/>
      <c r="B457" s="16">
        <v>590</v>
      </c>
      <c r="C457" s="16">
        <v>885</v>
      </c>
      <c r="D457" s="16">
        <v>30283</v>
      </c>
      <c r="E457" s="18"/>
      <c r="F457" s="18" t="s">
        <v>1543</v>
      </c>
      <c r="G457" s="18" t="s">
        <v>1544</v>
      </c>
      <c r="H457" s="18" t="s">
        <v>86</v>
      </c>
      <c r="I457" s="18" t="s">
        <v>40</v>
      </c>
      <c r="J457" s="16">
        <v>2025</v>
      </c>
      <c r="K457" s="18" t="s">
        <v>1545</v>
      </c>
      <c r="L457" s="16">
        <v>9785961495102</v>
      </c>
      <c r="M457" s="18" t="s">
        <v>1546</v>
      </c>
      <c r="N457" s="16">
        <v>272</v>
      </c>
      <c r="O457" s="19">
        <v>0.43</v>
      </c>
      <c r="P457" s="16">
        <v>150</v>
      </c>
      <c r="Q457" s="16">
        <v>220</v>
      </c>
      <c r="R457" s="16">
        <v>14</v>
      </c>
      <c r="S457" s="18" t="s">
        <v>43</v>
      </c>
      <c r="T457" s="18"/>
      <c r="U457" s="17">
        <v>2000</v>
      </c>
      <c r="V457" s="18" t="s">
        <v>77</v>
      </c>
      <c r="W457" s="18" t="s">
        <v>69</v>
      </c>
      <c r="X457" s="16">
        <v>10</v>
      </c>
      <c r="Y457" s="43" t="str">
        <f>HYPERLINK("https://api-enni.alpina.ru/FilePrivilegesApproval/633","https://api-enni.alpina.ru/FilePrivilegesApproval/633")</f>
        <v>https://api-enni.alpina.ru/FilePrivilegesApproval/633</v>
      </c>
      <c r="Z457" s="18"/>
      <c r="AS457" s="1">
        <f>IF($A457&lt;&gt;0,1,0)</f>
        <v>0</v>
      </c>
      <c r="AT457" s="1">
        <f>$A457*$B457</f>
        <v>0</v>
      </c>
      <c r="AU457" s="1">
        <f>$A457*$O457</f>
        <v>0</v>
      </c>
      <c r="AV457" s="1">
        <f>IF($R457=0,0,INT($A457/$R457))</f>
        <v>0</v>
      </c>
      <c r="AW457" s="1">
        <f>$A457-$AV457*$R457</f>
        <v>0</v>
      </c>
    </row>
    <row r="458" ht="24.95" customHeight="1" outlineLevel="3" s="1" customFormat="1">
      <c r="A458" s="15"/>
      <c r="B458" s="16">
        <v>340</v>
      </c>
      <c r="C458" s="16">
        <v>544</v>
      </c>
      <c r="D458" s="16">
        <v>28085</v>
      </c>
      <c r="E458" s="18"/>
      <c r="F458" s="18" t="s">
        <v>1547</v>
      </c>
      <c r="G458" s="18" t="s">
        <v>1548</v>
      </c>
      <c r="H458" s="18" t="s">
        <v>86</v>
      </c>
      <c r="I458" s="18" t="s">
        <v>74</v>
      </c>
      <c r="J458" s="16">
        <v>2026</v>
      </c>
      <c r="K458" s="18" t="s">
        <v>1549</v>
      </c>
      <c r="L458" s="16">
        <v>9785961487244</v>
      </c>
      <c r="M458" s="18" t="s">
        <v>1550</v>
      </c>
      <c r="N458" s="16">
        <v>203</v>
      </c>
      <c r="O458" s="19">
        <v>0.14</v>
      </c>
      <c r="P458" s="16">
        <v>120</v>
      </c>
      <c r="Q458" s="16">
        <v>170</v>
      </c>
      <c r="R458" s="16">
        <v>16</v>
      </c>
      <c r="S458" s="18" t="s">
        <v>190</v>
      </c>
      <c r="T458" s="18" t="s">
        <v>959</v>
      </c>
      <c r="U458" s="17">
        <v>3000</v>
      </c>
      <c r="V458" s="18" t="s">
        <v>44</v>
      </c>
      <c r="W458" s="18" t="s">
        <v>184</v>
      </c>
      <c r="X458" s="16">
        <v>10</v>
      </c>
      <c r="Y458" s="43" t="str">
        <f>HYPERLINK("https://api-enni.alpina.ru/FilePrivilegesApproval/231","https://api-enni.alpina.ru/FilePrivilegesApproval/231")</f>
        <v>https://api-enni.alpina.ru/FilePrivilegesApproval/231</v>
      </c>
      <c r="Z458" s="18" t="s">
        <v>950</v>
      </c>
      <c r="AS458" s="1">
        <f>IF($A458&lt;&gt;0,1,0)</f>
        <v>0</v>
      </c>
      <c r="AT458" s="1">
        <f>$A458*$B458</f>
        <v>0</v>
      </c>
      <c r="AU458" s="1">
        <f>$A458*$O458</f>
        <v>0</v>
      </c>
      <c r="AV458" s="1">
        <f>IF($R458=0,0,INT($A458/$R458))</f>
        <v>0</v>
      </c>
      <c r="AW458" s="1">
        <f>$A458-$AV458*$R458</f>
        <v>0</v>
      </c>
    </row>
    <row r="459" ht="24.95" customHeight="1" outlineLevel="3" s="1" customFormat="1">
      <c r="A459" s="15"/>
      <c r="B459" s="16">
        <v>390</v>
      </c>
      <c r="C459" s="16">
        <v>624</v>
      </c>
      <c r="D459" s="16">
        <v>30890</v>
      </c>
      <c r="E459" s="18"/>
      <c r="F459" s="18" t="s">
        <v>1551</v>
      </c>
      <c r="G459" s="18" t="s">
        <v>1552</v>
      </c>
      <c r="H459" s="18" t="s">
        <v>86</v>
      </c>
      <c r="I459" s="18"/>
      <c r="J459" s="16">
        <v>2024</v>
      </c>
      <c r="K459" s="18" t="s">
        <v>1553</v>
      </c>
      <c r="L459" s="16">
        <v>9785961496871</v>
      </c>
      <c r="M459" s="18" t="s">
        <v>1554</v>
      </c>
      <c r="N459" s="16">
        <v>186</v>
      </c>
      <c r="O459" s="19">
        <v>0.15</v>
      </c>
      <c r="P459" s="16">
        <v>120</v>
      </c>
      <c r="Q459" s="16">
        <v>170</v>
      </c>
      <c r="R459" s="16">
        <v>20</v>
      </c>
      <c r="S459" s="18" t="s">
        <v>190</v>
      </c>
      <c r="T459" s="18"/>
      <c r="U459" s="17">
        <v>2000</v>
      </c>
      <c r="V459" s="18" t="s">
        <v>44</v>
      </c>
      <c r="W459" s="18" t="s">
        <v>69</v>
      </c>
      <c r="X459" s="16">
        <v>10</v>
      </c>
      <c r="Y459" s="43" t="str">
        <f>HYPERLINK("https://api-enni.alpina.ru/FilePrivilegesApproval/489","https://api-enni.alpina.ru/FilePrivilegesApproval/489")</f>
        <v>https://api-enni.alpina.ru/FilePrivilegesApproval/489</v>
      </c>
      <c r="Z459" s="18"/>
      <c r="AS459" s="1">
        <f>IF($A459&lt;&gt;0,1,0)</f>
        <v>0</v>
      </c>
      <c r="AT459" s="1">
        <f>$A459*$B459</f>
        <v>0</v>
      </c>
      <c r="AU459" s="1">
        <f>$A459*$O459</f>
        <v>0</v>
      </c>
      <c r="AV459" s="1">
        <f>IF($R459=0,0,INT($A459/$R459))</f>
        <v>0</v>
      </c>
      <c r="AW459" s="1">
        <f>$A459-$AV459*$R459</f>
        <v>0</v>
      </c>
    </row>
    <row r="460" ht="24.95" customHeight="1" outlineLevel="3" s="1" customFormat="1">
      <c r="A460" s="15"/>
      <c r="B460" s="16">
        <v>690</v>
      </c>
      <c r="C460" s="17">
        <v>1035</v>
      </c>
      <c r="D460" s="16">
        <v>31227</v>
      </c>
      <c r="E460" s="18"/>
      <c r="F460" s="18" t="s">
        <v>1555</v>
      </c>
      <c r="G460" s="18" t="s">
        <v>1556</v>
      </c>
      <c r="H460" s="18" t="s">
        <v>86</v>
      </c>
      <c r="I460" s="18"/>
      <c r="J460" s="16">
        <v>2025</v>
      </c>
      <c r="K460" s="18" t="s">
        <v>1557</v>
      </c>
      <c r="L460" s="16">
        <v>9785961497915</v>
      </c>
      <c r="M460" s="18" t="s">
        <v>1558</v>
      </c>
      <c r="N460" s="16">
        <v>208</v>
      </c>
      <c r="O460" s="19">
        <v>0.43</v>
      </c>
      <c r="P460" s="16">
        <v>150</v>
      </c>
      <c r="Q460" s="16">
        <v>220</v>
      </c>
      <c r="R460" s="16">
        <v>14</v>
      </c>
      <c r="S460" s="18" t="s">
        <v>43</v>
      </c>
      <c r="T460" s="18"/>
      <c r="U460" s="17">
        <v>1500</v>
      </c>
      <c r="V460" s="18" t="s">
        <v>77</v>
      </c>
      <c r="W460" s="18" t="s">
        <v>69</v>
      </c>
      <c r="X460" s="16">
        <v>10</v>
      </c>
      <c r="Y460" s="43" t="str">
        <f>HYPERLINK("https://api-enni.alpina.ru/FilePrivilegesApproval/758","https://api-enni.alpina.ru/FilePrivilegesApproval/758")</f>
        <v>https://api-enni.alpina.ru/FilePrivilegesApproval/758</v>
      </c>
      <c r="Z460" s="18"/>
      <c r="AS460" s="1">
        <f>IF($A460&lt;&gt;0,1,0)</f>
        <v>0</v>
      </c>
      <c r="AT460" s="1">
        <f>$A460*$B460</f>
        <v>0</v>
      </c>
      <c r="AU460" s="1">
        <f>$A460*$O460</f>
        <v>0</v>
      </c>
      <c r="AV460" s="1">
        <f>IF($R460=0,0,INT($A460/$R460))</f>
        <v>0</v>
      </c>
      <c r="AW460" s="1">
        <f>$A460-$AV460*$R460</f>
        <v>0</v>
      </c>
    </row>
    <row r="461" ht="24.95" customHeight="1" outlineLevel="3" s="1" customFormat="1">
      <c r="A461" s="15"/>
      <c r="B461" s="16">
        <v>490</v>
      </c>
      <c r="C461" s="16">
        <v>760</v>
      </c>
      <c r="D461" s="16">
        <v>8177</v>
      </c>
      <c r="E461" s="18"/>
      <c r="F461" s="18" t="s">
        <v>1559</v>
      </c>
      <c r="G461" s="18" t="s">
        <v>1560</v>
      </c>
      <c r="H461" s="18" t="s">
        <v>86</v>
      </c>
      <c r="I461" s="18" t="s">
        <v>74</v>
      </c>
      <c r="J461" s="16">
        <v>2019</v>
      </c>
      <c r="K461" s="18" t="s">
        <v>1561</v>
      </c>
      <c r="L461" s="16">
        <v>9785961466102</v>
      </c>
      <c r="M461" s="18" t="s">
        <v>1562</v>
      </c>
      <c r="N461" s="16">
        <v>283</v>
      </c>
      <c r="O461" s="19">
        <v>0.3</v>
      </c>
      <c r="P461" s="16">
        <v>141</v>
      </c>
      <c r="Q461" s="16">
        <v>210</v>
      </c>
      <c r="R461" s="16">
        <v>14</v>
      </c>
      <c r="S461" s="18" t="s">
        <v>43</v>
      </c>
      <c r="T461" s="18"/>
      <c r="U461" s="17">
        <v>1500</v>
      </c>
      <c r="V461" s="18" t="s">
        <v>44</v>
      </c>
      <c r="W461" s="18" t="s">
        <v>69</v>
      </c>
      <c r="X461" s="16">
        <v>10</v>
      </c>
      <c r="Y461" s="43" t="str">
        <f>HYPERLINK("https://api-enni.alpina.ru/FilePrivilegesApproval/240","https://api-enni.alpina.ru/FilePrivilegesApproval/240")</f>
        <v>https://api-enni.alpina.ru/FilePrivilegesApproval/240</v>
      </c>
      <c r="Z461" s="18"/>
      <c r="AS461" s="1">
        <f>IF($A461&lt;&gt;0,1,0)</f>
        <v>0</v>
      </c>
      <c r="AT461" s="1">
        <f>$A461*$B461</f>
        <v>0</v>
      </c>
      <c r="AU461" s="1">
        <f>$A461*$O461</f>
        <v>0</v>
      </c>
      <c r="AV461" s="1">
        <f>IF($R461=0,0,INT($A461/$R461))</f>
        <v>0</v>
      </c>
      <c r="AW461" s="1">
        <f>$A461-$AV461*$R461</f>
        <v>0</v>
      </c>
    </row>
    <row r="462" ht="24.95" customHeight="1" outlineLevel="3" s="1" customFormat="1">
      <c r="A462" s="15"/>
      <c r="B462" s="16">
        <v>990</v>
      </c>
      <c r="C462" s="17">
        <v>1690</v>
      </c>
      <c r="D462" s="16">
        <v>32325</v>
      </c>
      <c r="E462" s="18"/>
      <c r="F462" s="18" t="s">
        <v>740</v>
      </c>
      <c r="G462" s="18" t="s">
        <v>741</v>
      </c>
      <c r="H462" s="18" t="s">
        <v>95</v>
      </c>
      <c r="I462" s="18"/>
      <c r="J462" s="16">
        <v>2026</v>
      </c>
      <c r="K462" s="18" t="s">
        <v>742</v>
      </c>
      <c r="L462" s="16">
        <v>9785206004236</v>
      </c>
      <c r="M462" s="18" t="s">
        <v>743</v>
      </c>
      <c r="N462" s="16">
        <v>448</v>
      </c>
      <c r="O462" s="19">
        <v>0.62</v>
      </c>
      <c r="P462" s="16">
        <v>150</v>
      </c>
      <c r="Q462" s="16">
        <v>220</v>
      </c>
      <c r="R462" s="16">
        <v>8</v>
      </c>
      <c r="S462" s="18" t="s">
        <v>43</v>
      </c>
      <c r="T462" s="18"/>
      <c r="U462" s="17">
        <v>2000</v>
      </c>
      <c r="V462" s="18" t="s">
        <v>77</v>
      </c>
      <c r="W462" s="18" t="s">
        <v>69</v>
      </c>
      <c r="X462" s="16">
        <v>10</v>
      </c>
      <c r="Y462" s="43" t="str">
        <f>HYPERLINK("https://api-enni.alpina.ru/FilePrivilegesApproval/1034","https://api-enni.alpina.ru/FilePrivilegesApproval/1034")</f>
        <v>https://api-enni.alpina.ru/FilePrivilegesApproval/1034</v>
      </c>
      <c r="Z462" s="18" t="s">
        <v>744</v>
      </c>
      <c r="AS462" s="1">
        <f>IF($A462&lt;&gt;0,1,0)</f>
        <v>0</v>
      </c>
      <c r="AT462" s="1">
        <f>$A462*$B462</f>
        <v>0</v>
      </c>
      <c r="AU462" s="1">
        <f>$A462*$O462</f>
        <v>0</v>
      </c>
      <c r="AV462" s="1">
        <f>IF($R462=0,0,INT($A462/$R462))</f>
        <v>0</v>
      </c>
      <c r="AW462" s="1">
        <f>$A462-$AV462*$R462</f>
        <v>0</v>
      </c>
    </row>
    <row r="463" ht="24.95" customHeight="1" outlineLevel="3" s="1" customFormat="1">
      <c r="A463" s="15"/>
      <c r="B463" s="16">
        <v>640</v>
      </c>
      <c r="C463" s="16">
        <v>960</v>
      </c>
      <c r="D463" s="16">
        <v>29641</v>
      </c>
      <c r="E463" s="18"/>
      <c r="F463" s="18" t="s">
        <v>1563</v>
      </c>
      <c r="G463" s="18" t="s">
        <v>1564</v>
      </c>
      <c r="H463" s="18" t="s">
        <v>86</v>
      </c>
      <c r="I463" s="18"/>
      <c r="J463" s="16">
        <v>2025</v>
      </c>
      <c r="K463" s="18" t="s">
        <v>1565</v>
      </c>
      <c r="L463" s="16">
        <v>9785961493269</v>
      </c>
      <c r="M463" s="18" t="s">
        <v>1566</v>
      </c>
      <c r="N463" s="16">
        <v>324</v>
      </c>
      <c r="O463" s="19">
        <v>0.5</v>
      </c>
      <c r="P463" s="16">
        <v>150</v>
      </c>
      <c r="Q463" s="16">
        <v>220</v>
      </c>
      <c r="R463" s="16">
        <v>12</v>
      </c>
      <c r="S463" s="18" t="s">
        <v>43</v>
      </c>
      <c r="T463" s="18"/>
      <c r="U463" s="17">
        <v>2000</v>
      </c>
      <c r="V463" s="18" t="s">
        <v>77</v>
      </c>
      <c r="W463" s="18" t="s">
        <v>91</v>
      </c>
      <c r="X463" s="16">
        <v>10</v>
      </c>
      <c r="Y463" s="43" t="str">
        <f>HYPERLINK("https://api-enni.alpina.ru/FilePrivilegesApproval/953","https://api-enni.alpina.ru/FilePrivilegesApproval/953")</f>
        <v>https://api-enni.alpina.ru/FilePrivilegesApproval/953</v>
      </c>
      <c r="Z463" s="18"/>
      <c r="AS463" s="1">
        <f>IF($A463&lt;&gt;0,1,0)</f>
        <v>0</v>
      </c>
      <c r="AT463" s="1">
        <f>$A463*$B463</f>
        <v>0</v>
      </c>
      <c r="AU463" s="1">
        <f>$A463*$O463</f>
        <v>0</v>
      </c>
      <c r="AV463" s="1">
        <f>IF($R463=0,0,INT($A463/$R463))</f>
        <v>0</v>
      </c>
      <c r="AW463" s="1">
        <f>$A463-$AV463*$R463</f>
        <v>0</v>
      </c>
    </row>
    <row r="464" ht="24.95" customHeight="1" outlineLevel="3" s="1" customFormat="1">
      <c r="A464" s="15"/>
      <c r="B464" s="16">
        <v>690</v>
      </c>
      <c r="C464" s="17">
        <v>1035</v>
      </c>
      <c r="D464" s="16">
        <v>35403</v>
      </c>
      <c r="E464" s="18"/>
      <c r="F464" s="18" t="s">
        <v>234</v>
      </c>
      <c r="G464" s="18" t="s">
        <v>235</v>
      </c>
      <c r="H464" s="18" t="s">
        <v>86</v>
      </c>
      <c r="I464" s="18"/>
      <c r="J464" s="16">
        <v>2026</v>
      </c>
      <c r="K464" s="18" t="s">
        <v>236</v>
      </c>
      <c r="L464" s="16">
        <v>9785006311985</v>
      </c>
      <c r="M464" s="18" t="s">
        <v>237</v>
      </c>
      <c r="N464" s="16">
        <v>372</v>
      </c>
      <c r="O464" s="19">
        <v>0.46</v>
      </c>
      <c r="P464" s="16">
        <v>140</v>
      </c>
      <c r="Q464" s="16">
        <v>210</v>
      </c>
      <c r="R464" s="16">
        <v>12</v>
      </c>
      <c r="S464" s="18" t="s">
        <v>43</v>
      </c>
      <c r="T464" s="18"/>
      <c r="U464" s="17">
        <v>4000</v>
      </c>
      <c r="V464" s="18" t="s">
        <v>44</v>
      </c>
      <c r="W464" s="18" t="s">
        <v>91</v>
      </c>
      <c r="X464" s="16">
        <v>10</v>
      </c>
      <c r="Y464" s="43" t="str">
        <f>HYPERLINK("","")</f>
      </c>
      <c r="Z464" s="18" t="s">
        <v>98</v>
      </c>
      <c r="AS464" s="1">
        <f>IF($A464&lt;&gt;0,1,0)</f>
        <v>0</v>
      </c>
      <c r="AT464" s="1">
        <f>$A464*$B464</f>
        <v>0</v>
      </c>
      <c r="AU464" s="1">
        <f>$A464*$O464</f>
        <v>0</v>
      </c>
      <c r="AV464" s="1">
        <f>IF($R464=0,0,INT($A464/$R464))</f>
        <v>0</v>
      </c>
      <c r="AW464" s="1">
        <f>$A464-$AV464*$R464</f>
        <v>0</v>
      </c>
    </row>
    <row r="465" ht="24.95" customHeight="1" outlineLevel="3" s="1" customFormat="1">
      <c r="A465" s="15"/>
      <c r="B465" s="16">
        <v>790</v>
      </c>
      <c r="C465" s="17">
        <v>1146</v>
      </c>
      <c r="D465" s="16">
        <v>3106</v>
      </c>
      <c r="E465" s="18"/>
      <c r="F465" s="18" t="s">
        <v>1567</v>
      </c>
      <c r="G465" s="18" t="s">
        <v>1568</v>
      </c>
      <c r="H465" s="18" t="s">
        <v>86</v>
      </c>
      <c r="I465" s="18" t="s">
        <v>74</v>
      </c>
      <c r="J465" s="16">
        <v>2026</v>
      </c>
      <c r="K465" s="18" t="s">
        <v>1569</v>
      </c>
      <c r="L465" s="16">
        <v>9785961470208</v>
      </c>
      <c r="M465" s="18" t="s">
        <v>1570</v>
      </c>
      <c r="N465" s="16">
        <v>376</v>
      </c>
      <c r="O465" s="19">
        <v>0.55</v>
      </c>
      <c r="P465" s="16">
        <v>146</v>
      </c>
      <c r="Q465" s="16">
        <v>250</v>
      </c>
      <c r="R465" s="16">
        <v>10</v>
      </c>
      <c r="S465" s="18" t="s">
        <v>43</v>
      </c>
      <c r="T465" s="18"/>
      <c r="U465" s="17">
        <v>1000</v>
      </c>
      <c r="V465" s="18" t="s">
        <v>77</v>
      </c>
      <c r="W465" s="18" t="s">
        <v>184</v>
      </c>
      <c r="X465" s="16">
        <v>10</v>
      </c>
      <c r="Y465" s="43" t="str">
        <f>HYPERLINK("https://api-enni.alpina.ru/FilePrivilegesApproval/2","https://api-enni.alpina.ru/FilePrivilegesApproval/2")</f>
        <v>https://api-enni.alpina.ru/FilePrivilegesApproval/2</v>
      </c>
      <c r="Z465" s="18" t="s">
        <v>410</v>
      </c>
      <c r="AS465" s="1">
        <f>IF($A465&lt;&gt;0,1,0)</f>
        <v>0</v>
      </c>
      <c r="AT465" s="1">
        <f>$A465*$B465</f>
        <v>0</v>
      </c>
      <c r="AU465" s="1">
        <f>$A465*$O465</f>
        <v>0</v>
      </c>
      <c r="AV465" s="1">
        <f>IF($R465=0,0,INT($A465/$R465))</f>
        <v>0</v>
      </c>
      <c r="AW465" s="1">
        <f>$A465-$AV465*$R465</f>
        <v>0</v>
      </c>
    </row>
    <row r="466" ht="24.95" customHeight="1" outlineLevel="3" s="1" customFormat="1">
      <c r="A466" s="15"/>
      <c r="B466" s="16">
        <v>390</v>
      </c>
      <c r="C466" s="16">
        <v>624</v>
      </c>
      <c r="D466" s="16">
        <v>29856</v>
      </c>
      <c r="E466" s="18"/>
      <c r="F466" s="18" t="s">
        <v>1571</v>
      </c>
      <c r="G466" s="18" t="s">
        <v>1572</v>
      </c>
      <c r="H466" s="18" t="s">
        <v>86</v>
      </c>
      <c r="I466" s="18" t="s">
        <v>74</v>
      </c>
      <c r="J466" s="16">
        <v>2025</v>
      </c>
      <c r="K466" s="18" t="s">
        <v>1573</v>
      </c>
      <c r="L466" s="16">
        <v>9785961494242</v>
      </c>
      <c r="M466" s="18" t="s">
        <v>1574</v>
      </c>
      <c r="N466" s="16">
        <v>528</v>
      </c>
      <c r="O466" s="19">
        <v>0.35</v>
      </c>
      <c r="P466" s="16">
        <v>120</v>
      </c>
      <c r="Q466" s="16">
        <v>170</v>
      </c>
      <c r="R466" s="16">
        <v>8</v>
      </c>
      <c r="S466" s="18" t="s">
        <v>190</v>
      </c>
      <c r="T466" s="18" t="s">
        <v>451</v>
      </c>
      <c r="U466" s="17">
        <v>2000</v>
      </c>
      <c r="V466" s="18" t="s">
        <v>44</v>
      </c>
      <c r="W466" s="18" t="s">
        <v>184</v>
      </c>
      <c r="X466" s="16">
        <v>10</v>
      </c>
      <c r="Y466" s="43" t="str">
        <f>HYPERLINK("https://api-enni.alpina.ru/FilePrivilegesApproval/141","https://api-enni.alpina.ru/FilePrivilegesApproval/141")</f>
        <v>https://api-enni.alpina.ru/FilePrivilegesApproval/141</v>
      </c>
      <c r="Z466" s="18"/>
      <c r="AS466" s="1">
        <f>IF($A466&lt;&gt;0,1,0)</f>
        <v>0</v>
      </c>
      <c r="AT466" s="1">
        <f>$A466*$B466</f>
        <v>0</v>
      </c>
      <c r="AU466" s="1">
        <f>$A466*$O466</f>
        <v>0</v>
      </c>
      <c r="AV466" s="1">
        <f>IF($R466=0,0,INT($A466/$R466))</f>
        <v>0</v>
      </c>
      <c r="AW466" s="1">
        <f>$A466-$AV466*$R466</f>
        <v>0</v>
      </c>
    </row>
    <row r="467" ht="24.95" customHeight="1" outlineLevel="3" s="1" customFormat="1">
      <c r="A467" s="15"/>
      <c r="B467" s="16">
        <v>390</v>
      </c>
      <c r="C467" s="16">
        <v>624</v>
      </c>
      <c r="D467" s="16">
        <v>33892</v>
      </c>
      <c r="E467" s="18"/>
      <c r="F467" s="18" t="s">
        <v>1575</v>
      </c>
      <c r="G467" s="18" t="s">
        <v>1576</v>
      </c>
      <c r="H467" s="18" t="s">
        <v>86</v>
      </c>
      <c r="I467" s="18" t="s">
        <v>65</v>
      </c>
      <c r="J467" s="16">
        <v>2025</v>
      </c>
      <c r="K467" s="18" t="s">
        <v>1577</v>
      </c>
      <c r="L467" s="16">
        <v>9785006305960</v>
      </c>
      <c r="M467" s="18" t="s">
        <v>1578</v>
      </c>
      <c r="N467" s="16">
        <v>266</v>
      </c>
      <c r="O467" s="19">
        <v>0.18</v>
      </c>
      <c r="P467" s="16">
        <v>120</v>
      </c>
      <c r="Q467" s="16">
        <v>170</v>
      </c>
      <c r="R467" s="16">
        <v>20</v>
      </c>
      <c r="S467" s="18" t="s">
        <v>190</v>
      </c>
      <c r="T467" s="18" t="s">
        <v>959</v>
      </c>
      <c r="U467" s="17">
        <v>2000</v>
      </c>
      <c r="V467" s="18" t="s">
        <v>44</v>
      </c>
      <c r="W467" s="18" t="s">
        <v>69</v>
      </c>
      <c r="X467" s="16">
        <v>10</v>
      </c>
      <c r="Y467" s="43" t="str">
        <f>HYPERLINK("https://api-enni.alpina.ru/FilePrivilegesApproval/883","https://api-enni.alpina.ru/FilePrivilegesApproval/883")</f>
        <v>https://api-enni.alpina.ru/FilePrivilegesApproval/883</v>
      </c>
      <c r="Z467" s="18"/>
      <c r="AS467" s="1">
        <f>IF($A467&lt;&gt;0,1,0)</f>
        <v>0</v>
      </c>
      <c r="AT467" s="1">
        <f>$A467*$B467</f>
        <v>0</v>
      </c>
      <c r="AU467" s="1">
        <f>$A467*$O467</f>
        <v>0</v>
      </c>
      <c r="AV467" s="1">
        <f>IF($R467=0,0,INT($A467/$R467))</f>
        <v>0</v>
      </c>
      <c r="AW467" s="1">
        <f>$A467-$AV467*$R467</f>
        <v>0</v>
      </c>
    </row>
    <row r="468" ht="24.95" customHeight="1" outlineLevel="3" s="1" customFormat="1">
      <c r="A468" s="15"/>
      <c r="B468" s="16">
        <v>590</v>
      </c>
      <c r="C468" s="16">
        <v>885</v>
      </c>
      <c r="D468" s="16">
        <v>32031</v>
      </c>
      <c r="E468" s="18"/>
      <c r="F468" s="18" t="s">
        <v>1555</v>
      </c>
      <c r="G468" s="18" t="s">
        <v>1579</v>
      </c>
      <c r="H468" s="18" t="s">
        <v>86</v>
      </c>
      <c r="I468" s="18"/>
      <c r="J468" s="16">
        <v>2025</v>
      </c>
      <c r="K468" s="18" t="s">
        <v>1580</v>
      </c>
      <c r="L468" s="16">
        <v>9785006300927</v>
      </c>
      <c r="M468" s="18" t="s">
        <v>1581</v>
      </c>
      <c r="N468" s="16">
        <v>297</v>
      </c>
      <c r="O468" s="19">
        <v>0.56</v>
      </c>
      <c r="P468" s="16">
        <v>150</v>
      </c>
      <c r="Q468" s="16">
        <v>220</v>
      </c>
      <c r="R468" s="16">
        <v>10</v>
      </c>
      <c r="S468" s="18" t="s">
        <v>43</v>
      </c>
      <c r="T468" s="18"/>
      <c r="U468" s="17">
        <v>2000</v>
      </c>
      <c r="V468" s="18" t="s">
        <v>77</v>
      </c>
      <c r="W468" s="18" t="s">
        <v>69</v>
      </c>
      <c r="X468" s="16">
        <v>10</v>
      </c>
      <c r="Y468" s="43" t="str">
        <f>HYPERLINK("https://api-enni.alpina.ru/FilePrivilegesApproval/865","https://api-enni.alpina.ru/FilePrivilegesApproval/865")</f>
        <v>https://api-enni.alpina.ru/FilePrivilegesApproval/865</v>
      </c>
      <c r="Z468" s="18"/>
      <c r="AS468" s="1">
        <f>IF($A468&lt;&gt;0,1,0)</f>
        <v>0</v>
      </c>
      <c r="AT468" s="1">
        <f>$A468*$B468</f>
        <v>0</v>
      </c>
      <c r="AU468" s="1">
        <f>$A468*$O468</f>
        <v>0</v>
      </c>
      <c r="AV468" s="1">
        <f>IF($R468=0,0,INT($A468/$R468))</f>
        <v>0</v>
      </c>
      <c r="AW468" s="1">
        <f>$A468-$AV468*$R468</f>
        <v>0</v>
      </c>
    </row>
    <row r="469" ht="24.95" customHeight="1" outlineLevel="3" s="1" customFormat="1">
      <c r="A469" s="15"/>
      <c r="B469" s="16">
        <v>790</v>
      </c>
      <c r="C469" s="17">
        <v>1146</v>
      </c>
      <c r="D469" s="16">
        <v>36170</v>
      </c>
      <c r="E469" s="18"/>
      <c r="F469" s="18" t="s">
        <v>1582</v>
      </c>
      <c r="G469" s="18" t="s">
        <v>1583</v>
      </c>
      <c r="H469" s="18" t="s">
        <v>86</v>
      </c>
      <c r="I469" s="18" t="s">
        <v>74</v>
      </c>
      <c r="J469" s="16">
        <v>2025</v>
      </c>
      <c r="K469" s="18" t="s">
        <v>1584</v>
      </c>
      <c r="L469" s="16">
        <v>9785006316324</v>
      </c>
      <c r="M469" s="18" t="s">
        <v>1585</v>
      </c>
      <c r="N469" s="16">
        <v>304</v>
      </c>
      <c r="O469" s="19">
        <v>0.6</v>
      </c>
      <c r="P469" s="16">
        <v>170</v>
      </c>
      <c r="Q469" s="16">
        <v>240</v>
      </c>
      <c r="R469" s="16">
        <v>8</v>
      </c>
      <c r="S469" s="18" t="s">
        <v>123</v>
      </c>
      <c r="T469" s="18"/>
      <c r="U469" s="17">
        <v>1000</v>
      </c>
      <c r="V469" s="18" t="s">
        <v>77</v>
      </c>
      <c r="W469" s="18" t="s">
        <v>184</v>
      </c>
      <c r="X469" s="16">
        <v>10</v>
      </c>
      <c r="Y469" s="43" t="str">
        <f>HYPERLINK("https://api-enni.alpina.ru/FilePrivilegesApproval/2","https://api-enni.alpina.ru/FilePrivilegesApproval/2")</f>
        <v>https://api-enni.alpina.ru/FilePrivilegesApproval/2</v>
      </c>
      <c r="Z469" s="18"/>
      <c r="AS469" s="1">
        <f>IF($A469&lt;&gt;0,1,0)</f>
        <v>0</v>
      </c>
      <c r="AT469" s="1">
        <f>$A469*$B469</f>
        <v>0</v>
      </c>
      <c r="AU469" s="1">
        <f>$A469*$O469</f>
        <v>0</v>
      </c>
      <c r="AV469" s="1">
        <f>IF($R469=0,0,INT($A469/$R469))</f>
        <v>0</v>
      </c>
      <c r="AW469" s="1">
        <f>$A469-$AV469*$R469</f>
        <v>0</v>
      </c>
    </row>
    <row r="470" ht="24.95" customHeight="1" outlineLevel="3" s="1" customFormat="1">
      <c r="A470" s="15"/>
      <c r="B470" s="16">
        <v>640</v>
      </c>
      <c r="C470" s="16">
        <v>960</v>
      </c>
      <c r="D470" s="16">
        <v>30523</v>
      </c>
      <c r="E470" s="18"/>
      <c r="F470" s="18" t="s">
        <v>1586</v>
      </c>
      <c r="G470" s="18" t="s">
        <v>1587</v>
      </c>
      <c r="H470" s="18" t="s">
        <v>86</v>
      </c>
      <c r="I470" s="18" t="s">
        <v>40</v>
      </c>
      <c r="J470" s="16">
        <v>2025</v>
      </c>
      <c r="K470" s="18" t="s">
        <v>1588</v>
      </c>
      <c r="L470" s="16">
        <v>9785961495720</v>
      </c>
      <c r="M470" s="18" t="s">
        <v>1589</v>
      </c>
      <c r="N470" s="16">
        <v>408</v>
      </c>
      <c r="O470" s="19">
        <v>0.48</v>
      </c>
      <c r="P470" s="16">
        <v>140</v>
      </c>
      <c r="Q470" s="16">
        <v>210</v>
      </c>
      <c r="R470" s="16">
        <v>10</v>
      </c>
      <c r="S470" s="18" t="s">
        <v>43</v>
      </c>
      <c r="T470" s="18"/>
      <c r="U470" s="17">
        <v>2000</v>
      </c>
      <c r="V470" s="18" t="s">
        <v>44</v>
      </c>
      <c r="W470" s="18" t="s">
        <v>69</v>
      </c>
      <c r="X470" s="16">
        <v>10</v>
      </c>
      <c r="Y470" s="43" t="str">
        <f>HYPERLINK("https://api-enni.alpina.ru/FilePrivilegesApproval/755","https://api-enni.alpina.ru/FilePrivilegesApproval/755")</f>
        <v>https://api-enni.alpina.ru/FilePrivilegesApproval/755</v>
      </c>
      <c r="Z470" s="18"/>
      <c r="AS470" s="1">
        <f>IF($A470&lt;&gt;0,1,0)</f>
        <v>0</v>
      </c>
      <c r="AT470" s="1">
        <f>$A470*$B470</f>
        <v>0</v>
      </c>
      <c r="AU470" s="1">
        <f>$A470*$O470</f>
        <v>0</v>
      </c>
      <c r="AV470" s="1">
        <f>IF($R470=0,0,INT($A470/$R470))</f>
        <v>0</v>
      </c>
      <c r="AW470" s="1">
        <f>$A470-$AV470*$R470</f>
        <v>0</v>
      </c>
    </row>
    <row r="471" ht="24.95" customHeight="1" outlineLevel="3" s="1" customFormat="1">
      <c r="A471" s="15"/>
      <c r="B471" s="16">
        <v>590</v>
      </c>
      <c r="C471" s="16">
        <v>885</v>
      </c>
      <c r="D471" s="16">
        <v>30522</v>
      </c>
      <c r="E471" s="18"/>
      <c r="F471" s="18" t="s">
        <v>1586</v>
      </c>
      <c r="G471" s="18" t="s">
        <v>1590</v>
      </c>
      <c r="H471" s="18" t="s">
        <v>86</v>
      </c>
      <c r="I471" s="18" t="s">
        <v>40</v>
      </c>
      <c r="J471" s="16">
        <v>2025</v>
      </c>
      <c r="K471" s="18" t="s">
        <v>1591</v>
      </c>
      <c r="L471" s="16">
        <v>9785961495713</v>
      </c>
      <c r="M471" s="18" t="s">
        <v>1592</v>
      </c>
      <c r="N471" s="16">
        <v>262</v>
      </c>
      <c r="O471" s="19">
        <v>0.41</v>
      </c>
      <c r="P471" s="16">
        <v>140</v>
      </c>
      <c r="Q471" s="16">
        <v>210</v>
      </c>
      <c r="R471" s="16">
        <v>10</v>
      </c>
      <c r="S471" s="18" t="s">
        <v>43</v>
      </c>
      <c r="T471" s="18"/>
      <c r="U471" s="17">
        <v>1500</v>
      </c>
      <c r="V471" s="18" t="s">
        <v>44</v>
      </c>
      <c r="W471" s="18" t="s">
        <v>91</v>
      </c>
      <c r="X471" s="16">
        <v>10</v>
      </c>
      <c r="Y471" s="43" t="str">
        <f>HYPERLINK("https://api-enni.alpina.ru/FilePrivilegesApproval/809","https://api-enni.alpina.ru/FilePrivilegesApproval/809")</f>
        <v>https://api-enni.alpina.ru/FilePrivilegesApproval/809</v>
      </c>
      <c r="Z471" s="18"/>
      <c r="AS471" s="1">
        <f>IF($A471&lt;&gt;0,1,0)</f>
        <v>0</v>
      </c>
      <c r="AT471" s="1">
        <f>$A471*$B471</f>
        <v>0</v>
      </c>
      <c r="AU471" s="1">
        <f>$A471*$O471</f>
        <v>0</v>
      </c>
      <c r="AV471" s="1">
        <f>IF($R471=0,0,INT($A471/$R471))</f>
        <v>0</v>
      </c>
      <c r="AW471" s="1">
        <f>$A471-$AV471*$R471</f>
        <v>0</v>
      </c>
    </row>
    <row r="472" ht="24.95" customHeight="1" outlineLevel="3" s="1" customFormat="1">
      <c r="A472" s="15"/>
      <c r="B472" s="16">
        <v>590</v>
      </c>
      <c r="C472" s="16">
        <v>885</v>
      </c>
      <c r="D472" s="16">
        <v>11456</v>
      </c>
      <c r="E472" s="18"/>
      <c r="F472" s="18" t="s">
        <v>758</v>
      </c>
      <c r="G472" s="18" t="s">
        <v>759</v>
      </c>
      <c r="H472" s="18" t="s">
        <v>86</v>
      </c>
      <c r="I472" s="18" t="s">
        <v>74</v>
      </c>
      <c r="J472" s="16">
        <v>2025</v>
      </c>
      <c r="K472" s="18" t="s">
        <v>760</v>
      </c>
      <c r="L472" s="16">
        <v>9785961432121</v>
      </c>
      <c r="M472" s="18" t="s">
        <v>761</v>
      </c>
      <c r="N472" s="16">
        <v>300</v>
      </c>
      <c r="O472" s="19">
        <v>0.44</v>
      </c>
      <c r="P472" s="16">
        <v>140</v>
      </c>
      <c r="Q472" s="16">
        <v>200</v>
      </c>
      <c r="R472" s="16">
        <v>8</v>
      </c>
      <c r="S472" s="18" t="s">
        <v>43</v>
      </c>
      <c r="T472" s="18"/>
      <c r="U472" s="17">
        <v>15000</v>
      </c>
      <c r="V472" s="18" t="s">
        <v>44</v>
      </c>
      <c r="W472" s="18" t="s">
        <v>69</v>
      </c>
      <c r="X472" s="16">
        <v>10</v>
      </c>
      <c r="Y472" s="43" t="str">
        <f>HYPERLINK("https://api-enni.alpina.ru/FilePrivilegesApproval/51","https://api-enni.alpina.ru/FilePrivilegesApproval/51")</f>
        <v>https://api-enni.alpina.ru/FilePrivilegesApproval/51</v>
      </c>
      <c r="Z472" s="18"/>
      <c r="AS472" s="1">
        <f>IF($A472&lt;&gt;0,1,0)</f>
        <v>0</v>
      </c>
      <c r="AT472" s="1">
        <f>$A472*$B472</f>
        <v>0</v>
      </c>
      <c r="AU472" s="1">
        <f>$A472*$O472</f>
        <v>0</v>
      </c>
      <c r="AV472" s="1">
        <f>IF($R472=0,0,INT($A472/$R472))</f>
        <v>0</v>
      </c>
      <c r="AW472" s="1">
        <f>$A472-$AV472*$R472</f>
        <v>0</v>
      </c>
    </row>
    <row r="473" ht="24.95" customHeight="1" outlineLevel="3" s="1" customFormat="1">
      <c r="A473" s="15"/>
      <c r="B473" s="16">
        <v>390</v>
      </c>
      <c r="C473" s="16">
        <v>624</v>
      </c>
      <c r="D473" s="16">
        <v>30503</v>
      </c>
      <c r="E473" s="18"/>
      <c r="F473" s="18" t="s">
        <v>1593</v>
      </c>
      <c r="G473" s="18" t="s">
        <v>1594</v>
      </c>
      <c r="H473" s="18" t="s">
        <v>86</v>
      </c>
      <c r="I473" s="18"/>
      <c r="J473" s="16">
        <v>2025</v>
      </c>
      <c r="K473" s="18" t="s">
        <v>1595</v>
      </c>
      <c r="L473" s="16">
        <v>9785961495652</v>
      </c>
      <c r="M473" s="18" t="s">
        <v>1596</v>
      </c>
      <c r="N473" s="16">
        <v>316</v>
      </c>
      <c r="O473" s="19">
        <v>0.21</v>
      </c>
      <c r="P473" s="16">
        <v>120</v>
      </c>
      <c r="Q473" s="16">
        <v>170</v>
      </c>
      <c r="R473" s="16">
        <v>12</v>
      </c>
      <c r="S473" s="18" t="s">
        <v>190</v>
      </c>
      <c r="T473" s="18" t="s">
        <v>1597</v>
      </c>
      <c r="U473" s="17">
        <v>2000</v>
      </c>
      <c r="V473" s="18" t="s">
        <v>44</v>
      </c>
      <c r="W473" s="18" t="s">
        <v>45</v>
      </c>
      <c r="X473" s="16">
        <v>10</v>
      </c>
      <c r="Y473" s="43" t="str">
        <f>HYPERLINK("https://api-enni.alpina.ru/FilePrivilegesApproval/158","https://api-enni.alpina.ru/FilePrivilegesApproval/158")</f>
        <v>https://api-enni.alpina.ru/FilePrivilegesApproval/158</v>
      </c>
      <c r="Z473" s="18"/>
      <c r="AS473" s="1">
        <f>IF($A473&lt;&gt;0,1,0)</f>
        <v>0</v>
      </c>
      <c r="AT473" s="1">
        <f>$A473*$B473</f>
        <v>0</v>
      </c>
      <c r="AU473" s="1">
        <f>$A473*$O473</f>
        <v>0</v>
      </c>
      <c r="AV473" s="1">
        <f>IF($R473=0,0,INT($A473/$R473))</f>
        <v>0</v>
      </c>
      <c r="AW473" s="1">
        <f>$A473-$AV473*$R473</f>
        <v>0</v>
      </c>
    </row>
    <row r="474" ht="24.95" customHeight="1" outlineLevel="3" s="1" customFormat="1">
      <c r="A474" s="15"/>
      <c r="B474" s="16">
        <v>540</v>
      </c>
      <c r="C474" s="16">
        <v>837</v>
      </c>
      <c r="D474" s="16">
        <v>32050</v>
      </c>
      <c r="E474" s="18"/>
      <c r="F474" s="18" t="s">
        <v>1598</v>
      </c>
      <c r="G474" s="18" t="s">
        <v>1599</v>
      </c>
      <c r="H474" s="18" t="s">
        <v>86</v>
      </c>
      <c r="I474" s="18" t="s">
        <v>87</v>
      </c>
      <c r="J474" s="16">
        <v>2025</v>
      </c>
      <c r="K474" s="18" t="s">
        <v>1600</v>
      </c>
      <c r="L474" s="16">
        <v>9785006301047</v>
      </c>
      <c r="M474" s="18" t="s">
        <v>1601</v>
      </c>
      <c r="N474" s="16">
        <v>204</v>
      </c>
      <c r="O474" s="19">
        <v>0.31</v>
      </c>
      <c r="P474" s="16">
        <v>140</v>
      </c>
      <c r="Q474" s="16">
        <v>210</v>
      </c>
      <c r="R474" s="16">
        <v>18</v>
      </c>
      <c r="S474" s="18" t="s">
        <v>90</v>
      </c>
      <c r="T474" s="18"/>
      <c r="U474" s="17">
        <v>2000</v>
      </c>
      <c r="V474" s="18" t="s">
        <v>77</v>
      </c>
      <c r="W474" s="18" t="s">
        <v>69</v>
      </c>
      <c r="X474" s="16">
        <v>10</v>
      </c>
      <c r="Y474" s="43" t="str">
        <f>HYPERLINK("https://api-enni.alpina.ru/FilePrivilegesApproval/953","https://api-enni.alpina.ru/FilePrivilegesApproval/953")</f>
        <v>https://api-enni.alpina.ru/FilePrivilegesApproval/953</v>
      </c>
      <c r="Z474" s="18"/>
      <c r="AS474" s="1">
        <f>IF($A474&lt;&gt;0,1,0)</f>
        <v>0</v>
      </c>
      <c r="AT474" s="1">
        <f>$A474*$B474</f>
        <v>0</v>
      </c>
      <c r="AU474" s="1">
        <f>$A474*$O474</f>
        <v>0</v>
      </c>
      <c r="AV474" s="1">
        <f>IF($R474=0,0,INT($A474/$R474))</f>
        <v>0</v>
      </c>
      <c r="AW474" s="1">
        <f>$A474-$AV474*$R474</f>
        <v>0</v>
      </c>
    </row>
    <row r="475" ht="24.95" customHeight="1" outlineLevel="3" s="1" customFormat="1">
      <c r="A475" s="15"/>
      <c r="B475" s="16">
        <v>890</v>
      </c>
      <c r="C475" s="17">
        <v>1246</v>
      </c>
      <c r="D475" s="16">
        <v>30017</v>
      </c>
      <c r="E475" s="18"/>
      <c r="F475" s="18" t="s">
        <v>1602</v>
      </c>
      <c r="G475" s="18" t="s">
        <v>1603</v>
      </c>
      <c r="H475" s="18" t="s">
        <v>86</v>
      </c>
      <c r="I475" s="18"/>
      <c r="J475" s="16">
        <v>2025</v>
      </c>
      <c r="K475" s="18" t="s">
        <v>1604</v>
      </c>
      <c r="L475" s="16">
        <v>9785961494570</v>
      </c>
      <c r="M475" s="18" t="s">
        <v>1605</v>
      </c>
      <c r="N475" s="16">
        <v>424</v>
      </c>
      <c r="O475" s="19">
        <v>0.65</v>
      </c>
      <c r="P475" s="16">
        <v>140</v>
      </c>
      <c r="Q475" s="16">
        <v>210</v>
      </c>
      <c r="R475" s="16">
        <v>8</v>
      </c>
      <c r="S475" s="18" t="s">
        <v>43</v>
      </c>
      <c r="T475" s="18"/>
      <c r="U475" s="17">
        <v>3000</v>
      </c>
      <c r="V475" s="18" t="s">
        <v>44</v>
      </c>
      <c r="W475" s="18" t="s">
        <v>91</v>
      </c>
      <c r="X475" s="16">
        <v>10</v>
      </c>
      <c r="Y475" s="43" t="str">
        <f>HYPERLINK("https://api-enni.alpina.ru/FilePrivilegesApproval/746","https://api-enni.alpina.ru/FilePrivilegesApproval/746")</f>
        <v>https://api-enni.alpina.ru/FilePrivilegesApproval/746</v>
      </c>
      <c r="Z475" s="18"/>
      <c r="AS475" s="1">
        <f>IF($A475&lt;&gt;0,1,0)</f>
        <v>0</v>
      </c>
      <c r="AT475" s="1">
        <f>$A475*$B475</f>
        <v>0</v>
      </c>
      <c r="AU475" s="1">
        <f>$A475*$O475</f>
        <v>0</v>
      </c>
      <c r="AV475" s="1">
        <f>IF($R475=0,0,INT($A475/$R475))</f>
        <v>0</v>
      </c>
      <c r="AW475" s="1">
        <f>$A475-$AV475*$R475</f>
        <v>0</v>
      </c>
    </row>
    <row r="476" ht="24.95" customHeight="1" outlineLevel="3" s="1" customFormat="1">
      <c r="A476" s="15"/>
      <c r="B476" s="16">
        <v>390</v>
      </c>
      <c r="C476" s="16">
        <v>624</v>
      </c>
      <c r="D476" s="16">
        <v>30438</v>
      </c>
      <c r="E476" s="18"/>
      <c r="F476" s="18" t="s">
        <v>1606</v>
      </c>
      <c r="G476" s="18" t="s">
        <v>1607</v>
      </c>
      <c r="H476" s="18" t="s">
        <v>86</v>
      </c>
      <c r="I476" s="18" t="s">
        <v>74</v>
      </c>
      <c r="J476" s="16">
        <v>2024</v>
      </c>
      <c r="K476" s="18" t="s">
        <v>1608</v>
      </c>
      <c r="L476" s="16">
        <v>9785961495515</v>
      </c>
      <c r="M476" s="18" t="s">
        <v>1609</v>
      </c>
      <c r="N476" s="16">
        <v>416</v>
      </c>
      <c r="O476" s="19">
        <v>0.28</v>
      </c>
      <c r="P476" s="16">
        <v>120</v>
      </c>
      <c r="Q476" s="16">
        <v>170</v>
      </c>
      <c r="R476" s="16">
        <v>14</v>
      </c>
      <c r="S476" s="18" t="s">
        <v>190</v>
      </c>
      <c r="T476" s="18" t="s">
        <v>451</v>
      </c>
      <c r="U476" s="17">
        <v>2000</v>
      </c>
      <c r="V476" s="18" t="s">
        <v>44</v>
      </c>
      <c r="W476" s="18" t="s">
        <v>184</v>
      </c>
      <c r="X476" s="16">
        <v>10</v>
      </c>
      <c r="Y476" s="43" t="str">
        <f>HYPERLINK("https://api-enni.alpina.ru/FilePrivilegesApproval/405","https://api-enni.alpina.ru/FilePrivilegesApproval/405")</f>
        <v>https://api-enni.alpina.ru/FilePrivilegesApproval/405</v>
      </c>
      <c r="Z476" s="18"/>
      <c r="AS476" s="1">
        <f>IF($A476&lt;&gt;0,1,0)</f>
        <v>0</v>
      </c>
      <c r="AT476" s="1">
        <f>$A476*$B476</f>
        <v>0</v>
      </c>
      <c r="AU476" s="1">
        <f>$A476*$O476</f>
        <v>0</v>
      </c>
      <c r="AV476" s="1">
        <f>IF($R476=0,0,INT($A476/$R476))</f>
        <v>0</v>
      </c>
      <c r="AW476" s="1">
        <f>$A476-$AV476*$R476</f>
        <v>0</v>
      </c>
    </row>
    <row r="477" ht="24.95" customHeight="1" outlineLevel="3" s="1" customFormat="1">
      <c r="A477" s="15"/>
      <c r="B477" s="16">
        <v>540</v>
      </c>
      <c r="C477" s="16">
        <v>837</v>
      </c>
      <c r="D477" s="16">
        <v>29904</v>
      </c>
      <c r="E477" s="18"/>
      <c r="F477" s="18" t="s">
        <v>1610</v>
      </c>
      <c r="G477" s="18" t="s">
        <v>1611</v>
      </c>
      <c r="H477" s="18" t="s">
        <v>86</v>
      </c>
      <c r="I477" s="18"/>
      <c r="J477" s="16">
        <v>2026</v>
      </c>
      <c r="K477" s="18" t="s">
        <v>1612</v>
      </c>
      <c r="L477" s="16">
        <v>9785961494396</v>
      </c>
      <c r="M477" s="18" t="s">
        <v>1613</v>
      </c>
      <c r="N477" s="16">
        <v>264</v>
      </c>
      <c r="O477" s="19">
        <v>0.34</v>
      </c>
      <c r="P477" s="16">
        <v>150</v>
      </c>
      <c r="Q477" s="16">
        <v>210</v>
      </c>
      <c r="R477" s="16">
        <v>12</v>
      </c>
      <c r="S477" s="18" t="s">
        <v>43</v>
      </c>
      <c r="T477" s="18"/>
      <c r="U477" s="17">
        <v>3000</v>
      </c>
      <c r="V477" s="18" t="s">
        <v>77</v>
      </c>
      <c r="W477" s="18" t="s">
        <v>69</v>
      </c>
      <c r="X477" s="16">
        <v>10</v>
      </c>
      <c r="Y477" s="43" t="str">
        <f>HYPERLINK("https://api-enni.alpina.ru/FilePrivilegesApproval/1018","https://api-enni.alpina.ru/FilePrivilegesApproval/1018")</f>
        <v>https://api-enni.alpina.ru/FilePrivilegesApproval/1018</v>
      </c>
      <c r="Z477" s="18"/>
      <c r="AS477" s="1">
        <f>IF($A477&lt;&gt;0,1,0)</f>
        <v>0</v>
      </c>
      <c r="AT477" s="1">
        <f>$A477*$B477</f>
        <v>0</v>
      </c>
      <c r="AU477" s="1">
        <f>$A477*$O477</f>
        <v>0</v>
      </c>
      <c r="AV477" s="1">
        <f>IF($R477=0,0,INT($A477/$R477))</f>
        <v>0</v>
      </c>
      <c r="AW477" s="1">
        <f>$A477-$AV477*$R477</f>
        <v>0</v>
      </c>
    </row>
    <row r="478" ht="24.95" customHeight="1" outlineLevel="3" s="1" customFormat="1">
      <c r="A478" s="15"/>
      <c r="B478" s="16">
        <v>550</v>
      </c>
      <c r="C478" s="16">
        <v>852</v>
      </c>
      <c r="D478" s="16">
        <v>31676</v>
      </c>
      <c r="E478" s="18"/>
      <c r="F478" s="18" t="s">
        <v>1614</v>
      </c>
      <c r="G478" s="18" t="s">
        <v>1615</v>
      </c>
      <c r="H478" s="18" t="s">
        <v>86</v>
      </c>
      <c r="I478" s="18" t="s">
        <v>74</v>
      </c>
      <c r="J478" s="16">
        <v>2025</v>
      </c>
      <c r="K478" s="18" t="s">
        <v>1616</v>
      </c>
      <c r="L478" s="16">
        <v>9785961499889</v>
      </c>
      <c r="M478" s="18" t="s">
        <v>1617</v>
      </c>
      <c r="N478" s="16">
        <v>252</v>
      </c>
      <c r="O478" s="19">
        <v>0.63</v>
      </c>
      <c r="P478" s="16">
        <v>170</v>
      </c>
      <c r="Q478" s="16">
        <v>240</v>
      </c>
      <c r="R478" s="16">
        <v>8</v>
      </c>
      <c r="S478" s="18" t="s">
        <v>123</v>
      </c>
      <c r="T478" s="18" t="s">
        <v>1196</v>
      </c>
      <c r="U478" s="17">
        <v>2000</v>
      </c>
      <c r="V478" s="18" t="s">
        <v>77</v>
      </c>
      <c r="W478" s="18" t="s">
        <v>91</v>
      </c>
      <c r="X478" s="16">
        <v>10</v>
      </c>
      <c r="Y478" s="43" t="str">
        <f>HYPERLINK("https://api-enni.alpina.ru/FilePrivilegesApproval/782","https://api-enni.alpina.ru/FilePrivilegesApproval/782")</f>
        <v>https://api-enni.alpina.ru/FilePrivilegesApproval/782</v>
      </c>
      <c r="Z478" s="18"/>
      <c r="AS478" s="1">
        <f>IF($A478&lt;&gt;0,1,0)</f>
        <v>0</v>
      </c>
      <c r="AT478" s="1">
        <f>$A478*$B478</f>
        <v>0</v>
      </c>
      <c r="AU478" s="1">
        <f>$A478*$O478</f>
        <v>0</v>
      </c>
      <c r="AV478" s="1">
        <f>IF($R478=0,0,INT($A478/$R478))</f>
        <v>0</v>
      </c>
      <c r="AW478" s="1">
        <f>$A478-$AV478*$R478</f>
        <v>0</v>
      </c>
    </row>
    <row r="479" ht="24.95" customHeight="1" outlineLevel="3" s="1" customFormat="1">
      <c r="A479" s="15"/>
      <c r="B479" s="16">
        <v>320</v>
      </c>
      <c r="C479" s="16">
        <v>512</v>
      </c>
      <c r="D479" s="16">
        <v>31054</v>
      </c>
      <c r="E479" s="18"/>
      <c r="F479" s="18" t="s">
        <v>1618</v>
      </c>
      <c r="G479" s="18" t="s">
        <v>1619</v>
      </c>
      <c r="H479" s="18" t="s">
        <v>73</v>
      </c>
      <c r="I479" s="18" t="s">
        <v>74</v>
      </c>
      <c r="J479" s="16">
        <v>2021</v>
      </c>
      <c r="K479" s="18" t="s">
        <v>1620</v>
      </c>
      <c r="L479" s="16">
        <v>9785002233274</v>
      </c>
      <c r="M479" s="18" t="s">
        <v>1621</v>
      </c>
      <c r="N479" s="16">
        <v>448</v>
      </c>
      <c r="O479" s="19">
        <v>0.29</v>
      </c>
      <c r="P479" s="16">
        <v>120</v>
      </c>
      <c r="Q479" s="16">
        <v>170</v>
      </c>
      <c r="R479" s="16">
        <v>14</v>
      </c>
      <c r="S479" s="18" t="s">
        <v>190</v>
      </c>
      <c r="T479" s="18" t="s">
        <v>1597</v>
      </c>
      <c r="U479" s="17">
        <v>2000</v>
      </c>
      <c r="V479" s="18" t="s">
        <v>44</v>
      </c>
      <c r="W479" s="18" t="s">
        <v>184</v>
      </c>
      <c r="X479" s="16">
        <v>10</v>
      </c>
      <c r="Y479" s="43" t="str">
        <f>HYPERLINK("https://api-enni.alpina.ru/FilePrivilegesApproval/149","https://api-enni.alpina.ru/FilePrivilegesApproval/149")</f>
        <v>https://api-enni.alpina.ru/FilePrivilegesApproval/149</v>
      </c>
      <c r="Z479" s="18"/>
      <c r="AS479" s="1">
        <f>IF($A479&lt;&gt;0,1,0)</f>
        <v>0</v>
      </c>
      <c r="AT479" s="1">
        <f>$A479*$B479</f>
        <v>0</v>
      </c>
      <c r="AU479" s="1">
        <f>$A479*$O479</f>
        <v>0</v>
      </c>
      <c r="AV479" s="1">
        <f>IF($R479=0,0,INT($A479/$R479))</f>
        <v>0</v>
      </c>
      <c r="AW479" s="1">
        <f>$A479-$AV479*$R479</f>
        <v>0</v>
      </c>
    </row>
    <row r="480" ht="24.95" customHeight="1" outlineLevel="3" s="1" customFormat="1">
      <c r="A480" s="15"/>
      <c r="B480" s="16">
        <v>550</v>
      </c>
      <c r="C480" s="16">
        <v>852</v>
      </c>
      <c r="D480" s="16">
        <v>32859</v>
      </c>
      <c r="E480" s="18"/>
      <c r="F480" s="18" t="s">
        <v>1622</v>
      </c>
      <c r="G480" s="18" t="s">
        <v>1623</v>
      </c>
      <c r="H480" s="18" t="s">
        <v>86</v>
      </c>
      <c r="I480" s="18" t="s">
        <v>74</v>
      </c>
      <c r="J480" s="16">
        <v>2025</v>
      </c>
      <c r="K480" s="18" t="s">
        <v>1624</v>
      </c>
      <c r="L480" s="16">
        <v>9785006303270</v>
      </c>
      <c r="M480" s="18" t="s">
        <v>1625</v>
      </c>
      <c r="N480" s="16">
        <v>252</v>
      </c>
      <c r="O480" s="19">
        <v>0.63</v>
      </c>
      <c r="P480" s="16">
        <v>170</v>
      </c>
      <c r="Q480" s="16">
        <v>240</v>
      </c>
      <c r="R480" s="16">
        <v>6</v>
      </c>
      <c r="S480" s="18" t="s">
        <v>123</v>
      </c>
      <c r="T480" s="18" t="s">
        <v>1196</v>
      </c>
      <c r="U480" s="17">
        <v>2000</v>
      </c>
      <c r="V480" s="18" t="s">
        <v>77</v>
      </c>
      <c r="W480" s="18" t="s">
        <v>91</v>
      </c>
      <c r="X480" s="16">
        <v>10</v>
      </c>
      <c r="Y480" s="43" t="str">
        <f>HYPERLINK("https://api-enni.alpina.ru/FilePrivilegesApproval/965","https://api-enni.alpina.ru/FilePrivilegesApproval/965")</f>
        <v>https://api-enni.alpina.ru/FilePrivilegesApproval/965</v>
      </c>
      <c r="Z480" s="18"/>
      <c r="AS480" s="1">
        <f>IF($A480&lt;&gt;0,1,0)</f>
        <v>0</v>
      </c>
      <c r="AT480" s="1">
        <f>$A480*$B480</f>
        <v>0</v>
      </c>
      <c r="AU480" s="1">
        <f>$A480*$O480</f>
        <v>0</v>
      </c>
      <c r="AV480" s="1">
        <f>IF($R480=0,0,INT($A480/$R480))</f>
        <v>0</v>
      </c>
      <c r="AW480" s="1">
        <f>$A480-$AV480*$R480</f>
        <v>0</v>
      </c>
    </row>
    <row r="481" ht="24.95" customHeight="1" outlineLevel="3" s="1" customFormat="1">
      <c r="A481" s="25"/>
      <c r="B481" s="26">
        <v>590</v>
      </c>
      <c r="C481" s="26">
        <v>885</v>
      </c>
      <c r="D481" s="26">
        <v>18714</v>
      </c>
      <c r="E481" s="27"/>
      <c r="F481" s="27" t="s">
        <v>1626</v>
      </c>
      <c r="G481" s="27" t="s">
        <v>1627</v>
      </c>
      <c r="H481" s="27" t="s">
        <v>86</v>
      </c>
      <c r="I481" s="27"/>
      <c r="J481" s="26">
        <v>2021</v>
      </c>
      <c r="K481" s="27" t="s">
        <v>1628</v>
      </c>
      <c r="L481" s="26">
        <v>9785961436709</v>
      </c>
      <c r="M481" s="27" t="s">
        <v>1629</v>
      </c>
      <c r="N481" s="26">
        <v>288</v>
      </c>
      <c r="O481" s="28">
        <v>0.53</v>
      </c>
      <c r="P481" s="26">
        <v>146</v>
      </c>
      <c r="Q481" s="26">
        <v>216</v>
      </c>
      <c r="R481" s="26">
        <v>12</v>
      </c>
      <c r="S481" s="27" t="s">
        <v>43</v>
      </c>
      <c r="T481" s="27"/>
      <c r="U481" s="29">
        <v>2500</v>
      </c>
      <c r="V481" s="27" t="s">
        <v>77</v>
      </c>
      <c r="W481" s="27" t="s">
        <v>184</v>
      </c>
      <c r="X481" s="26">
        <v>10</v>
      </c>
      <c r="Y481" s="45" t="str">
        <f>HYPERLINK("https://api-enni.alpina.ru/FilePrivilegesApproval/84","https://api-enni.alpina.ru/FilePrivilegesApproval/84")</f>
        <v>https://api-enni.alpina.ru/FilePrivilegesApproval/84</v>
      </c>
      <c r="Z481" s="27"/>
      <c r="AS481" s="1">
        <f>IF($A481&lt;&gt;0,1,0)</f>
        <v>0</v>
      </c>
      <c r="AT481" s="1">
        <f>$A481*$B481</f>
        <v>0</v>
      </c>
      <c r="AU481" s="1">
        <f>$A481*$O481</f>
        <v>0</v>
      </c>
      <c r="AV481" s="1">
        <f>IF($R481=0,0,INT($A481/$R481))</f>
        <v>0</v>
      </c>
      <c r="AW481" s="1">
        <f>$A481-$AV481*$R481</f>
        <v>0</v>
      </c>
    </row>
    <row r="482" ht="24.95" customHeight="1" outlineLevel="3" s="1" customFormat="1">
      <c r="A482" s="15"/>
      <c r="B482" s="16">
        <v>640</v>
      </c>
      <c r="C482" s="16">
        <v>960</v>
      </c>
      <c r="D482" s="16">
        <v>30326</v>
      </c>
      <c r="E482" s="18"/>
      <c r="F482" s="18" t="s">
        <v>1630</v>
      </c>
      <c r="G482" s="18" t="s">
        <v>1631</v>
      </c>
      <c r="H482" s="18" t="s">
        <v>86</v>
      </c>
      <c r="I482" s="18" t="s">
        <v>65</v>
      </c>
      <c r="J482" s="16">
        <v>2025</v>
      </c>
      <c r="K482" s="18" t="s">
        <v>1632</v>
      </c>
      <c r="L482" s="16">
        <v>9785961495201</v>
      </c>
      <c r="M482" s="18" t="s">
        <v>1633</v>
      </c>
      <c r="N482" s="16">
        <v>240</v>
      </c>
      <c r="O482" s="19">
        <v>0.39</v>
      </c>
      <c r="P482" s="16">
        <v>150</v>
      </c>
      <c r="Q482" s="16">
        <v>220</v>
      </c>
      <c r="R482" s="16">
        <v>16</v>
      </c>
      <c r="S482" s="18" t="s">
        <v>43</v>
      </c>
      <c r="T482" s="18"/>
      <c r="U482" s="17">
        <v>1500</v>
      </c>
      <c r="V482" s="18" t="s">
        <v>77</v>
      </c>
      <c r="W482" s="18" t="s">
        <v>91</v>
      </c>
      <c r="X482" s="16">
        <v>10</v>
      </c>
      <c r="Y482" s="43" t="str">
        <f>HYPERLINK("https://api-enni.alpina.ru/FilePrivilegesApproval/771","https://api-enni.alpina.ru/FilePrivilegesApproval/771")</f>
        <v>https://api-enni.alpina.ru/FilePrivilegesApproval/771</v>
      </c>
      <c r="Z482" s="18"/>
      <c r="AS482" s="1">
        <f>IF($A482&lt;&gt;0,1,0)</f>
        <v>0</v>
      </c>
      <c r="AT482" s="1">
        <f>$A482*$B482</f>
        <v>0</v>
      </c>
      <c r="AU482" s="1">
        <f>$A482*$O482</f>
        <v>0</v>
      </c>
      <c r="AV482" s="1">
        <f>IF($R482=0,0,INT($A482/$R482))</f>
        <v>0</v>
      </c>
      <c r="AW482" s="1">
        <f>$A482-$AV482*$R482</f>
        <v>0</v>
      </c>
    </row>
    <row r="483" ht="24.95" customHeight="1" outlineLevel="3" s="1" customFormat="1">
      <c r="A483" s="15"/>
      <c r="B483" s="16">
        <v>590</v>
      </c>
      <c r="C483" s="16">
        <v>885</v>
      </c>
      <c r="D483" s="16">
        <v>28838</v>
      </c>
      <c r="E483" s="18"/>
      <c r="F483" s="18" t="s">
        <v>1634</v>
      </c>
      <c r="G483" s="18" t="s">
        <v>1635</v>
      </c>
      <c r="H483" s="18" t="s">
        <v>86</v>
      </c>
      <c r="I483" s="18" t="s">
        <v>1213</v>
      </c>
      <c r="J483" s="16">
        <v>2025</v>
      </c>
      <c r="K483" s="18" t="s">
        <v>1636</v>
      </c>
      <c r="L483" s="16">
        <v>9785961490237</v>
      </c>
      <c r="M483" s="18" t="s">
        <v>1637</v>
      </c>
      <c r="N483" s="16">
        <v>216</v>
      </c>
      <c r="O483" s="19">
        <v>0.36</v>
      </c>
      <c r="P483" s="16">
        <v>140</v>
      </c>
      <c r="Q483" s="16">
        <v>220</v>
      </c>
      <c r="R483" s="16">
        <v>18</v>
      </c>
      <c r="S483" s="18" t="s">
        <v>43</v>
      </c>
      <c r="T483" s="18"/>
      <c r="U483" s="17">
        <v>2000</v>
      </c>
      <c r="V483" s="18" t="s">
        <v>77</v>
      </c>
      <c r="W483" s="18" t="s">
        <v>69</v>
      </c>
      <c r="X483" s="16">
        <v>10</v>
      </c>
      <c r="Y483" s="43" t="str">
        <f>HYPERLINK("https://api-enni.alpina.ru/FilePrivilegesApproval/379","https://api-enni.alpina.ru/FilePrivilegesApproval/379")</f>
        <v>https://api-enni.alpina.ru/FilePrivilegesApproval/379</v>
      </c>
      <c r="Z483" s="18"/>
      <c r="AS483" s="1">
        <f>IF($A483&lt;&gt;0,1,0)</f>
        <v>0</v>
      </c>
      <c r="AT483" s="1">
        <f>$A483*$B483</f>
        <v>0</v>
      </c>
      <c r="AU483" s="1">
        <f>$A483*$O483</f>
        <v>0</v>
      </c>
      <c r="AV483" s="1">
        <f>IF($R483=0,0,INT($A483/$R483))</f>
        <v>0</v>
      </c>
      <c r="AW483" s="1">
        <f>$A483-$AV483*$R483</f>
        <v>0</v>
      </c>
    </row>
    <row r="484" ht="24.95" customHeight="1" outlineLevel="3" s="1" customFormat="1">
      <c r="A484" s="15"/>
      <c r="B484" s="16">
        <v>590</v>
      </c>
      <c r="C484" s="16">
        <v>885</v>
      </c>
      <c r="D484" s="16">
        <v>17930</v>
      </c>
      <c r="E484" s="18"/>
      <c r="F484" s="18" t="s">
        <v>1638</v>
      </c>
      <c r="G484" s="18" t="s">
        <v>1639</v>
      </c>
      <c r="H484" s="18" t="s">
        <v>73</v>
      </c>
      <c r="I484" s="18" t="s">
        <v>74</v>
      </c>
      <c r="J484" s="16">
        <v>2023</v>
      </c>
      <c r="K484" s="18" t="s">
        <v>1640</v>
      </c>
      <c r="L484" s="16">
        <v>9785001392514</v>
      </c>
      <c r="M484" s="18" t="s">
        <v>1641</v>
      </c>
      <c r="N484" s="16">
        <v>343</v>
      </c>
      <c r="O484" s="19">
        <v>0.5</v>
      </c>
      <c r="P484" s="16">
        <v>150</v>
      </c>
      <c r="Q484" s="16">
        <v>220</v>
      </c>
      <c r="R484" s="16">
        <v>12</v>
      </c>
      <c r="S484" s="18" t="s">
        <v>43</v>
      </c>
      <c r="T484" s="18"/>
      <c r="U484" s="17">
        <v>1500</v>
      </c>
      <c r="V484" s="18" t="s">
        <v>77</v>
      </c>
      <c r="W484" s="18" t="s">
        <v>69</v>
      </c>
      <c r="X484" s="16">
        <v>10</v>
      </c>
      <c r="Y484" s="43" t="str">
        <f>HYPERLINK("https://api-enni.alpina.ru/FilePrivilegesApproval/226","https://api-enni.alpina.ru/FilePrivilegesApproval/226")</f>
        <v>https://api-enni.alpina.ru/FilePrivilegesApproval/226</v>
      </c>
      <c r="Z484" s="18"/>
      <c r="AS484" s="1">
        <f>IF($A484&lt;&gt;0,1,0)</f>
        <v>0</v>
      </c>
      <c r="AT484" s="1">
        <f>$A484*$B484</f>
        <v>0</v>
      </c>
      <c r="AU484" s="1">
        <f>$A484*$O484</f>
        <v>0</v>
      </c>
      <c r="AV484" s="1">
        <f>IF($R484=0,0,INT($A484/$R484))</f>
        <v>0</v>
      </c>
      <c r="AW484" s="1">
        <f>$A484-$AV484*$R484</f>
        <v>0</v>
      </c>
    </row>
    <row r="485" ht="24.95" customHeight="1" outlineLevel="3" s="1" customFormat="1">
      <c r="A485" s="15"/>
      <c r="B485" s="16">
        <v>890</v>
      </c>
      <c r="C485" s="17">
        <v>1246</v>
      </c>
      <c r="D485" s="16">
        <v>11134</v>
      </c>
      <c r="E485" s="18"/>
      <c r="F485" s="18" t="s">
        <v>1638</v>
      </c>
      <c r="G485" s="18" t="s">
        <v>1642</v>
      </c>
      <c r="H485" s="18" t="s">
        <v>73</v>
      </c>
      <c r="I485" s="18" t="s">
        <v>74</v>
      </c>
      <c r="J485" s="16">
        <v>2023</v>
      </c>
      <c r="K485" s="18" t="s">
        <v>1643</v>
      </c>
      <c r="L485" s="16">
        <v>9785001390930</v>
      </c>
      <c r="M485" s="18" t="s">
        <v>1644</v>
      </c>
      <c r="N485" s="16">
        <v>326</v>
      </c>
      <c r="O485" s="19">
        <v>0.48</v>
      </c>
      <c r="P485" s="16">
        <v>150</v>
      </c>
      <c r="Q485" s="16">
        <v>220</v>
      </c>
      <c r="R485" s="16">
        <v>12</v>
      </c>
      <c r="S485" s="18" t="s">
        <v>43</v>
      </c>
      <c r="T485" s="18"/>
      <c r="U485" s="17">
        <v>10000</v>
      </c>
      <c r="V485" s="18" t="s">
        <v>77</v>
      </c>
      <c r="W485" s="18" t="s">
        <v>69</v>
      </c>
      <c r="X485" s="16">
        <v>10</v>
      </c>
      <c r="Y485" s="43" t="str">
        <f>HYPERLINK("https://api-enni.alpina.ru/FilePrivilegesApproval/148","https://api-enni.alpina.ru/FilePrivilegesApproval/148")</f>
        <v>https://api-enni.alpina.ru/FilePrivilegesApproval/148</v>
      </c>
      <c r="Z485" s="18"/>
      <c r="AS485" s="1">
        <f>IF($A485&lt;&gt;0,1,0)</f>
        <v>0</v>
      </c>
      <c r="AT485" s="1">
        <f>$A485*$B485</f>
        <v>0</v>
      </c>
      <c r="AU485" s="1">
        <f>$A485*$O485</f>
        <v>0</v>
      </c>
      <c r="AV485" s="1">
        <f>IF($R485=0,0,INT($A485/$R485))</f>
        <v>0</v>
      </c>
      <c r="AW485" s="1">
        <f>$A485-$AV485*$R485</f>
        <v>0</v>
      </c>
    </row>
    <row r="486" ht="24.95" customHeight="1" outlineLevel="3" s="1" customFormat="1">
      <c r="A486" s="15"/>
      <c r="B486" s="16">
        <v>440</v>
      </c>
      <c r="C486" s="16">
        <v>682</v>
      </c>
      <c r="D486" s="16">
        <v>36507</v>
      </c>
      <c r="E486" s="18"/>
      <c r="F486" s="18" t="s">
        <v>268</v>
      </c>
      <c r="G486" s="18" t="s">
        <v>269</v>
      </c>
      <c r="H486" s="18" t="s">
        <v>86</v>
      </c>
      <c r="I486" s="18"/>
      <c r="J486" s="16">
        <v>2026</v>
      </c>
      <c r="K486" s="18" t="s">
        <v>270</v>
      </c>
      <c r="L486" s="16">
        <v>9785006317352</v>
      </c>
      <c r="M486" s="18" t="s">
        <v>271</v>
      </c>
      <c r="N486" s="16">
        <v>96</v>
      </c>
      <c r="O486" s="19">
        <v>0.17</v>
      </c>
      <c r="P486" s="16">
        <v>120</v>
      </c>
      <c r="Q486" s="16">
        <v>170</v>
      </c>
      <c r="R486" s="16">
        <v>16</v>
      </c>
      <c r="S486" s="18" t="s">
        <v>190</v>
      </c>
      <c r="T486" s="18" t="s">
        <v>272</v>
      </c>
      <c r="U486" s="17">
        <v>4000</v>
      </c>
      <c r="V486" s="18" t="s">
        <v>77</v>
      </c>
      <c r="W486" s="18" t="s">
        <v>69</v>
      </c>
      <c r="X486" s="16">
        <v>10</v>
      </c>
      <c r="Y486" s="43" t="str">
        <f>HYPERLINK("https://api-enni.alpina.ru/FilePrivilegesApproval/1204","https://api-enni.alpina.ru/FilePrivilegesApproval/1204")</f>
        <v>https://api-enni.alpina.ru/FilePrivilegesApproval/1204</v>
      </c>
      <c r="Z486" s="18" t="s">
        <v>78</v>
      </c>
      <c r="AS486" s="1">
        <f>IF($A486&lt;&gt;0,1,0)</f>
        <v>0</v>
      </c>
      <c r="AT486" s="1">
        <f>$A486*$B486</f>
        <v>0</v>
      </c>
      <c r="AU486" s="1">
        <f>$A486*$O486</f>
        <v>0</v>
      </c>
      <c r="AV486" s="1">
        <f>IF($R486=0,0,INT($A486/$R486))</f>
        <v>0</v>
      </c>
      <c r="AW486" s="1">
        <f>$A486-$AV486*$R486</f>
        <v>0</v>
      </c>
    </row>
    <row r="487" ht="24.95" customHeight="1" outlineLevel="3" s="1" customFormat="1">
      <c r="A487" s="15"/>
      <c r="B487" s="16">
        <v>790</v>
      </c>
      <c r="C487" s="17">
        <v>1146</v>
      </c>
      <c r="D487" s="16">
        <v>29723</v>
      </c>
      <c r="E487" s="18"/>
      <c r="F487" s="18" t="s">
        <v>1645</v>
      </c>
      <c r="G487" s="18" t="s">
        <v>1646</v>
      </c>
      <c r="H487" s="18" t="s">
        <v>86</v>
      </c>
      <c r="I487" s="18" t="s">
        <v>74</v>
      </c>
      <c r="J487" s="16">
        <v>2025</v>
      </c>
      <c r="K487" s="18" t="s">
        <v>1647</v>
      </c>
      <c r="L487" s="16">
        <v>9785961493597</v>
      </c>
      <c r="M487" s="18" t="s">
        <v>1648</v>
      </c>
      <c r="N487" s="16">
        <v>519</v>
      </c>
      <c r="O487" s="19">
        <v>0.71</v>
      </c>
      <c r="P487" s="16">
        <v>150</v>
      </c>
      <c r="Q487" s="16">
        <v>220</v>
      </c>
      <c r="R487" s="16">
        <v>4</v>
      </c>
      <c r="S487" s="18" t="s">
        <v>43</v>
      </c>
      <c r="T487" s="18"/>
      <c r="U487" s="17">
        <v>1000</v>
      </c>
      <c r="V487" s="18" t="s">
        <v>77</v>
      </c>
      <c r="W487" s="18" t="s">
        <v>45</v>
      </c>
      <c r="X487" s="16">
        <v>10</v>
      </c>
      <c r="Y487" s="43" t="str">
        <f>HYPERLINK("https://api-enni.alpina.ru/FilePrivilegesApproval/835","https://api-enni.alpina.ru/FilePrivilegesApproval/835")</f>
        <v>https://api-enni.alpina.ru/FilePrivilegesApproval/835</v>
      </c>
      <c r="Z487" s="18"/>
      <c r="AS487" s="1">
        <f>IF($A487&lt;&gt;0,1,0)</f>
        <v>0</v>
      </c>
      <c r="AT487" s="1">
        <f>$A487*$B487</f>
        <v>0</v>
      </c>
      <c r="AU487" s="1">
        <f>$A487*$O487</f>
        <v>0</v>
      </c>
      <c r="AV487" s="1">
        <f>IF($R487=0,0,INT($A487/$R487))</f>
        <v>0</v>
      </c>
      <c r="AW487" s="1">
        <f>$A487-$AV487*$R487</f>
        <v>0</v>
      </c>
    </row>
    <row r="488" ht="24.95" customHeight="1" outlineLevel="3" s="1" customFormat="1">
      <c r="A488" s="15"/>
      <c r="B488" s="16">
        <v>690</v>
      </c>
      <c r="C488" s="17">
        <v>1035</v>
      </c>
      <c r="D488" s="16">
        <v>32840</v>
      </c>
      <c r="E488" s="18"/>
      <c r="F488" s="18" t="s">
        <v>1649</v>
      </c>
      <c r="G488" s="18" t="s">
        <v>1650</v>
      </c>
      <c r="H488" s="18" t="s">
        <v>86</v>
      </c>
      <c r="I488" s="18" t="s">
        <v>74</v>
      </c>
      <c r="J488" s="16">
        <v>2025</v>
      </c>
      <c r="K488" s="18" t="s">
        <v>1651</v>
      </c>
      <c r="L488" s="16">
        <v>9785006303171</v>
      </c>
      <c r="M488" s="18" t="s">
        <v>1652</v>
      </c>
      <c r="N488" s="16">
        <v>326</v>
      </c>
      <c r="O488" s="19">
        <v>0.49</v>
      </c>
      <c r="P488" s="16">
        <v>150</v>
      </c>
      <c r="Q488" s="16">
        <v>220</v>
      </c>
      <c r="R488" s="16">
        <v>12</v>
      </c>
      <c r="S488" s="18" t="s">
        <v>43</v>
      </c>
      <c r="T488" s="18"/>
      <c r="U488" s="17">
        <v>5000</v>
      </c>
      <c r="V488" s="18" t="s">
        <v>77</v>
      </c>
      <c r="W488" s="18" t="s">
        <v>45</v>
      </c>
      <c r="X488" s="16">
        <v>10</v>
      </c>
      <c r="Y488" s="43" t="str">
        <f>HYPERLINK("https://api-enni.alpina.ru/FilePrivilegesApproval/965","https://api-enni.alpina.ru/FilePrivilegesApproval/965")</f>
        <v>https://api-enni.alpina.ru/FilePrivilegesApproval/965</v>
      </c>
      <c r="Z488" s="18"/>
      <c r="AS488" s="1">
        <f>IF($A488&lt;&gt;0,1,0)</f>
        <v>0</v>
      </c>
      <c r="AT488" s="1">
        <f>$A488*$B488</f>
        <v>0</v>
      </c>
      <c r="AU488" s="1">
        <f>$A488*$O488</f>
        <v>0</v>
      </c>
      <c r="AV488" s="1">
        <f>IF($R488=0,0,INT($A488/$R488))</f>
        <v>0</v>
      </c>
      <c r="AW488" s="1">
        <f>$A488-$AV488*$R488</f>
        <v>0</v>
      </c>
    </row>
    <row r="489" ht="21.95" customHeight="1" outlineLevel="3" s="1" customFormat="1">
      <c r="A489" s="15"/>
      <c r="B489" s="16">
        <v>540</v>
      </c>
      <c r="C489" s="16">
        <v>837</v>
      </c>
      <c r="D489" s="16">
        <v>31630</v>
      </c>
      <c r="E489" s="18"/>
      <c r="F489" s="18" t="s">
        <v>778</v>
      </c>
      <c r="G489" s="18" t="s">
        <v>779</v>
      </c>
      <c r="H489" s="18" t="s">
        <v>86</v>
      </c>
      <c r="I489" s="18"/>
      <c r="J489" s="16">
        <v>2026</v>
      </c>
      <c r="K489" s="18" t="s">
        <v>780</v>
      </c>
      <c r="L489" s="16">
        <v>9785961499636</v>
      </c>
      <c r="M489" s="18" t="s">
        <v>781</v>
      </c>
      <c r="N489" s="16">
        <v>365</v>
      </c>
      <c r="O489" s="19">
        <v>0.55</v>
      </c>
      <c r="P489" s="16">
        <v>150</v>
      </c>
      <c r="Q489" s="16">
        <v>220</v>
      </c>
      <c r="R489" s="16">
        <v>10</v>
      </c>
      <c r="S489" s="18" t="s">
        <v>43</v>
      </c>
      <c r="T489" s="18"/>
      <c r="U489" s="17">
        <v>1000</v>
      </c>
      <c r="V489" s="18" t="s">
        <v>77</v>
      </c>
      <c r="W489" s="18" t="s">
        <v>69</v>
      </c>
      <c r="X489" s="16">
        <v>10</v>
      </c>
      <c r="Y489" s="43" t="str">
        <f>HYPERLINK("","")</f>
      </c>
      <c r="Z489" s="18" t="s">
        <v>119</v>
      </c>
      <c r="AS489" s="1">
        <f>IF($A489&lt;&gt;0,1,0)</f>
        <v>0</v>
      </c>
      <c r="AT489" s="1">
        <f>$A489*$B489</f>
        <v>0</v>
      </c>
      <c r="AU489" s="1">
        <f>$A489*$O489</f>
        <v>0</v>
      </c>
      <c r="AV489" s="1">
        <f>IF($R489=0,0,INT($A489/$R489))</f>
        <v>0</v>
      </c>
      <c r="AW489" s="1">
        <f>$A489-$AV489*$R489</f>
        <v>0</v>
      </c>
    </row>
    <row r="490" ht="24.95" customHeight="1" outlineLevel="3" s="1" customFormat="1">
      <c r="A490" s="15"/>
      <c r="B490" s="16">
        <v>540</v>
      </c>
      <c r="C490" s="16">
        <v>837</v>
      </c>
      <c r="D490" s="16">
        <v>26625</v>
      </c>
      <c r="E490" s="18"/>
      <c r="F490" s="18" t="s">
        <v>713</v>
      </c>
      <c r="G490" s="18" t="s">
        <v>1653</v>
      </c>
      <c r="H490" s="18" t="s">
        <v>86</v>
      </c>
      <c r="I490" s="18"/>
      <c r="J490" s="16">
        <v>2025</v>
      </c>
      <c r="K490" s="18" t="s">
        <v>1654</v>
      </c>
      <c r="L490" s="16">
        <v>9785961482447</v>
      </c>
      <c r="M490" s="18" t="s">
        <v>1655</v>
      </c>
      <c r="N490" s="16">
        <v>130</v>
      </c>
      <c r="O490" s="19">
        <v>0.22</v>
      </c>
      <c r="P490" s="16">
        <v>140</v>
      </c>
      <c r="Q490" s="16">
        <v>210</v>
      </c>
      <c r="R490" s="16">
        <v>20</v>
      </c>
      <c r="S490" s="18" t="s">
        <v>43</v>
      </c>
      <c r="T490" s="18"/>
      <c r="U490" s="17">
        <v>1000</v>
      </c>
      <c r="V490" s="18" t="s">
        <v>44</v>
      </c>
      <c r="W490" s="18" t="s">
        <v>91</v>
      </c>
      <c r="X490" s="16">
        <v>10</v>
      </c>
      <c r="Y490" s="43" t="str">
        <f>HYPERLINK("https://api-enni.alpina.ru/FilePrivilegesApproval/163","https://api-enni.alpina.ru/FilePrivilegesApproval/163")</f>
        <v>https://api-enni.alpina.ru/FilePrivilegesApproval/163</v>
      </c>
      <c r="Z490" s="18"/>
      <c r="AS490" s="1">
        <f>IF($A490&lt;&gt;0,1,0)</f>
        <v>0</v>
      </c>
      <c r="AT490" s="1">
        <f>$A490*$B490</f>
        <v>0</v>
      </c>
      <c r="AU490" s="1">
        <f>$A490*$O490</f>
        <v>0</v>
      </c>
      <c r="AV490" s="1">
        <f>IF($R490=0,0,INT($A490/$R490))</f>
        <v>0</v>
      </c>
      <c r="AW490" s="1">
        <f>$A490-$AV490*$R490</f>
        <v>0</v>
      </c>
    </row>
    <row r="491" ht="24.95" customHeight="1" outlineLevel="3" s="1" customFormat="1">
      <c r="A491" s="15"/>
      <c r="B491" s="16">
        <v>990</v>
      </c>
      <c r="C491" s="17">
        <v>1386</v>
      </c>
      <c r="D491" s="16">
        <v>28842</v>
      </c>
      <c r="E491" s="18"/>
      <c r="F491" s="18" t="s">
        <v>785</v>
      </c>
      <c r="G491" s="18" t="s">
        <v>786</v>
      </c>
      <c r="H491" s="18" t="s">
        <v>86</v>
      </c>
      <c r="I491" s="18"/>
      <c r="J491" s="16">
        <v>2025</v>
      </c>
      <c r="K491" s="18" t="s">
        <v>787</v>
      </c>
      <c r="L491" s="16">
        <v>9785961490268</v>
      </c>
      <c r="M491" s="18" t="s">
        <v>788</v>
      </c>
      <c r="N491" s="16">
        <v>588</v>
      </c>
      <c r="O491" s="19">
        <v>0.93</v>
      </c>
      <c r="P491" s="16">
        <v>170</v>
      </c>
      <c r="Q491" s="16">
        <v>240</v>
      </c>
      <c r="R491" s="16">
        <v>6</v>
      </c>
      <c r="S491" s="18" t="s">
        <v>123</v>
      </c>
      <c r="T491" s="18"/>
      <c r="U491" s="17">
        <v>6000</v>
      </c>
      <c r="V491" s="18" t="s">
        <v>44</v>
      </c>
      <c r="W491" s="18" t="s">
        <v>69</v>
      </c>
      <c r="X491" s="16">
        <v>10</v>
      </c>
      <c r="Y491" s="43" t="str">
        <f>HYPERLINK("https://api-enni.alpina.ru/FilePrivilegesApproval/336","https://api-enni.alpina.ru/FilePrivilegesApproval/336")</f>
        <v>https://api-enni.alpina.ru/FilePrivilegesApproval/336</v>
      </c>
      <c r="Z491" s="18"/>
      <c r="AS491" s="1">
        <f>IF($A491&lt;&gt;0,1,0)</f>
        <v>0</v>
      </c>
      <c r="AT491" s="1">
        <f>$A491*$B491</f>
        <v>0</v>
      </c>
      <c r="AU491" s="1">
        <f>$A491*$O491</f>
        <v>0</v>
      </c>
      <c r="AV491" s="1">
        <f>IF($R491=0,0,INT($A491/$R491))</f>
        <v>0</v>
      </c>
      <c r="AW491" s="1">
        <f>$A491-$AV491*$R491</f>
        <v>0</v>
      </c>
    </row>
    <row r="492" ht="24.95" customHeight="1" outlineLevel="3" s="1" customFormat="1">
      <c r="A492" s="15"/>
      <c r="B492" s="17">
        <v>1190</v>
      </c>
      <c r="C492" s="17">
        <v>1606</v>
      </c>
      <c r="D492" s="16">
        <v>32428</v>
      </c>
      <c r="E492" s="18"/>
      <c r="F492" s="18" t="s">
        <v>785</v>
      </c>
      <c r="G492" s="18" t="s">
        <v>1656</v>
      </c>
      <c r="H492" s="18" t="s">
        <v>86</v>
      </c>
      <c r="I492" s="18"/>
      <c r="J492" s="16">
        <v>2025</v>
      </c>
      <c r="K492" s="18" t="s">
        <v>1657</v>
      </c>
      <c r="L492" s="16">
        <v>9785006302235</v>
      </c>
      <c r="M492" s="18" t="s">
        <v>1658</v>
      </c>
      <c r="N492" s="16">
        <v>588</v>
      </c>
      <c r="O492" s="19">
        <v>1.05</v>
      </c>
      <c r="P492" s="16">
        <v>170</v>
      </c>
      <c r="Q492" s="16">
        <v>240</v>
      </c>
      <c r="R492" s="16">
        <v>4</v>
      </c>
      <c r="S492" s="18" t="s">
        <v>123</v>
      </c>
      <c r="T492" s="18"/>
      <c r="U492" s="17">
        <v>4000</v>
      </c>
      <c r="V492" s="18" t="s">
        <v>77</v>
      </c>
      <c r="W492" s="18" t="s">
        <v>69</v>
      </c>
      <c r="X492" s="16">
        <v>10</v>
      </c>
      <c r="Y492" s="43" t="str">
        <f>HYPERLINK("https://api-enni.alpina.ru/FilePrivilegesApproval/336","https://api-enni.alpina.ru/FilePrivilegesApproval/336")</f>
        <v>https://api-enni.alpina.ru/FilePrivilegesApproval/336</v>
      </c>
      <c r="Z492" s="18"/>
      <c r="AS492" s="1">
        <f>IF($A492&lt;&gt;0,1,0)</f>
        <v>0</v>
      </c>
      <c r="AT492" s="1">
        <f>$A492*$B492</f>
        <v>0</v>
      </c>
      <c r="AU492" s="1">
        <f>$A492*$O492</f>
        <v>0</v>
      </c>
      <c r="AV492" s="1">
        <f>IF($R492=0,0,INT($A492/$R492))</f>
        <v>0</v>
      </c>
      <c r="AW492" s="1">
        <f>$A492-$AV492*$R492</f>
        <v>0</v>
      </c>
    </row>
    <row r="493" ht="24.95" customHeight="1" outlineLevel="3" s="1" customFormat="1">
      <c r="A493" s="15"/>
      <c r="B493" s="16">
        <v>590</v>
      </c>
      <c r="C493" s="16">
        <v>885</v>
      </c>
      <c r="D493" s="16">
        <v>23355</v>
      </c>
      <c r="E493" s="18"/>
      <c r="F493" s="18" t="s">
        <v>1659</v>
      </c>
      <c r="G493" s="18" t="s">
        <v>1660</v>
      </c>
      <c r="H493" s="18" t="s">
        <v>86</v>
      </c>
      <c r="I493" s="18"/>
      <c r="J493" s="16">
        <v>2022</v>
      </c>
      <c r="K493" s="18" t="s">
        <v>1661</v>
      </c>
      <c r="L493" s="16">
        <v>9785961473889</v>
      </c>
      <c r="M493" s="18" t="s">
        <v>1662</v>
      </c>
      <c r="N493" s="16">
        <v>254</v>
      </c>
      <c r="O493" s="19">
        <v>0.41</v>
      </c>
      <c r="P493" s="16">
        <v>146</v>
      </c>
      <c r="Q493" s="16">
        <v>216</v>
      </c>
      <c r="R493" s="16">
        <v>14</v>
      </c>
      <c r="S493" s="18" t="s">
        <v>43</v>
      </c>
      <c r="T493" s="18"/>
      <c r="U493" s="17">
        <v>3000</v>
      </c>
      <c r="V493" s="18" t="s">
        <v>77</v>
      </c>
      <c r="W493" s="18" t="s">
        <v>69</v>
      </c>
      <c r="X493" s="16">
        <v>10</v>
      </c>
      <c r="Y493" s="43" t="str">
        <f>HYPERLINK("https://api-enni.alpina.ru/FilePrivilegesApproval/122","https://api-enni.alpina.ru/FilePrivilegesApproval/122")</f>
        <v>https://api-enni.alpina.ru/FilePrivilegesApproval/122</v>
      </c>
      <c r="Z493" s="18"/>
      <c r="AS493" s="1">
        <f>IF($A493&lt;&gt;0,1,0)</f>
        <v>0</v>
      </c>
      <c r="AT493" s="1">
        <f>$A493*$B493</f>
        <v>0</v>
      </c>
      <c r="AU493" s="1">
        <f>$A493*$O493</f>
        <v>0</v>
      </c>
      <c r="AV493" s="1">
        <f>IF($R493=0,0,INT($A493/$R493))</f>
        <v>0</v>
      </c>
      <c r="AW493" s="1">
        <f>$A493-$AV493*$R493</f>
        <v>0</v>
      </c>
    </row>
    <row r="494" ht="24.95" customHeight="1" outlineLevel="3" s="1" customFormat="1">
      <c r="A494" s="15"/>
      <c r="B494" s="16">
        <v>840</v>
      </c>
      <c r="C494" s="17">
        <v>1218</v>
      </c>
      <c r="D494" s="16">
        <v>28553</v>
      </c>
      <c r="E494" s="18"/>
      <c r="F494" s="18" t="s">
        <v>1663</v>
      </c>
      <c r="G494" s="18" t="s">
        <v>1664</v>
      </c>
      <c r="H494" s="18" t="s">
        <v>95</v>
      </c>
      <c r="I494" s="18"/>
      <c r="J494" s="16">
        <v>2024</v>
      </c>
      <c r="K494" s="18" t="s">
        <v>1665</v>
      </c>
      <c r="L494" s="16">
        <v>9785206002157</v>
      </c>
      <c r="M494" s="18" t="s">
        <v>1666</v>
      </c>
      <c r="N494" s="16">
        <v>64</v>
      </c>
      <c r="O494" s="19">
        <v>0.07</v>
      </c>
      <c r="P494" s="16">
        <v>140</v>
      </c>
      <c r="Q494" s="16">
        <v>180</v>
      </c>
      <c r="R494" s="16">
        <v>20</v>
      </c>
      <c r="S494" s="18" t="s">
        <v>43</v>
      </c>
      <c r="T494" s="18"/>
      <c r="U494" s="17">
        <v>1505</v>
      </c>
      <c r="V494" s="18" t="s">
        <v>1667</v>
      </c>
      <c r="W494" s="18" t="s">
        <v>55</v>
      </c>
      <c r="X494" s="16">
        <v>10</v>
      </c>
      <c r="Y494" s="43" t="str">
        <f>HYPERLINK("https://api-enni.alpina.ru/FilePrivilegesApproval/357","https://api-enni.alpina.ru/FilePrivilegesApproval/357")</f>
        <v>https://api-enni.alpina.ru/FilePrivilegesApproval/357</v>
      </c>
      <c r="Z494" s="18"/>
      <c r="AS494" s="1">
        <f>IF($A494&lt;&gt;0,1,0)</f>
        <v>0</v>
      </c>
      <c r="AT494" s="1">
        <f>$A494*$B494</f>
        <v>0</v>
      </c>
      <c r="AU494" s="1">
        <f>$A494*$O494</f>
        <v>0</v>
      </c>
      <c r="AV494" s="1">
        <f>IF($R494=0,0,INT($A494/$R494))</f>
        <v>0</v>
      </c>
      <c r="AW494" s="1">
        <f>$A494-$AV494*$R494</f>
        <v>0</v>
      </c>
    </row>
    <row r="495" ht="24.95" customHeight="1" outlineLevel="3" s="1" customFormat="1">
      <c r="A495" s="15"/>
      <c r="B495" s="16">
        <v>690</v>
      </c>
      <c r="C495" s="17">
        <v>1035</v>
      </c>
      <c r="D495" s="16">
        <v>26514</v>
      </c>
      <c r="E495" s="18"/>
      <c r="F495" s="18" t="s">
        <v>1668</v>
      </c>
      <c r="G495" s="18" t="s">
        <v>1669</v>
      </c>
      <c r="H495" s="18" t="s">
        <v>95</v>
      </c>
      <c r="I495" s="18"/>
      <c r="J495" s="16">
        <v>2023</v>
      </c>
      <c r="K495" s="18" t="s">
        <v>1670</v>
      </c>
      <c r="L495" s="16">
        <v>9785206000818</v>
      </c>
      <c r="M495" s="18" t="s">
        <v>1671</v>
      </c>
      <c r="N495" s="16">
        <v>160</v>
      </c>
      <c r="O495" s="19">
        <v>0.34</v>
      </c>
      <c r="P495" s="16">
        <v>170</v>
      </c>
      <c r="Q495" s="16">
        <v>220</v>
      </c>
      <c r="R495" s="16">
        <v>12</v>
      </c>
      <c r="S495" s="18" t="s">
        <v>43</v>
      </c>
      <c r="T495" s="18"/>
      <c r="U495" s="17">
        <v>1505</v>
      </c>
      <c r="V495" s="18" t="s">
        <v>77</v>
      </c>
      <c r="W495" s="18" t="s">
        <v>91</v>
      </c>
      <c r="X495" s="16">
        <v>10</v>
      </c>
      <c r="Y495" s="43" t="str">
        <f>HYPERLINK("https://api-enni.alpina.ru/FilePrivilegesApproval/168","https://api-enni.alpina.ru/FilePrivilegesApproval/168")</f>
        <v>https://api-enni.alpina.ru/FilePrivilegesApproval/168</v>
      </c>
      <c r="Z495" s="18"/>
      <c r="AS495" s="1">
        <f>IF($A495&lt;&gt;0,1,0)</f>
        <v>0</v>
      </c>
      <c r="AT495" s="1">
        <f>$A495*$B495</f>
        <v>0</v>
      </c>
      <c r="AU495" s="1">
        <f>$A495*$O495</f>
        <v>0</v>
      </c>
      <c r="AV495" s="1">
        <f>IF($R495=0,0,INT($A495/$R495))</f>
        <v>0</v>
      </c>
      <c r="AW495" s="1">
        <f>$A495-$AV495*$R495</f>
        <v>0</v>
      </c>
    </row>
    <row r="496" ht="24.95" customHeight="1" outlineLevel="3" s="1" customFormat="1">
      <c r="A496" s="15"/>
      <c r="B496" s="16">
        <v>340</v>
      </c>
      <c r="C496" s="16">
        <v>544</v>
      </c>
      <c r="D496" s="16">
        <v>28600</v>
      </c>
      <c r="E496" s="18"/>
      <c r="F496" s="18" t="s">
        <v>439</v>
      </c>
      <c r="G496" s="18" t="s">
        <v>1672</v>
      </c>
      <c r="H496" s="18" t="s">
        <v>86</v>
      </c>
      <c r="I496" s="18" t="s">
        <v>74</v>
      </c>
      <c r="J496" s="16">
        <v>2025</v>
      </c>
      <c r="K496" s="18" t="s">
        <v>1673</v>
      </c>
      <c r="L496" s="16">
        <v>9785961489446</v>
      </c>
      <c r="M496" s="18" t="s">
        <v>1674</v>
      </c>
      <c r="N496" s="16">
        <v>303</v>
      </c>
      <c r="O496" s="19">
        <v>0.2</v>
      </c>
      <c r="P496" s="16">
        <v>120</v>
      </c>
      <c r="Q496" s="16">
        <v>170</v>
      </c>
      <c r="R496" s="16">
        <v>10</v>
      </c>
      <c r="S496" s="18" t="s">
        <v>190</v>
      </c>
      <c r="T496" s="18" t="s">
        <v>451</v>
      </c>
      <c r="U496" s="17">
        <v>2000</v>
      </c>
      <c r="V496" s="18" t="s">
        <v>44</v>
      </c>
      <c r="W496" s="18" t="s">
        <v>91</v>
      </c>
      <c r="X496" s="16">
        <v>10</v>
      </c>
      <c r="Y496" s="43" t="str">
        <f>HYPERLINK("https://api-enni.alpina.ru/FilePrivilegesApproval/284","https://api-enni.alpina.ru/FilePrivilegesApproval/284")</f>
        <v>https://api-enni.alpina.ru/FilePrivilegesApproval/284</v>
      </c>
      <c r="Z496" s="18"/>
      <c r="AS496" s="1">
        <f>IF($A496&lt;&gt;0,1,0)</f>
        <v>0</v>
      </c>
      <c r="AT496" s="1">
        <f>$A496*$B496</f>
        <v>0</v>
      </c>
      <c r="AU496" s="1">
        <f>$A496*$O496</f>
        <v>0</v>
      </c>
      <c r="AV496" s="1">
        <f>IF($R496=0,0,INT($A496/$R496))</f>
        <v>0</v>
      </c>
      <c r="AW496" s="1">
        <f>$A496-$AV496*$R496</f>
        <v>0</v>
      </c>
    </row>
    <row r="497" ht="24.95" customHeight="1" outlineLevel="3" s="1" customFormat="1">
      <c r="A497" s="15"/>
      <c r="B497" s="16">
        <v>550</v>
      </c>
      <c r="C497" s="16">
        <v>852</v>
      </c>
      <c r="D497" s="16">
        <v>31675</v>
      </c>
      <c r="E497" s="18"/>
      <c r="F497" s="18" t="s">
        <v>1675</v>
      </c>
      <c r="G497" s="18" t="s">
        <v>1676</v>
      </c>
      <c r="H497" s="18" t="s">
        <v>86</v>
      </c>
      <c r="I497" s="18" t="s">
        <v>74</v>
      </c>
      <c r="J497" s="16">
        <v>2025</v>
      </c>
      <c r="K497" s="18" t="s">
        <v>1677</v>
      </c>
      <c r="L497" s="16">
        <v>9785961499872</v>
      </c>
      <c r="M497" s="18" t="s">
        <v>1678</v>
      </c>
      <c r="N497" s="16">
        <v>200</v>
      </c>
      <c r="O497" s="19">
        <v>0.44</v>
      </c>
      <c r="P497" s="16">
        <v>170</v>
      </c>
      <c r="Q497" s="16">
        <v>240</v>
      </c>
      <c r="R497" s="16">
        <v>10</v>
      </c>
      <c r="S497" s="18" t="s">
        <v>123</v>
      </c>
      <c r="T497" s="18" t="s">
        <v>1196</v>
      </c>
      <c r="U497" s="17">
        <v>3000</v>
      </c>
      <c r="V497" s="18" t="s">
        <v>77</v>
      </c>
      <c r="W497" s="18" t="s">
        <v>69</v>
      </c>
      <c r="X497" s="16">
        <v>10</v>
      </c>
      <c r="Y497" s="43" t="str">
        <f>HYPERLINK("https://api-enni.alpina.ru/FilePrivilegesApproval/782","https://api-enni.alpina.ru/FilePrivilegesApproval/782")</f>
        <v>https://api-enni.alpina.ru/FilePrivilegesApproval/782</v>
      </c>
      <c r="Z497" s="18"/>
      <c r="AS497" s="1">
        <f>IF($A497&lt;&gt;0,1,0)</f>
        <v>0</v>
      </c>
      <c r="AT497" s="1">
        <f>$A497*$B497</f>
        <v>0</v>
      </c>
      <c r="AU497" s="1">
        <f>$A497*$O497</f>
        <v>0</v>
      </c>
      <c r="AV497" s="1">
        <f>IF($R497=0,0,INT($A497/$R497))</f>
        <v>0</v>
      </c>
      <c r="AW497" s="1">
        <f>$A497-$AV497*$R497</f>
        <v>0</v>
      </c>
    </row>
    <row r="498" ht="24.95" customHeight="1" outlineLevel="3" s="1" customFormat="1">
      <c r="A498" s="15"/>
      <c r="B498" s="16">
        <v>590</v>
      </c>
      <c r="C498" s="16">
        <v>885</v>
      </c>
      <c r="D498" s="16">
        <v>30607</v>
      </c>
      <c r="E498" s="18"/>
      <c r="F498" s="18" t="s">
        <v>1679</v>
      </c>
      <c r="G498" s="18" t="s">
        <v>1680</v>
      </c>
      <c r="H498" s="18" t="s">
        <v>86</v>
      </c>
      <c r="I498" s="18" t="s">
        <v>74</v>
      </c>
      <c r="J498" s="16">
        <v>2025</v>
      </c>
      <c r="K498" s="18" t="s">
        <v>1681</v>
      </c>
      <c r="L498" s="16">
        <v>9785961496031</v>
      </c>
      <c r="M498" s="18" t="s">
        <v>1682</v>
      </c>
      <c r="N498" s="16">
        <v>272</v>
      </c>
      <c r="O498" s="19">
        <v>0.43</v>
      </c>
      <c r="P498" s="16">
        <v>170</v>
      </c>
      <c r="Q498" s="16">
        <v>240</v>
      </c>
      <c r="R498" s="16">
        <v>9</v>
      </c>
      <c r="S498" s="18" t="s">
        <v>123</v>
      </c>
      <c r="T498" s="18"/>
      <c r="U498" s="17">
        <v>1500</v>
      </c>
      <c r="V498" s="18" t="s">
        <v>44</v>
      </c>
      <c r="W498" s="18" t="s">
        <v>91</v>
      </c>
      <c r="X498" s="16">
        <v>10</v>
      </c>
      <c r="Y498" s="43" t="str">
        <f>HYPERLINK("https://api-enni.alpina.ru/FilePrivilegesApproval/713","https://api-enni.alpina.ru/FilePrivilegesApproval/713")</f>
        <v>https://api-enni.alpina.ru/FilePrivilegesApproval/713</v>
      </c>
      <c r="Z498" s="18"/>
      <c r="AS498" s="1">
        <f>IF($A498&lt;&gt;0,1,0)</f>
        <v>0</v>
      </c>
      <c r="AT498" s="1">
        <f>$A498*$B498</f>
        <v>0</v>
      </c>
      <c r="AU498" s="1">
        <f>$A498*$O498</f>
        <v>0</v>
      </c>
      <c r="AV498" s="1">
        <f>IF($R498=0,0,INT($A498/$R498))</f>
        <v>0</v>
      </c>
      <c r="AW498" s="1">
        <f>$A498-$AV498*$R498</f>
        <v>0</v>
      </c>
    </row>
    <row r="499" ht="24.95" customHeight="1" outlineLevel="3" s="1" customFormat="1">
      <c r="A499" s="15"/>
      <c r="B499" s="16">
        <v>390</v>
      </c>
      <c r="C499" s="16">
        <v>624</v>
      </c>
      <c r="D499" s="16">
        <v>31194</v>
      </c>
      <c r="E499" s="18"/>
      <c r="F499" s="18" t="s">
        <v>1683</v>
      </c>
      <c r="G499" s="18" t="s">
        <v>1684</v>
      </c>
      <c r="H499" s="18" t="s">
        <v>86</v>
      </c>
      <c r="I499" s="18" t="s">
        <v>74</v>
      </c>
      <c r="J499" s="16">
        <v>2024</v>
      </c>
      <c r="K499" s="18" t="s">
        <v>1685</v>
      </c>
      <c r="L499" s="16">
        <v>9785961497861</v>
      </c>
      <c r="M499" s="18" t="s">
        <v>1686</v>
      </c>
      <c r="N499" s="16">
        <v>330</v>
      </c>
      <c r="O499" s="19">
        <v>0.22</v>
      </c>
      <c r="P499" s="16">
        <v>120</v>
      </c>
      <c r="Q499" s="16">
        <v>170</v>
      </c>
      <c r="R499" s="16">
        <v>16</v>
      </c>
      <c r="S499" s="18" t="s">
        <v>190</v>
      </c>
      <c r="T499" s="18" t="s">
        <v>959</v>
      </c>
      <c r="U499" s="17">
        <v>2000</v>
      </c>
      <c r="V499" s="18" t="s">
        <v>44</v>
      </c>
      <c r="W499" s="18" t="s">
        <v>55</v>
      </c>
      <c r="X499" s="16">
        <v>10</v>
      </c>
      <c r="Y499" s="43" t="str">
        <f>HYPERLINK("https://api-enni.alpina.ru/FilePrivilegesApproval/543","https://api-enni.alpina.ru/FilePrivilegesApproval/543")</f>
        <v>https://api-enni.alpina.ru/FilePrivilegesApproval/543</v>
      </c>
      <c r="Z499" s="18"/>
      <c r="AS499" s="1">
        <f>IF($A499&lt;&gt;0,1,0)</f>
        <v>0</v>
      </c>
      <c r="AT499" s="1">
        <f>$A499*$B499</f>
        <v>0</v>
      </c>
      <c r="AU499" s="1">
        <f>$A499*$O499</f>
        <v>0</v>
      </c>
      <c r="AV499" s="1">
        <f>IF($R499=0,0,INT($A499/$R499))</f>
        <v>0</v>
      </c>
      <c r="AW499" s="1">
        <f>$A499-$AV499*$R499</f>
        <v>0</v>
      </c>
    </row>
    <row r="500" ht="24.95" customHeight="1" outlineLevel="3" s="1" customFormat="1">
      <c r="A500" s="15"/>
      <c r="B500" s="16">
        <v>340</v>
      </c>
      <c r="C500" s="16">
        <v>544</v>
      </c>
      <c r="D500" s="16">
        <v>27632</v>
      </c>
      <c r="E500" s="18"/>
      <c r="F500" s="18" t="s">
        <v>1294</v>
      </c>
      <c r="G500" s="18" t="s">
        <v>1687</v>
      </c>
      <c r="H500" s="18" t="s">
        <v>86</v>
      </c>
      <c r="I500" s="18" t="s">
        <v>74</v>
      </c>
      <c r="J500" s="16">
        <v>2025</v>
      </c>
      <c r="K500" s="18" t="s">
        <v>1688</v>
      </c>
      <c r="L500" s="16">
        <v>9785961485882</v>
      </c>
      <c r="M500" s="18" t="s">
        <v>1689</v>
      </c>
      <c r="N500" s="16">
        <v>176</v>
      </c>
      <c r="O500" s="19">
        <v>0.19</v>
      </c>
      <c r="P500" s="16">
        <v>130</v>
      </c>
      <c r="Q500" s="16">
        <v>200</v>
      </c>
      <c r="R500" s="16">
        <v>15</v>
      </c>
      <c r="S500" s="18" t="s">
        <v>90</v>
      </c>
      <c r="T500" s="18" t="s">
        <v>1299</v>
      </c>
      <c r="U500" s="17">
        <v>1000</v>
      </c>
      <c r="V500" s="18" t="s">
        <v>44</v>
      </c>
      <c r="W500" s="18" t="s">
        <v>184</v>
      </c>
      <c r="X500" s="16">
        <v>10</v>
      </c>
      <c r="Y500" s="43" t="str">
        <f>HYPERLINK("https://api-enni.alpina.ru/FilePrivilegesApproval/152","https://api-enni.alpina.ru/FilePrivilegesApproval/152")</f>
        <v>https://api-enni.alpina.ru/FilePrivilegesApproval/152</v>
      </c>
      <c r="Z500" s="18"/>
      <c r="AS500" s="1">
        <f>IF($A500&lt;&gt;0,1,0)</f>
        <v>0</v>
      </c>
      <c r="AT500" s="1">
        <f>$A500*$B500</f>
        <v>0</v>
      </c>
      <c r="AU500" s="1">
        <f>$A500*$O500</f>
        <v>0</v>
      </c>
      <c r="AV500" s="1">
        <f>IF($R500=0,0,INT($A500/$R500))</f>
        <v>0</v>
      </c>
      <c r="AW500" s="1">
        <f>$A500-$AV500*$R500</f>
        <v>0</v>
      </c>
    </row>
    <row r="501" ht="24.95" customHeight="1" outlineLevel="3" s="1" customFormat="1">
      <c r="A501" s="15"/>
      <c r="B501" s="16">
        <v>790</v>
      </c>
      <c r="C501" s="17">
        <v>1146</v>
      </c>
      <c r="D501" s="16">
        <v>26593</v>
      </c>
      <c r="E501" s="18"/>
      <c r="F501" s="18" t="s">
        <v>1690</v>
      </c>
      <c r="G501" s="18" t="s">
        <v>1691</v>
      </c>
      <c r="H501" s="18" t="s">
        <v>86</v>
      </c>
      <c r="I501" s="18"/>
      <c r="J501" s="16">
        <v>2025</v>
      </c>
      <c r="K501" s="18" t="s">
        <v>1692</v>
      </c>
      <c r="L501" s="16">
        <v>9785961482331</v>
      </c>
      <c r="M501" s="18" t="s">
        <v>1693</v>
      </c>
      <c r="N501" s="16">
        <v>212</v>
      </c>
      <c r="O501" s="19">
        <v>0.35</v>
      </c>
      <c r="P501" s="16">
        <v>150</v>
      </c>
      <c r="Q501" s="16">
        <v>220</v>
      </c>
      <c r="R501" s="16">
        <v>10</v>
      </c>
      <c r="S501" s="18" t="s">
        <v>43</v>
      </c>
      <c r="T501" s="18"/>
      <c r="U501" s="17">
        <v>1000</v>
      </c>
      <c r="V501" s="18" t="s">
        <v>77</v>
      </c>
      <c r="W501" s="18" t="s">
        <v>184</v>
      </c>
      <c r="X501" s="16">
        <v>10</v>
      </c>
      <c r="Y501" s="43" t="str">
        <f>HYPERLINK("https://api-enni.alpina.ru/FilePrivilegesApproval/172","https://api-enni.alpina.ru/FilePrivilegesApproval/172")</f>
        <v>https://api-enni.alpina.ru/FilePrivilegesApproval/172</v>
      </c>
      <c r="Z501" s="18"/>
      <c r="AS501" s="1">
        <f>IF($A501&lt;&gt;0,1,0)</f>
        <v>0</v>
      </c>
      <c r="AT501" s="1">
        <f>$A501*$B501</f>
        <v>0</v>
      </c>
      <c r="AU501" s="1">
        <f>$A501*$O501</f>
        <v>0</v>
      </c>
      <c r="AV501" s="1">
        <f>IF($R501=0,0,INT($A501/$R501))</f>
        <v>0</v>
      </c>
      <c r="AW501" s="1">
        <f>$A501-$AV501*$R501</f>
        <v>0</v>
      </c>
    </row>
    <row r="502" ht="24.95" customHeight="1" outlineLevel="3" s="1" customFormat="1">
      <c r="A502" s="15"/>
      <c r="B502" s="16">
        <v>590</v>
      </c>
      <c r="C502" s="16">
        <v>885</v>
      </c>
      <c r="D502" s="16">
        <v>28689</v>
      </c>
      <c r="E502" s="18"/>
      <c r="F502" s="18" t="s">
        <v>1694</v>
      </c>
      <c r="G502" s="18" t="s">
        <v>1695</v>
      </c>
      <c r="H502" s="18" t="s">
        <v>86</v>
      </c>
      <c r="I502" s="18" t="s">
        <v>1696</v>
      </c>
      <c r="J502" s="16">
        <v>2025</v>
      </c>
      <c r="K502" s="18" t="s">
        <v>1697</v>
      </c>
      <c r="L502" s="16">
        <v>9785961489705</v>
      </c>
      <c r="M502" s="18" t="s">
        <v>1698</v>
      </c>
      <c r="N502" s="16">
        <v>214</v>
      </c>
      <c r="O502" s="19">
        <v>0.27</v>
      </c>
      <c r="P502" s="16">
        <v>150</v>
      </c>
      <c r="Q502" s="16">
        <v>210</v>
      </c>
      <c r="R502" s="16">
        <v>20</v>
      </c>
      <c r="S502" s="18" t="s">
        <v>43</v>
      </c>
      <c r="T502" s="18"/>
      <c r="U502" s="17">
        <v>1500</v>
      </c>
      <c r="V502" s="18" t="s">
        <v>44</v>
      </c>
      <c r="W502" s="18" t="s">
        <v>69</v>
      </c>
      <c r="X502" s="16">
        <v>10</v>
      </c>
      <c r="Y502" s="43" t="str">
        <f>HYPERLINK("https://api-enni.alpina.ru/FilePrivilegesApproval/713","https://api-enni.alpina.ru/FilePrivilegesApproval/713")</f>
        <v>https://api-enni.alpina.ru/FilePrivilegesApproval/713</v>
      </c>
      <c r="Z502" s="18"/>
      <c r="AS502" s="1">
        <f>IF($A502&lt;&gt;0,1,0)</f>
        <v>0</v>
      </c>
      <c r="AT502" s="1">
        <f>$A502*$B502</f>
        <v>0</v>
      </c>
      <c r="AU502" s="1">
        <f>$A502*$O502</f>
        <v>0</v>
      </c>
      <c r="AV502" s="1">
        <f>IF($R502=0,0,INT($A502/$R502))</f>
        <v>0</v>
      </c>
      <c r="AW502" s="1">
        <f>$A502-$AV502*$R502</f>
        <v>0</v>
      </c>
    </row>
    <row r="503" ht="24.95" customHeight="1" outlineLevel="3" s="1" customFormat="1">
      <c r="A503" s="15"/>
      <c r="B503" s="16">
        <v>690</v>
      </c>
      <c r="C503" s="17">
        <v>1035</v>
      </c>
      <c r="D503" s="16">
        <v>27301</v>
      </c>
      <c r="E503" s="18"/>
      <c r="F503" s="18" t="s">
        <v>1699</v>
      </c>
      <c r="G503" s="18" t="s">
        <v>1700</v>
      </c>
      <c r="H503" s="18" t="s">
        <v>86</v>
      </c>
      <c r="I503" s="18" t="s">
        <v>74</v>
      </c>
      <c r="J503" s="16">
        <v>2023</v>
      </c>
      <c r="K503" s="18" t="s">
        <v>1701</v>
      </c>
      <c r="L503" s="16">
        <v>9785961484557</v>
      </c>
      <c r="M503" s="18" t="s">
        <v>1702</v>
      </c>
      <c r="N503" s="16">
        <v>264</v>
      </c>
      <c r="O503" s="19">
        <v>0.32</v>
      </c>
      <c r="P503" s="16">
        <v>140</v>
      </c>
      <c r="Q503" s="16">
        <v>210</v>
      </c>
      <c r="R503" s="16">
        <v>16</v>
      </c>
      <c r="S503" s="18" t="s">
        <v>43</v>
      </c>
      <c r="T503" s="18"/>
      <c r="U503" s="17">
        <v>2000</v>
      </c>
      <c r="V503" s="18" t="s">
        <v>44</v>
      </c>
      <c r="W503" s="18" t="s">
        <v>91</v>
      </c>
      <c r="X503" s="16">
        <v>10</v>
      </c>
      <c r="Y503" s="43" t="str">
        <f>HYPERLINK("https://api-enni.alpina.ru/FilePrivilegesApproval/313","https://api-enni.alpina.ru/FilePrivilegesApproval/313")</f>
        <v>https://api-enni.alpina.ru/FilePrivilegesApproval/313</v>
      </c>
      <c r="Z503" s="18"/>
      <c r="AS503" s="1">
        <f>IF($A503&lt;&gt;0,1,0)</f>
        <v>0</v>
      </c>
      <c r="AT503" s="1">
        <f>$A503*$B503</f>
        <v>0</v>
      </c>
      <c r="AU503" s="1">
        <f>$A503*$O503</f>
        <v>0</v>
      </c>
      <c r="AV503" s="1">
        <f>IF($R503=0,0,INT($A503/$R503))</f>
        <v>0</v>
      </c>
      <c r="AW503" s="1">
        <f>$A503-$AV503*$R503</f>
        <v>0</v>
      </c>
    </row>
    <row r="504" ht="24.95" customHeight="1" outlineLevel="3" s="1" customFormat="1">
      <c r="A504" s="25"/>
      <c r="B504" s="26">
        <v>790</v>
      </c>
      <c r="C504" s="29">
        <v>1146</v>
      </c>
      <c r="D504" s="26">
        <v>29018</v>
      </c>
      <c r="E504" s="27"/>
      <c r="F504" s="27" t="s">
        <v>1703</v>
      </c>
      <c r="G504" s="27" t="s">
        <v>1704</v>
      </c>
      <c r="H504" s="27" t="s">
        <v>95</v>
      </c>
      <c r="I504" s="27"/>
      <c r="J504" s="26">
        <v>2023</v>
      </c>
      <c r="K504" s="27" t="s">
        <v>1705</v>
      </c>
      <c r="L504" s="26">
        <v>9785206002508</v>
      </c>
      <c r="M504" s="27" t="s">
        <v>1706</v>
      </c>
      <c r="N504" s="26">
        <v>152</v>
      </c>
      <c r="O504" s="28">
        <v>0.29</v>
      </c>
      <c r="P504" s="26">
        <v>150</v>
      </c>
      <c r="Q504" s="26">
        <v>220</v>
      </c>
      <c r="R504" s="26">
        <v>8</v>
      </c>
      <c r="S504" s="27" t="s">
        <v>43</v>
      </c>
      <c r="T504" s="27"/>
      <c r="U504" s="29">
        <v>1005</v>
      </c>
      <c r="V504" s="27" t="s">
        <v>77</v>
      </c>
      <c r="W504" s="27" t="s">
        <v>69</v>
      </c>
      <c r="X504" s="26">
        <v>10</v>
      </c>
      <c r="Y504" s="45" t="str">
        <f>HYPERLINK("https://api-enni.alpina.ru/FilePrivilegesApproval/325","https://api-enni.alpina.ru/FilePrivilegesApproval/325")</f>
        <v>https://api-enni.alpina.ru/FilePrivilegesApproval/325</v>
      </c>
      <c r="Z504" s="27"/>
      <c r="AS504" s="1">
        <f>IF($A504&lt;&gt;0,1,0)</f>
        <v>0</v>
      </c>
      <c r="AT504" s="1">
        <f>$A504*$B504</f>
        <v>0</v>
      </c>
      <c r="AU504" s="1">
        <f>$A504*$O504</f>
        <v>0</v>
      </c>
      <c r="AV504" s="1">
        <f>IF($R504=0,0,INT($A504/$R504))</f>
        <v>0</v>
      </c>
      <c r="AW504" s="1">
        <f>$A504-$AV504*$R504</f>
        <v>0</v>
      </c>
    </row>
    <row r="505" ht="24.95" customHeight="1" outlineLevel="3" s="1" customFormat="1">
      <c r="A505" s="15"/>
      <c r="B505" s="16">
        <v>690</v>
      </c>
      <c r="C505" s="17">
        <v>1035</v>
      </c>
      <c r="D505" s="16">
        <v>30177</v>
      </c>
      <c r="E505" s="18"/>
      <c r="F505" s="18" t="s">
        <v>1707</v>
      </c>
      <c r="G505" s="18" t="s">
        <v>1708</v>
      </c>
      <c r="H505" s="18" t="s">
        <v>86</v>
      </c>
      <c r="I505" s="18" t="s">
        <v>74</v>
      </c>
      <c r="J505" s="16">
        <v>2026</v>
      </c>
      <c r="K505" s="18" t="s">
        <v>1709</v>
      </c>
      <c r="L505" s="16">
        <v>9785961494983</v>
      </c>
      <c r="M505" s="18" t="s">
        <v>1710</v>
      </c>
      <c r="N505" s="16">
        <v>389</v>
      </c>
      <c r="O505" s="19">
        <v>0.56</v>
      </c>
      <c r="P505" s="16">
        <v>150</v>
      </c>
      <c r="Q505" s="16">
        <v>220</v>
      </c>
      <c r="R505" s="16">
        <v>10</v>
      </c>
      <c r="S505" s="18" t="s">
        <v>43</v>
      </c>
      <c r="T505" s="18"/>
      <c r="U505" s="17">
        <v>3000</v>
      </c>
      <c r="V505" s="18" t="s">
        <v>77</v>
      </c>
      <c r="W505" s="18" t="s">
        <v>69</v>
      </c>
      <c r="X505" s="16">
        <v>10</v>
      </c>
      <c r="Y505" s="43" t="str">
        <f>HYPERLINK("https://api-enni.alpina.ru/FilePrivilegesApproval/809","https://api-enni.alpina.ru/FilePrivilegesApproval/809")</f>
        <v>https://api-enni.alpina.ru/FilePrivilegesApproval/809</v>
      </c>
      <c r="Z505" s="18" t="s">
        <v>545</v>
      </c>
      <c r="AS505" s="1">
        <f>IF($A505&lt;&gt;0,1,0)</f>
        <v>0</v>
      </c>
      <c r="AT505" s="1">
        <f>$A505*$B505</f>
        <v>0</v>
      </c>
      <c r="AU505" s="1">
        <f>$A505*$O505</f>
        <v>0</v>
      </c>
      <c r="AV505" s="1">
        <f>IF($R505=0,0,INT($A505/$R505))</f>
        <v>0</v>
      </c>
      <c r="AW505" s="1">
        <f>$A505-$AV505*$R505</f>
        <v>0</v>
      </c>
    </row>
    <row r="506" ht="24.95" customHeight="1" outlineLevel="3" s="1" customFormat="1">
      <c r="A506" s="15"/>
      <c r="B506" s="16">
        <v>590</v>
      </c>
      <c r="C506" s="16">
        <v>885</v>
      </c>
      <c r="D506" s="16">
        <v>12180</v>
      </c>
      <c r="E506" s="18"/>
      <c r="F506" s="18" t="s">
        <v>1555</v>
      </c>
      <c r="G506" s="18" t="s">
        <v>1711</v>
      </c>
      <c r="H506" s="18" t="s">
        <v>86</v>
      </c>
      <c r="I506" s="18"/>
      <c r="J506" s="16">
        <v>2025</v>
      </c>
      <c r="K506" s="18" t="s">
        <v>1712</v>
      </c>
      <c r="L506" s="16">
        <v>9785961428346</v>
      </c>
      <c r="M506" s="18" t="s">
        <v>1713</v>
      </c>
      <c r="N506" s="16">
        <v>208</v>
      </c>
      <c r="O506" s="19">
        <v>0.41</v>
      </c>
      <c r="P506" s="16">
        <v>146</v>
      </c>
      <c r="Q506" s="16">
        <v>216</v>
      </c>
      <c r="R506" s="16">
        <v>14</v>
      </c>
      <c r="S506" s="18" t="s">
        <v>43</v>
      </c>
      <c r="T506" s="18"/>
      <c r="U506" s="17">
        <v>5000</v>
      </c>
      <c r="V506" s="18" t="s">
        <v>77</v>
      </c>
      <c r="W506" s="18" t="s">
        <v>69</v>
      </c>
      <c r="X506" s="16">
        <v>10</v>
      </c>
      <c r="Y506" s="43" t="str">
        <f>HYPERLINK("https://api-enni.alpina.ru/FilePrivilegesApproval/119","https://api-enni.alpina.ru/FilePrivilegesApproval/119")</f>
        <v>https://api-enni.alpina.ru/FilePrivilegesApproval/119</v>
      </c>
      <c r="Z506" s="18"/>
      <c r="AS506" s="1">
        <f>IF($A506&lt;&gt;0,1,0)</f>
        <v>0</v>
      </c>
      <c r="AT506" s="1">
        <f>$A506*$B506</f>
        <v>0</v>
      </c>
      <c r="AU506" s="1">
        <f>$A506*$O506</f>
        <v>0</v>
      </c>
      <c r="AV506" s="1">
        <f>IF($R506=0,0,INT($A506/$R506))</f>
        <v>0</v>
      </c>
      <c r="AW506" s="1">
        <f>$A506-$AV506*$R506</f>
        <v>0</v>
      </c>
    </row>
    <row r="507" ht="24.95" customHeight="1" outlineLevel="3" s="1" customFormat="1">
      <c r="A507" s="15"/>
      <c r="B507" s="16">
        <v>390</v>
      </c>
      <c r="C507" s="16">
        <v>624</v>
      </c>
      <c r="D507" s="16">
        <v>27883</v>
      </c>
      <c r="E507" s="18"/>
      <c r="F507" s="18" t="s">
        <v>1203</v>
      </c>
      <c r="G507" s="18" t="s">
        <v>1714</v>
      </c>
      <c r="H507" s="18" t="s">
        <v>86</v>
      </c>
      <c r="I507" s="18" t="s">
        <v>74</v>
      </c>
      <c r="J507" s="16">
        <v>2025</v>
      </c>
      <c r="K507" s="18" t="s">
        <v>1715</v>
      </c>
      <c r="L507" s="16">
        <v>9785961486636</v>
      </c>
      <c r="M507" s="18" t="s">
        <v>1716</v>
      </c>
      <c r="N507" s="16">
        <v>442</v>
      </c>
      <c r="O507" s="19">
        <v>0.29</v>
      </c>
      <c r="P507" s="16">
        <v>120</v>
      </c>
      <c r="Q507" s="16">
        <v>170</v>
      </c>
      <c r="R507" s="16">
        <v>24</v>
      </c>
      <c r="S507" s="18" t="s">
        <v>190</v>
      </c>
      <c r="T507" s="18" t="s">
        <v>959</v>
      </c>
      <c r="U507" s="17">
        <v>2000</v>
      </c>
      <c r="V507" s="18" t="s">
        <v>44</v>
      </c>
      <c r="W507" s="18" t="s">
        <v>69</v>
      </c>
      <c r="X507" s="16">
        <v>10</v>
      </c>
      <c r="Y507" s="43" t="str">
        <f>HYPERLINK("https://api-enni.alpina.ru/FilePrivilegesApproval/221","https://api-enni.alpina.ru/FilePrivilegesApproval/221")</f>
        <v>https://api-enni.alpina.ru/FilePrivilegesApproval/221</v>
      </c>
      <c r="Z507" s="18"/>
      <c r="AS507" s="1">
        <f>IF($A507&lt;&gt;0,1,0)</f>
        <v>0</v>
      </c>
      <c r="AT507" s="1">
        <f>$A507*$B507</f>
        <v>0</v>
      </c>
      <c r="AU507" s="1">
        <f>$A507*$O507</f>
        <v>0</v>
      </c>
      <c r="AV507" s="1">
        <f>IF($R507=0,0,INT($A507/$R507))</f>
        <v>0</v>
      </c>
      <c r="AW507" s="1">
        <f>$A507-$AV507*$R507</f>
        <v>0</v>
      </c>
    </row>
    <row r="508" ht="24.95" customHeight="1" outlineLevel="3" s="1" customFormat="1">
      <c r="A508" s="15"/>
      <c r="B508" s="16">
        <v>590</v>
      </c>
      <c r="C508" s="16">
        <v>885</v>
      </c>
      <c r="D508" s="16">
        <v>23434</v>
      </c>
      <c r="E508" s="18"/>
      <c r="F508" s="18" t="s">
        <v>1717</v>
      </c>
      <c r="G508" s="18" t="s">
        <v>1718</v>
      </c>
      <c r="H508" s="18" t="s">
        <v>86</v>
      </c>
      <c r="I508" s="18"/>
      <c r="J508" s="16">
        <v>2025</v>
      </c>
      <c r="K508" s="18" t="s">
        <v>1719</v>
      </c>
      <c r="L508" s="16">
        <v>9785961472554</v>
      </c>
      <c r="M508" s="18" t="s">
        <v>1720</v>
      </c>
      <c r="N508" s="16">
        <v>221</v>
      </c>
      <c r="O508" s="19">
        <v>0.29</v>
      </c>
      <c r="P508" s="16">
        <v>140</v>
      </c>
      <c r="Q508" s="16">
        <v>210</v>
      </c>
      <c r="R508" s="16">
        <v>20</v>
      </c>
      <c r="S508" s="18" t="s">
        <v>43</v>
      </c>
      <c r="T508" s="18"/>
      <c r="U508" s="17">
        <v>5000</v>
      </c>
      <c r="V508" s="18" t="s">
        <v>44</v>
      </c>
      <c r="W508" s="18" t="s">
        <v>91</v>
      </c>
      <c r="X508" s="16">
        <v>10</v>
      </c>
      <c r="Y508" s="43" t="str">
        <f>HYPERLINK("https://api-enni.alpina.ru/FilePrivilegesApproval/128","https://api-enni.alpina.ru/FilePrivilegesApproval/128")</f>
        <v>https://api-enni.alpina.ru/FilePrivilegesApproval/128</v>
      </c>
      <c r="Z508" s="18"/>
      <c r="AS508" s="1">
        <f>IF($A508&lt;&gt;0,1,0)</f>
        <v>0</v>
      </c>
      <c r="AT508" s="1">
        <f>$A508*$B508</f>
        <v>0</v>
      </c>
      <c r="AU508" s="1">
        <f>$A508*$O508</f>
        <v>0</v>
      </c>
      <c r="AV508" s="1">
        <f>IF($R508=0,0,INT($A508/$R508))</f>
        <v>0</v>
      </c>
      <c r="AW508" s="1">
        <f>$A508-$AV508*$R508</f>
        <v>0</v>
      </c>
    </row>
    <row r="509" ht="24.95" customHeight="1" outlineLevel="3" s="1" customFormat="1">
      <c r="A509" s="15"/>
      <c r="B509" s="16">
        <v>690</v>
      </c>
      <c r="C509" s="17">
        <v>1035</v>
      </c>
      <c r="D509" s="16">
        <v>34607</v>
      </c>
      <c r="E509" s="18"/>
      <c r="F509" s="18" t="s">
        <v>1717</v>
      </c>
      <c r="G509" s="18" t="s">
        <v>1721</v>
      </c>
      <c r="H509" s="18" t="s">
        <v>86</v>
      </c>
      <c r="I509" s="18"/>
      <c r="J509" s="16">
        <v>2025</v>
      </c>
      <c r="K509" s="18" t="s">
        <v>1722</v>
      </c>
      <c r="L509" s="16">
        <v>9785006308275</v>
      </c>
      <c r="M509" s="18" t="s">
        <v>1723</v>
      </c>
      <c r="N509" s="16">
        <v>221</v>
      </c>
      <c r="O509" s="19">
        <v>0.37</v>
      </c>
      <c r="P509" s="16">
        <v>150</v>
      </c>
      <c r="Q509" s="16">
        <v>220</v>
      </c>
      <c r="R509" s="16">
        <v>16</v>
      </c>
      <c r="S509" s="18" t="s">
        <v>43</v>
      </c>
      <c r="T509" s="18"/>
      <c r="U509" s="17">
        <v>2000</v>
      </c>
      <c r="V509" s="18" t="s">
        <v>77</v>
      </c>
      <c r="W509" s="18" t="s">
        <v>91</v>
      </c>
      <c r="X509" s="16">
        <v>10</v>
      </c>
      <c r="Y509" s="43" t="str">
        <f>HYPERLINK("https://api-enni.alpina.ru/FilePrivilegesApproval/965","https://api-enni.alpina.ru/FilePrivilegesApproval/965")</f>
        <v>https://api-enni.alpina.ru/FilePrivilegesApproval/965</v>
      </c>
      <c r="Z509" s="18"/>
      <c r="AS509" s="1">
        <f>IF($A509&lt;&gt;0,1,0)</f>
        <v>0</v>
      </c>
      <c r="AT509" s="1">
        <f>$A509*$B509</f>
        <v>0</v>
      </c>
      <c r="AU509" s="1">
        <f>$A509*$O509</f>
        <v>0</v>
      </c>
      <c r="AV509" s="1">
        <f>IF($R509=0,0,INT($A509/$R509))</f>
        <v>0</v>
      </c>
      <c r="AW509" s="1">
        <f>$A509-$AV509*$R509</f>
        <v>0</v>
      </c>
    </row>
    <row r="510" ht="24.95" customHeight="1" outlineLevel="3" s="1" customFormat="1">
      <c r="A510" s="15"/>
      <c r="B510" s="16">
        <v>990</v>
      </c>
      <c r="C510" s="17">
        <v>1386</v>
      </c>
      <c r="D510" s="16">
        <v>36458</v>
      </c>
      <c r="E510" s="18"/>
      <c r="F510" s="18" t="s">
        <v>1724</v>
      </c>
      <c r="G510" s="18" t="s">
        <v>1725</v>
      </c>
      <c r="H510" s="18" t="s">
        <v>95</v>
      </c>
      <c r="I510" s="18" t="s">
        <v>74</v>
      </c>
      <c r="J510" s="16">
        <v>2026</v>
      </c>
      <c r="K510" s="18" t="s">
        <v>1726</v>
      </c>
      <c r="L510" s="16">
        <v>9785206006513</v>
      </c>
      <c r="M510" s="18" t="s">
        <v>1727</v>
      </c>
      <c r="N510" s="16">
        <v>224</v>
      </c>
      <c r="O510" s="19">
        <v>0.37</v>
      </c>
      <c r="P510" s="16">
        <v>140</v>
      </c>
      <c r="Q510" s="16">
        <v>210</v>
      </c>
      <c r="R510" s="16">
        <v>10</v>
      </c>
      <c r="S510" s="18" t="s">
        <v>43</v>
      </c>
      <c r="T510" s="18"/>
      <c r="U510" s="17">
        <v>1000</v>
      </c>
      <c r="V510" s="18" t="s">
        <v>77</v>
      </c>
      <c r="W510" s="18" t="s">
        <v>69</v>
      </c>
      <c r="X510" s="16">
        <v>10</v>
      </c>
      <c r="Y510" s="43" t="str">
        <f>HYPERLINK("https://api-enni.alpina.ru/FilePrivilegesApproval/1136","https://api-enni.alpina.ru/FilePrivilegesApproval/1136")</f>
        <v>https://api-enni.alpina.ru/FilePrivilegesApproval/1136</v>
      </c>
      <c r="Z510" s="18" t="s">
        <v>545</v>
      </c>
      <c r="AS510" s="1">
        <f>IF($A510&lt;&gt;0,1,0)</f>
        <v>0</v>
      </c>
      <c r="AT510" s="1">
        <f>$A510*$B510</f>
        <v>0</v>
      </c>
      <c r="AU510" s="1">
        <f>$A510*$O510</f>
        <v>0</v>
      </c>
      <c r="AV510" s="1">
        <f>IF($R510=0,0,INT($A510/$R510))</f>
        <v>0</v>
      </c>
      <c r="AW510" s="1">
        <f>$A510-$AV510*$R510</f>
        <v>0</v>
      </c>
    </row>
    <row r="511" ht="24.95" customHeight="1" outlineLevel="3" s="1" customFormat="1">
      <c r="A511" s="15"/>
      <c r="B511" s="16">
        <v>690</v>
      </c>
      <c r="C511" s="17">
        <v>1035</v>
      </c>
      <c r="D511" s="16">
        <v>23666</v>
      </c>
      <c r="E511" s="18"/>
      <c r="F511" s="18" t="s">
        <v>1728</v>
      </c>
      <c r="G511" s="18" t="s">
        <v>1729</v>
      </c>
      <c r="H511" s="18" t="s">
        <v>86</v>
      </c>
      <c r="I511" s="18"/>
      <c r="J511" s="16">
        <v>2025</v>
      </c>
      <c r="K511" s="18" t="s">
        <v>1730</v>
      </c>
      <c r="L511" s="16">
        <v>9785961473094</v>
      </c>
      <c r="M511" s="18" t="s">
        <v>1731</v>
      </c>
      <c r="N511" s="16">
        <v>192</v>
      </c>
      <c r="O511" s="19">
        <v>0.36</v>
      </c>
      <c r="P511" s="16">
        <v>160</v>
      </c>
      <c r="Q511" s="16">
        <v>220</v>
      </c>
      <c r="R511" s="16">
        <v>10</v>
      </c>
      <c r="S511" s="18" t="s">
        <v>52</v>
      </c>
      <c r="T511" s="18"/>
      <c r="U511" s="17">
        <v>2000</v>
      </c>
      <c r="V511" s="18" t="s">
        <v>44</v>
      </c>
      <c r="W511" s="18" t="s">
        <v>91</v>
      </c>
      <c r="X511" s="16">
        <v>10</v>
      </c>
      <c r="Y511" s="43" t="str">
        <f>HYPERLINK("https://api-enni.alpina.ru/FilePrivilegesApproval/156","https://api-enni.alpina.ru/FilePrivilegesApproval/156")</f>
        <v>https://api-enni.alpina.ru/FilePrivilegesApproval/156</v>
      </c>
      <c r="Z511" s="18"/>
      <c r="AS511" s="1">
        <f>IF($A511&lt;&gt;0,1,0)</f>
        <v>0</v>
      </c>
      <c r="AT511" s="1">
        <f>$A511*$B511</f>
        <v>0</v>
      </c>
      <c r="AU511" s="1">
        <f>$A511*$O511</f>
        <v>0</v>
      </c>
      <c r="AV511" s="1">
        <f>IF($R511=0,0,INT($A511/$R511))</f>
        <v>0</v>
      </c>
      <c r="AW511" s="1">
        <f>$A511-$AV511*$R511</f>
        <v>0</v>
      </c>
    </row>
    <row r="512" ht="24.95" customHeight="1" outlineLevel="3" s="1" customFormat="1">
      <c r="A512" s="15"/>
      <c r="B512" s="16">
        <v>390</v>
      </c>
      <c r="C512" s="16">
        <v>624</v>
      </c>
      <c r="D512" s="16">
        <v>30694</v>
      </c>
      <c r="E512" s="18"/>
      <c r="F512" s="18" t="s">
        <v>1732</v>
      </c>
      <c r="G512" s="18" t="s">
        <v>1733</v>
      </c>
      <c r="H512" s="18" t="s">
        <v>86</v>
      </c>
      <c r="I512" s="18" t="s">
        <v>74</v>
      </c>
      <c r="J512" s="16">
        <v>2026</v>
      </c>
      <c r="K512" s="18" t="s">
        <v>1734</v>
      </c>
      <c r="L512" s="16">
        <v>9785961496185</v>
      </c>
      <c r="M512" s="18" t="s">
        <v>1735</v>
      </c>
      <c r="N512" s="16">
        <v>506</v>
      </c>
      <c r="O512" s="19">
        <v>0.33</v>
      </c>
      <c r="P512" s="16">
        <v>120</v>
      </c>
      <c r="Q512" s="16">
        <v>170</v>
      </c>
      <c r="R512" s="16">
        <v>6</v>
      </c>
      <c r="S512" s="18" t="s">
        <v>190</v>
      </c>
      <c r="T512" s="18"/>
      <c r="U512" s="17">
        <v>3000</v>
      </c>
      <c r="V512" s="18" t="s">
        <v>44</v>
      </c>
      <c r="W512" s="18" t="s">
        <v>184</v>
      </c>
      <c r="X512" s="16">
        <v>10</v>
      </c>
      <c r="Y512" s="43" t="str">
        <f>HYPERLINK("https://api-enni.alpina.ru/FilePrivilegesApproval/405","https://api-enni.alpina.ru/FilePrivilegesApproval/405")</f>
        <v>https://api-enni.alpina.ru/FilePrivilegesApproval/405</v>
      </c>
      <c r="Z512" s="18"/>
      <c r="AS512" s="1">
        <f>IF($A512&lt;&gt;0,1,0)</f>
        <v>0</v>
      </c>
      <c r="AT512" s="1">
        <f>$A512*$B512</f>
        <v>0</v>
      </c>
      <c r="AU512" s="1">
        <f>$A512*$O512</f>
        <v>0</v>
      </c>
      <c r="AV512" s="1">
        <f>IF($R512=0,0,INT($A512/$R512))</f>
        <v>0</v>
      </c>
      <c r="AW512" s="1">
        <f>$A512-$AV512*$R512</f>
        <v>0</v>
      </c>
    </row>
    <row r="513" ht="24.95" customHeight="1" outlineLevel="3" s="1" customFormat="1">
      <c r="A513" s="15"/>
      <c r="B513" s="16">
        <v>540</v>
      </c>
      <c r="C513" s="16">
        <v>837</v>
      </c>
      <c r="D513" s="16">
        <v>28131</v>
      </c>
      <c r="E513" s="18"/>
      <c r="F513" s="18" t="s">
        <v>1736</v>
      </c>
      <c r="G513" s="18" t="s">
        <v>1737</v>
      </c>
      <c r="H513" s="18" t="s">
        <v>86</v>
      </c>
      <c r="I513" s="18" t="s">
        <v>74</v>
      </c>
      <c r="J513" s="16">
        <v>2025</v>
      </c>
      <c r="K513" s="18" t="s">
        <v>1738</v>
      </c>
      <c r="L513" s="16">
        <v>9785961487367</v>
      </c>
      <c r="M513" s="18" t="s">
        <v>1739</v>
      </c>
      <c r="N513" s="16">
        <v>228</v>
      </c>
      <c r="O513" s="19">
        <v>0.28</v>
      </c>
      <c r="P513" s="16">
        <v>140</v>
      </c>
      <c r="Q513" s="16">
        <v>210</v>
      </c>
      <c r="R513" s="16">
        <v>20</v>
      </c>
      <c r="S513" s="18" t="s">
        <v>43</v>
      </c>
      <c r="T513" s="18"/>
      <c r="U513" s="17">
        <v>3000</v>
      </c>
      <c r="V513" s="18" t="s">
        <v>44</v>
      </c>
      <c r="W513" s="18" t="s">
        <v>91</v>
      </c>
      <c r="X513" s="16">
        <v>10</v>
      </c>
      <c r="Y513" s="43" t="str">
        <f>HYPERLINK("https://api-enni.alpina.ru/FilePrivilegesApproval/321","https://api-enni.alpina.ru/FilePrivilegesApproval/321")</f>
        <v>https://api-enni.alpina.ru/FilePrivilegesApproval/321</v>
      </c>
      <c r="Z513" s="18"/>
      <c r="AS513" s="1">
        <f>IF($A513&lt;&gt;0,1,0)</f>
        <v>0</v>
      </c>
      <c r="AT513" s="1">
        <f>$A513*$B513</f>
        <v>0</v>
      </c>
      <c r="AU513" s="1">
        <f>$A513*$O513</f>
        <v>0</v>
      </c>
      <c r="AV513" s="1">
        <f>IF($R513=0,0,INT($A513/$R513))</f>
        <v>0</v>
      </c>
      <c r="AW513" s="1">
        <f>$A513-$AV513*$R513</f>
        <v>0</v>
      </c>
    </row>
    <row r="514" ht="24.95" customHeight="1" outlineLevel="3" s="1" customFormat="1">
      <c r="A514" s="15"/>
      <c r="B514" s="16">
        <v>490</v>
      </c>
      <c r="C514" s="16">
        <v>760</v>
      </c>
      <c r="D514" s="16">
        <v>31150</v>
      </c>
      <c r="E514" s="18"/>
      <c r="F514" s="18" t="s">
        <v>1740</v>
      </c>
      <c r="G514" s="18" t="s">
        <v>1741</v>
      </c>
      <c r="H514" s="18" t="s">
        <v>86</v>
      </c>
      <c r="I514" s="18"/>
      <c r="J514" s="16">
        <v>2025</v>
      </c>
      <c r="K514" s="18" t="s">
        <v>1742</v>
      </c>
      <c r="L514" s="16">
        <v>9785961497687</v>
      </c>
      <c r="M514" s="18" t="s">
        <v>1743</v>
      </c>
      <c r="N514" s="16">
        <v>364</v>
      </c>
      <c r="O514" s="19">
        <v>0.54</v>
      </c>
      <c r="P514" s="16">
        <v>150</v>
      </c>
      <c r="Q514" s="16">
        <v>220</v>
      </c>
      <c r="R514" s="16">
        <v>12</v>
      </c>
      <c r="S514" s="18" t="s">
        <v>43</v>
      </c>
      <c r="T514" s="18"/>
      <c r="U514" s="17">
        <v>2000</v>
      </c>
      <c r="V514" s="18" t="s">
        <v>77</v>
      </c>
      <c r="W514" s="18" t="s">
        <v>69</v>
      </c>
      <c r="X514" s="16">
        <v>10</v>
      </c>
      <c r="Y514" s="43" t="str">
        <f>HYPERLINK("https://api-enni.alpina.ru/FilePrivilegesApproval/771","https://api-enni.alpina.ru/FilePrivilegesApproval/771")</f>
        <v>https://api-enni.alpina.ru/FilePrivilegesApproval/771</v>
      </c>
      <c r="Z514" s="18"/>
      <c r="AS514" s="1">
        <f>IF($A514&lt;&gt;0,1,0)</f>
        <v>0</v>
      </c>
      <c r="AT514" s="1">
        <f>$A514*$B514</f>
        <v>0</v>
      </c>
      <c r="AU514" s="1">
        <f>$A514*$O514</f>
        <v>0</v>
      </c>
      <c r="AV514" s="1">
        <f>IF($R514=0,0,INT($A514/$R514))</f>
        <v>0</v>
      </c>
      <c r="AW514" s="1">
        <f>$A514-$AV514*$R514</f>
        <v>0</v>
      </c>
    </row>
    <row r="515" ht="24.95" customHeight="1" outlineLevel="3" s="1" customFormat="1">
      <c r="A515" s="15"/>
      <c r="B515" s="16">
        <v>590</v>
      </c>
      <c r="C515" s="16">
        <v>885</v>
      </c>
      <c r="D515" s="16">
        <v>27868</v>
      </c>
      <c r="E515" s="18"/>
      <c r="F515" s="18" t="s">
        <v>1744</v>
      </c>
      <c r="G515" s="18" t="s">
        <v>1745</v>
      </c>
      <c r="H515" s="18" t="s">
        <v>86</v>
      </c>
      <c r="I515" s="18" t="s">
        <v>40</v>
      </c>
      <c r="J515" s="16">
        <v>2024</v>
      </c>
      <c r="K515" s="18" t="s">
        <v>1746</v>
      </c>
      <c r="L515" s="16">
        <v>9785961486605</v>
      </c>
      <c r="M515" s="18" t="s">
        <v>1747</v>
      </c>
      <c r="N515" s="16">
        <v>230</v>
      </c>
      <c r="O515" s="19">
        <v>0.23</v>
      </c>
      <c r="P515" s="16">
        <v>140</v>
      </c>
      <c r="Q515" s="16">
        <v>210</v>
      </c>
      <c r="R515" s="16">
        <v>14</v>
      </c>
      <c r="S515" s="18" t="s">
        <v>43</v>
      </c>
      <c r="T515" s="18"/>
      <c r="U515" s="17">
        <v>2000</v>
      </c>
      <c r="V515" s="18" t="s">
        <v>44</v>
      </c>
      <c r="W515" s="18" t="s">
        <v>69</v>
      </c>
      <c r="X515" s="16">
        <v>10</v>
      </c>
      <c r="Y515" s="43" t="str">
        <f>HYPERLINK("https://api-enni.alpina.ru/FilePrivilegesApproval/376","https://api-enni.alpina.ru/FilePrivilegesApproval/376")</f>
        <v>https://api-enni.alpina.ru/FilePrivilegesApproval/376</v>
      </c>
      <c r="Z515" s="18"/>
      <c r="AS515" s="1">
        <f>IF($A515&lt;&gt;0,1,0)</f>
        <v>0</v>
      </c>
      <c r="AT515" s="1">
        <f>$A515*$B515</f>
        <v>0</v>
      </c>
      <c r="AU515" s="1">
        <f>$A515*$O515</f>
        <v>0</v>
      </c>
      <c r="AV515" s="1">
        <f>IF($R515=0,0,INT($A515/$R515))</f>
        <v>0</v>
      </c>
      <c r="AW515" s="1">
        <f>$A515-$AV515*$R515</f>
        <v>0</v>
      </c>
    </row>
    <row r="516" ht="24.95" customHeight="1" outlineLevel="3" s="1" customFormat="1">
      <c r="A516" s="15"/>
      <c r="B516" s="16">
        <v>690</v>
      </c>
      <c r="C516" s="17">
        <v>1035</v>
      </c>
      <c r="D516" s="16">
        <v>3727</v>
      </c>
      <c r="E516" s="18"/>
      <c r="F516" s="18" t="s">
        <v>1748</v>
      </c>
      <c r="G516" s="18" t="s">
        <v>1749</v>
      </c>
      <c r="H516" s="18" t="s">
        <v>86</v>
      </c>
      <c r="I516" s="18" t="s">
        <v>74</v>
      </c>
      <c r="J516" s="16">
        <v>2026</v>
      </c>
      <c r="K516" s="18" t="s">
        <v>1750</v>
      </c>
      <c r="L516" s="16">
        <v>9785961451610</v>
      </c>
      <c r="M516" s="18" t="s">
        <v>1751</v>
      </c>
      <c r="N516" s="16">
        <v>360</v>
      </c>
      <c r="O516" s="19">
        <v>0.53</v>
      </c>
      <c r="P516" s="16">
        <v>146</v>
      </c>
      <c r="Q516" s="16">
        <v>216</v>
      </c>
      <c r="R516" s="16">
        <v>12</v>
      </c>
      <c r="S516" s="18" t="s">
        <v>43</v>
      </c>
      <c r="T516" s="18"/>
      <c r="U516" s="17">
        <v>3000</v>
      </c>
      <c r="V516" s="18" t="s">
        <v>77</v>
      </c>
      <c r="W516" s="18" t="s">
        <v>184</v>
      </c>
      <c r="X516" s="16">
        <v>10</v>
      </c>
      <c r="Y516" s="43" t="str">
        <f>HYPERLINK("https://api-enni.alpina.ru/FilePrivilegesApproval/152","https://api-enni.alpina.ru/FilePrivilegesApproval/152")</f>
        <v>https://api-enni.alpina.ru/FilePrivilegesApproval/152</v>
      </c>
      <c r="Z516" s="18"/>
      <c r="AS516" s="1">
        <f>IF($A516&lt;&gt;0,1,0)</f>
        <v>0</v>
      </c>
      <c r="AT516" s="1">
        <f>$A516*$B516</f>
        <v>0</v>
      </c>
      <c r="AU516" s="1">
        <f>$A516*$O516</f>
        <v>0</v>
      </c>
      <c r="AV516" s="1">
        <f>IF($R516=0,0,INT($A516/$R516))</f>
        <v>0</v>
      </c>
      <c r="AW516" s="1">
        <f>$A516-$AV516*$R516</f>
        <v>0</v>
      </c>
    </row>
    <row r="517" ht="24.95" customHeight="1" outlineLevel="3" s="1" customFormat="1">
      <c r="A517" s="15"/>
      <c r="B517" s="16">
        <v>640</v>
      </c>
      <c r="C517" s="16">
        <v>960</v>
      </c>
      <c r="D517" s="16">
        <v>24193</v>
      </c>
      <c r="E517" s="18"/>
      <c r="F517" s="18" t="s">
        <v>1752</v>
      </c>
      <c r="G517" s="18" t="s">
        <v>1753</v>
      </c>
      <c r="H517" s="18" t="s">
        <v>86</v>
      </c>
      <c r="I517" s="18"/>
      <c r="J517" s="16">
        <v>2025</v>
      </c>
      <c r="K517" s="18" t="s">
        <v>1754</v>
      </c>
      <c r="L517" s="16">
        <v>9785961481372</v>
      </c>
      <c r="M517" s="18" t="s">
        <v>1755</v>
      </c>
      <c r="N517" s="16">
        <v>236</v>
      </c>
      <c r="O517" s="19">
        <v>0.4</v>
      </c>
      <c r="P517" s="16">
        <v>150</v>
      </c>
      <c r="Q517" s="16">
        <v>220</v>
      </c>
      <c r="R517" s="16">
        <v>16</v>
      </c>
      <c r="S517" s="18" t="s">
        <v>43</v>
      </c>
      <c r="T517" s="18"/>
      <c r="U517" s="17">
        <v>4000</v>
      </c>
      <c r="V517" s="18" t="s">
        <v>77</v>
      </c>
      <c r="W517" s="18" t="s">
        <v>91</v>
      </c>
      <c r="X517" s="16">
        <v>10</v>
      </c>
      <c r="Y517" s="43" t="str">
        <f>HYPERLINK("https://api-enni.alpina.ru/FilePrivilegesApproval/200","https://api-enni.alpina.ru/FilePrivilegesApproval/200")</f>
        <v>https://api-enni.alpina.ru/FilePrivilegesApproval/200</v>
      </c>
      <c r="Z517" s="18"/>
      <c r="AS517" s="1">
        <f>IF($A517&lt;&gt;0,1,0)</f>
        <v>0</v>
      </c>
      <c r="AT517" s="1">
        <f>$A517*$B517</f>
        <v>0</v>
      </c>
      <c r="AU517" s="1">
        <f>$A517*$O517</f>
        <v>0</v>
      </c>
      <c r="AV517" s="1">
        <f>IF($R517=0,0,INT($A517/$R517))</f>
        <v>0</v>
      </c>
      <c r="AW517" s="1">
        <f>$A517-$AV517*$R517</f>
        <v>0</v>
      </c>
    </row>
    <row r="518" ht="24.95" customHeight="1" outlineLevel="3" s="1" customFormat="1">
      <c r="A518" s="15"/>
      <c r="B518" s="16">
        <v>590</v>
      </c>
      <c r="C518" s="16">
        <v>885</v>
      </c>
      <c r="D518" s="16">
        <v>30829</v>
      </c>
      <c r="E518" s="18"/>
      <c r="F518" s="18" t="s">
        <v>1092</v>
      </c>
      <c r="G518" s="18" t="s">
        <v>1756</v>
      </c>
      <c r="H518" s="18" t="s">
        <v>86</v>
      </c>
      <c r="I518" s="18"/>
      <c r="J518" s="16">
        <v>2026</v>
      </c>
      <c r="K518" s="18" t="s">
        <v>1757</v>
      </c>
      <c r="L518" s="16">
        <v>9785961496727</v>
      </c>
      <c r="M518" s="18" t="s">
        <v>1758</v>
      </c>
      <c r="N518" s="16">
        <v>228</v>
      </c>
      <c r="O518" s="19">
        <v>0.38</v>
      </c>
      <c r="P518" s="16">
        <v>150</v>
      </c>
      <c r="Q518" s="16">
        <v>220</v>
      </c>
      <c r="R518" s="16">
        <v>10</v>
      </c>
      <c r="S518" s="18" t="s">
        <v>43</v>
      </c>
      <c r="T518" s="18"/>
      <c r="U518" s="17">
        <v>1000</v>
      </c>
      <c r="V518" s="18" t="s">
        <v>77</v>
      </c>
      <c r="W518" s="18" t="s">
        <v>45</v>
      </c>
      <c r="X518" s="16">
        <v>10</v>
      </c>
      <c r="Y518" s="43" t="str">
        <f>HYPERLINK("https://api-enni.alpina.ru/FilePrivilegesApproval/527","https://api-enni.alpina.ru/FilePrivilegesApproval/527")</f>
        <v>https://api-enni.alpina.ru/FilePrivilegesApproval/527</v>
      </c>
      <c r="Z518" s="18" t="s">
        <v>843</v>
      </c>
      <c r="AS518" s="1">
        <f>IF($A518&lt;&gt;0,1,0)</f>
        <v>0</v>
      </c>
      <c r="AT518" s="1">
        <f>$A518*$B518</f>
        <v>0</v>
      </c>
      <c r="AU518" s="1">
        <f>$A518*$O518</f>
        <v>0</v>
      </c>
      <c r="AV518" s="1">
        <f>IF($R518=0,0,INT($A518/$R518))</f>
        <v>0</v>
      </c>
      <c r="AW518" s="1">
        <f>$A518-$AV518*$R518</f>
        <v>0</v>
      </c>
    </row>
    <row r="519" ht="24.95" customHeight="1" outlineLevel="3" s="1" customFormat="1">
      <c r="A519" s="25"/>
      <c r="B519" s="26">
        <v>340</v>
      </c>
      <c r="C519" s="26">
        <v>544</v>
      </c>
      <c r="D519" s="26">
        <v>27536</v>
      </c>
      <c r="E519" s="27"/>
      <c r="F519" s="27" t="s">
        <v>1759</v>
      </c>
      <c r="G519" s="27" t="s">
        <v>1760</v>
      </c>
      <c r="H519" s="27" t="s">
        <v>73</v>
      </c>
      <c r="I519" s="27" t="s">
        <v>74</v>
      </c>
      <c r="J519" s="26">
        <v>2023</v>
      </c>
      <c r="K519" s="27" t="s">
        <v>1761</v>
      </c>
      <c r="L519" s="26">
        <v>9785001399230</v>
      </c>
      <c r="M519" s="27" t="s">
        <v>1762</v>
      </c>
      <c r="N519" s="26">
        <v>218</v>
      </c>
      <c r="O519" s="28">
        <v>0.15</v>
      </c>
      <c r="P519" s="26">
        <v>120</v>
      </c>
      <c r="Q519" s="26">
        <v>170</v>
      </c>
      <c r="R519" s="26">
        <v>10</v>
      </c>
      <c r="S519" s="27" t="s">
        <v>190</v>
      </c>
      <c r="T519" s="27" t="s">
        <v>1763</v>
      </c>
      <c r="U519" s="29">
        <v>2000</v>
      </c>
      <c r="V519" s="27" t="s">
        <v>44</v>
      </c>
      <c r="W519" s="27" t="s">
        <v>184</v>
      </c>
      <c r="X519" s="26">
        <v>10</v>
      </c>
      <c r="Y519" s="45" t="str">
        <f>HYPERLINK("https://api-enni.alpina.ru/FilePrivilegesApproval/217","https://api-enni.alpina.ru/FilePrivilegesApproval/217")</f>
        <v>https://api-enni.alpina.ru/FilePrivilegesApproval/217</v>
      </c>
      <c r="Z519" s="27"/>
      <c r="AS519" s="1">
        <f>IF($A519&lt;&gt;0,1,0)</f>
        <v>0</v>
      </c>
      <c r="AT519" s="1">
        <f>$A519*$B519</f>
        <v>0</v>
      </c>
      <c r="AU519" s="1">
        <f>$A519*$O519</f>
        <v>0</v>
      </c>
      <c r="AV519" s="1">
        <f>IF($R519=0,0,INT($A519/$R519))</f>
        <v>0</v>
      </c>
      <c r="AW519" s="1">
        <f>$A519-$AV519*$R519</f>
        <v>0</v>
      </c>
    </row>
    <row r="520" ht="24.95" customHeight="1" outlineLevel="3" s="1" customFormat="1">
      <c r="A520" s="25"/>
      <c r="B520" s="26">
        <v>640</v>
      </c>
      <c r="C520" s="26">
        <v>960</v>
      </c>
      <c r="D520" s="26">
        <v>6135</v>
      </c>
      <c r="E520" s="27"/>
      <c r="F520" s="27" t="s">
        <v>1759</v>
      </c>
      <c r="G520" s="27" t="s">
        <v>1764</v>
      </c>
      <c r="H520" s="27" t="s">
        <v>86</v>
      </c>
      <c r="I520" s="27" t="s">
        <v>74</v>
      </c>
      <c r="J520" s="26">
        <v>2026</v>
      </c>
      <c r="K520" s="27" t="s">
        <v>1765</v>
      </c>
      <c r="L520" s="26">
        <v>9785961417623</v>
      </c>
      <c r="M520" s="27" t="s">
        <v>1766</v>
      </c>
      <c r="N520" s="26">
        <v>234</v>
      </c>
      <c r="O520" s="28">
        <v>0.39</v>
      </c>
      <c r="P520" s="26">
        <v>153</v>
      </c>
      <c r="Q520" s="26">
        <v>216</v>
      </c>
      <c r="R520" s="26">
        <v>10</v>
      </c>
      <c r="S520" s="27" t="s">
        <v>43</v>
      </c>
      <c r="T520" s="27"/>
      <c r="U520" s="29">
        <v>1000</v>
      </c>
      <c r="V520" s="27" t="s">
        <v>77</v>
      </c>
      <c r="W520" s="27" t="s">
        <v>184</v>
      </c>
      <c r="X520" s="26">
        <v>10</v>
      </c>
      <c r="Y520" s="45" t="str">
        <f>HYPERLINK("https://api-enni.alpina.ru/FilePrivilegesApproval/153","https://api-enni.alpina.ru/FilePrivilegesApproval/153")</f>
        <v>https://api-enni.alpina.ru/FilePrivilegesApproval/153</v>
      </c>
      <c r="Z520" s="27"/>
      <c r="AS520" s="1">
        <f>IF($A520&lt;&gt;0,1,0)</f>
        <v>0</v>
      </c>
      <c r="AT520" s="1">
        <f>$A520*$B520</f>
        <v>0</v>
      </c>
      <c r="AU520" s="1">
        <f>$A520*$O520</f>
        <v>0</v>
      </c>
      <c r="AV520" s="1">
        <f>IF($R520=0,0,INT($A520/$R520))</f>
        <v>0</v>
      </c>
      <c r="AW520" s="1">
        <f>$A520-$AV520*$R520</f>
        <v>0</v>
      </c>
    </row>
    <row r="521" ht="24.95" customHeight="1" outlineLevel="3" s="1" customFormat="1">
      <c r="A521" s="15"/>
      <c r="B521" s="16">
        <v>390</v>
      </c>
      <c r="C521" s="16">
        <v>624</v>
      </c>
      <c r="D521" s="16">
        <v>27547</v>
      </c>
      <c r="E521" s="18"/>
      <c r="F521" s="18" t="s">
        <v>1759</v>
      </c>
      <c r="G521" s="18" t="s">
        <v>1767</v>
      </c>
      <c r="H521" s="18" t="s">
        <v>86</v>
      </c>
      <c r="I521" s="18" t="s">
        <v>74</v>
      </c>
      <c r="J521" s="16">
        <v>2023</v>
      </c>
      <c r="K521" s="18" t="s">
        <v>1768</v>
      </c>
      <c r="L521" s="16">
        <v>9785961485561</v>
      </c>
      <c r="M521" s="18" t="s">
        <v>1769</v>
      </c>
      <c r="N521" s="16">
        <v>318</v>
      </c>
      <c r="O521" s="19">
        <v>0.21</v>
      </c>
      <c r="P521" s="16">
        <v>120</v>
      </c>
      <c r="Q521" s="16">
        <v>170</v>
      </c>
      <c r="R521" s="16">
        <v>10</v>
      </c>
      <c r="S521" s="18" t="s">
        <v>190</v>
      </c>
      <c r="T521" s="18" t="s">
        <v>1763</v>
      </c>
      <c r="U521" s="17">
        <v>2000</v>
      </c>
      <c r="V521" s="18" t="s">
        <v>44</v>
      </c>
      <c r="W521" s="18" t="s">
        <v>184</v>
      </c>
      <c r="X521" s="16">
        <v>10</v>
      </c>
      <c r="Y521" s="43" t="str">
        <f>HYPERLINK("https://api-enni.alpina.ru/FilePrivilegesApproval/202","https://api-enni.alpina.ru/FilePrivilegesApproval/202")</f>
        <v>https://api-enni.alpina.ru/FilePrivilegesApproval/202</v>
      </c>
      <c r="Z521" s="18"/>
      <c r="AS521" s="1">
        <f>IF($A521&lt;&gt;0,1,0)</f>
        <v>0</v>
      </c>
      <c r="AT521" s="1">
        <f>$A521*$B521</f>
        <v>0</v>
      </c>
      <c r="AU521" s="1">
        <f>$A521*$O521</f>
        <v>0</v>
      </c>
      <c r="AV521" s="1">
        <f>IF($R521=0,0,INT($A521/$R521))</f>
        <v>0</v>
      </c>
      <c r="AW521" s="1">
        <f>$A521-$AV521*$R521</f>
        <v>0</v>
      </c>
    </row>
    <row r="522" ht="24.95" customHeight="1" outlineLevel="3" s="1" customFormat="1">
      <c r="A522" s="25"/>
      <c r="B522" s="26">
        <v>590</v>
      </c>
      <c r="C522" s="26">
        <v>885</v>
      </c>
      <c r="D522" s="26">
        <v>11054</v>
      </c>
      <c r="E522" s="27"/>
      <c r="F522" s="27" t="s">
        <v>1770</v>
      </c>
      <c r="G522" s="27" t="s">
        <v>1771</v>
      </c>
      <c r="H522" s="27" t="s">
        <v>86</v>
      </c>
      <c r="I522" s="27" t="s">
        <v>74</v>
      </c>
      <c r="J522" s="26">
        <v>2019</v>
      </c>
      <c r="K522" s="27" t="s">
        <v>1772</v>
      </c>
      <c r="L522" s="26">
        <v>9785961423761</v>
      </c>
      <c r="M522" s="27" t="s">
        <v>1773</v>
      </c>
      <c r="N522" s="26">
        <v>271</v>
      </c>
      <c r="O522" s="28">
        <v>0.55</v>
      </c>
      <c r="P522" s="26">
        <v>147</v>
      </c>
      <c r="Q522" s="26">
        <v>216</v>
      </c>
      <c r="R522" s="26">
        <v>6</v>
      </c>
      <c r="S522" s="27" t="s">
        <v>43</v>
      </c>
      <c r="T522" s="27"/>
      <c r="U522" s="29">
        <v>3000</v>
      </c>
      <c r="V522" s="27" t="s">
        <v>54</v>
      </c>
      <c r="W522" s="27" t="s">
        <v>45</v>
      </c>
      <c r="X522" s="26">
        <v>10</v>
      </c>
      <c r="Y522" s="45" t="str">
        <f>HYPERLINK("https://api-enni.alpina.ru/FilePrivilegesApproval/239","https://api-enni.alpina.ru/FilePrivilegesApproval/239")</f>
        <v>https://api-enni.alpina.ru/FilePrivilegesApproval/239</v>
      </c>
      <c r="Z522" s="27"/>
      <c r="AS522" s="1">
        <f>IF($A522&lt;&gt;0,1,0)</f>
        <v>0</v>
      </c>
      <c r="AT522" s="1">
        <f>$A522*$B522</f>
        <v>0</v>
      </c>
      <c r="AU522" s="1">
        <f>$A522*$O522</f>
        <v>0</v>
      </c>
      <c r="AV522" s="1">
        <f>IF($R522=0,0,INT($A522/$R522))</f>
        <v>0</v>
      </c>
      <c r="AW522" s="1">
        <f>$A522-$AV522*$R522</f>
        <v>0</v>
      </c>
    </row>
    <row r="523" ht="24.95" customHeight="1" outlineLevel="3" s="1" customFormat="1">
      <c r="A523" s="15"/>
      <c r="B523" s="16">
        <v>390</v>
      </c>
      <c r="C523" s="16">
        <v>624</v>
      </c>
      <c r="D523" s="16">
        <v>27544</v>
      </c>
      <c r="E523" s="18"/>
      <c r="F523" s="18" t="s">
        <v>1759</v>
      </c>
      <c r="G523" s="18" t="s">
        <v>1774</v>
      </c>
      <c r="H523" s="18" t="s">
        <v>86</v>
      </c>
      <c r="I523" s="18" t="s">
        <v>74</v>
      </c>
      <c r="J523" s="16">
        <v>2025</v>
      </c>
      <c r="K523" s="18" t="s">
        <v>1775</v>
      </c>
      <c r="L523" s="16">
        <v>9785961485516</v>
      </c>
      <c r="M523" s="18" t="s">
        <v>1776</v>
      </c>
      <c r="N523" s="16">
        <v>283</v>
      </c>
      <c r="O523" s="19">
        <v>0.19</v>
      </c>
      <c r="P523" s="16">
        <v>120</v>
      </c>
      <c r="Q523" s="16">
        <v>170</v>
      </c>
      <c r="R523" s="16">
        <v>20</v>
      </c>
      <c r="S523" s="18" t="s">
        <v>190</v>
      </c>
      <c r="T523" s="18" t="s">
        <v>1763</v>
      </c>
      <c r="U523" s="17">
        <v>2000</v>
      </c>
      <c r="V523" s="18" t="s">
        <v>44</v>
      </c>
      <c r="W523" s="18" t="s">
        <v>184</v>
      </c>
      <c r="X523" s="16">
        <v>10</v>
      </c>
      <c r="Y523" s="43" t="str">
        <f>HYPERLINK("https://api-enni.alpina.ru/FilePrivilegesApproval/202","https://api-enni.alpina.ru/FilePrivilegesApproval/202")</f>
        <v>https://api-enni.alpina.ru/FilePrivilegesApproval/202</v>
      </c>
      <c r="Z523" s="18"/>
      <c r="AS523" s="1">
        <f>IF($A523&lt;&gt;0,1,0)</f>
        <v>0</v>
      </c>
      <c r="AT523" s="1">
        <f>$A523*$B523</f>
        <v>0</v>
      </c>
      <c r="AU523" s="1">
        <f>$A523*$O523</f>
        <v>0</v>
      </c>
      <c r="AV523" s="1">
        <f>IF($R523=0,0,INT($A523/$R523))</f>
        <v>0</v>
      </c>
      <c r="AW523" s="1">
        <f>$A523-$AV523*$R523</f>
        <v>0</v>
      </c>
    </row>
    <row r="524" ht="24.95" customHeight="1" outlineLevel="3" s="1" customFormat="1">
      <c r="A524" s="15"/>
      <c r="B524" s="16">
        <v>640</v>
      </c>
      <c r="C524" s="16">
        <v>960</v>
      </c>
      <c r="D524" s="16">
        <v>25451</v>
      </c>
      <c r="E524" s="18"/>
      <c r="F524" s="18" t="s">
        <v>1555</v>
      </c>
      <c r="G524" s="18" t="s">
        <v>1777</v>
      </c>
      <c r="H524" s="18" t="s">
        <v>86</v>
      </c>
      <c r="I524" s="18"/>
      <c r="J524" s="16">
        <v>2025</v>
      </c>
      <c r="K524" s="18" t="s">
        <v>1778</v>
      </c>
      <c r="L524" s="16">
        <v>9785961448399</v>
      </c>
      <c r="M524" s="18" t="s">
        <v>1779</v>
      </c>
      <c r="N524" s="16">
        <v>206</v>
      </c>
      <c r="O524" s="19">
        <v>0.42</v>
      </c>
      <c r="P524" s="16">
        <v>150</v>
      </c>
      <c r="Q524" s="16">
        <v>220</v>
      </c>
      <c r="R524" s="16">
        <v>10</v>
      </c>
      <c r="S524" s="18" t="s">
        <v>43</v>
      </c>
      <c r="T524" s="18"/>
      <c r="U524" s="17">
        <v>1000</v>
      </c>
      <c r="V524" s="18" t="s">
        <v>77</v>
      </c>
      <c r="W524" s="18" t="s">
        <v>69</v>
      </c>
      <c r="X524" s="16">
        <v>10</v>
      </c>
      <c r="Y524" s="43" t="str">
        <f>HYPERLINK("https://api-enni.alpina.ru/FilePrivilegesApproval/307","https://api-enni.alpina.ru/FilePrivilegesApproval/307")</f>
        <v>https://api-enni.alpina.ru/FilePrivilegesApproval/307</v>
      </c>
      <c r="Z524" s="18"/>
      <c r="AS524" s="1">
        <f>IF($A524&lt;&gt;0,1,0)</f>
        <v>0</v>
      </c>
      <c r="AT524" s="1">
        <f>$A524*$B524</f>
        <v>0</v>
      </c>
      <c r="AU524" s="1">
        <f>$A524*$O524</f>
        <v>0</v>
      </c>
      <c r="AV524" s="1">
        <f>IF($R524=0,0,INT($A524/$R524))</f>
        <v>0</v>
      </c>
      <c r="AW524" s="1">
        <f>$A524-$AV524*$R524</f>
        <v>0</v>
      </c>
    </row>
    <row r="525" ht="24.95" customHeight="1" outlineLevel="3" s="1" customFormat="1">
      <c r="A525" s="15"/>
      <c r="B525" s="16">
        <v>590</v>
      </c>
      <c r="C525" s="16">
        <v>885</v>
      </c>
      <c r="D525" s="16">
        <v>31677</v>
      </c>
      <c r="E525" s="18"/>
      <c r="F525" s="18" t="s">
        <v>1780</v>
      </c>
      <c r="G525" s="18" t="s">
        <v>1781</v>
      </c>
      <c r="H525" s="18" t="s">
        <v>86</v>
      </c>
      <c r="I525" s="18" t="s">
        <v>74</v>
      </c>
      <c r="J525" s="16">
        <v>2025</v>
      </c>
      <c r="K525" s="18" t="s">
        <v>1782</v>
      </c>
      <c r="L525" s="16">
        <v>9785961499896</v>
      </c>
      <c r="M525" s="18" t="s">
        <v>1783</v>
      </c>
      <c r="N525" s="16">
        <v>182</v>
      </c>
      <c r="O525" s="19">
        <v>0.49</v>
      </c>
      <c r="P525" s="16">
        <v>170</v>
      </c>
      <c r="Q525" s="16">
        <v>240</v>
      </c>
      <c r="R525" s="16">
        <v>9</v>
      </c>
      <c r="S525" s="18" t="s">
        <v>123</v>
      </c>
      <c r="T525" s="18" t="s">
        <v>1196</v>
      </c>
      <c r="U525" s="17">
        <v>2000</v>
      </c>
      <c r="V525" s="18" t="s">
        <v>77</v>
      </c>
      <c r="W525" s="18" t="s">
        <v>91</v>
      </c>
      <c r="X525" s="16">
        <v>10</v>
      </c>
      <c r="Y525" s="43" t="str">
        <f>HYPERLINK("https://api-enni.alpina.ru/FilePrivilegesApproval/782","https://api-enni.alpina.ru/FilePrivilegesApproval/782")</f>
        <v>https://api-enni.alpina.ru/FilePrivilegesApproval/782</v>
      </c>
      <c r="Z525" s="18"/>
      <c r="AS525" s="1">
        <f>IF($A525&lt;&gt;0,1,0)</f>
        <v>0</v>
      </c>
      <c r="AT525" s="1">
        <f>$A525*$B525</f>
        <v>0</v>
      </c>
      <c r="AU525" s="1">
        <f>$A525*$O525</f>
        <v>0</v>
      </c>
      <c r="AV525" s="1">
        <f>IF($R525=0,0,INT($A525/$R525))</f>
        <v>0</v>
      </c>
      <c r="AW525" s="1">
        <f>$A525-$AV525*$R525</f>
        <v>0</v>
      </c>
    </row>
    <row r="526" ht="24.95" customHeight="1" outlineLevel="3" s="1" customFormat="1">
      <c r="A526" s="15"/>
      <c r="B526" s="16">
        <v>340</v>
      </c>
      <c r="C526" s="16">
        <v>544</v>
      </c>
      <c r="D526" s="16">
        <v>30841</v>
      </c>
      <c r="E526" s="18"/>
      <c r="F526" s="18" t="s">
        <v>1784</v>
      </c>
      <c r="G526" s="18" t="s">
        <v>1785</v>
      </c>
      <c r="H526" s="18" t="s">
        <v>86</v>
      </c>
      <c r="I526" s="18"/>
      <c r="J526" s="16">
        <v>2025</v>
      </c>
      <c r="K526" s="18" t="s">
        <v>1786</v>
      </c>
      <c r="L526" s="16">
        <v>9785961496734</v>
      </c>
      <c r="M526" s="18" t="s">
        <v>1787</v>
      </c>
      <c r="N526" s="16">
        <v>148</v>
      </c>
      <c r="O526" s="19">
        <v>0.11</v>
      </c>
      <c r="P526" s="16">
        <v>120</v>
      </c>
      <c r="Q526" s="16">
        <v>170</v>
      </c>
      <c r="R526" s="16">
        <v>26</v>
      </c>
      <c r="S526" s="18" t="s">
        <v>190</v>
      </c>
      <c r="T526" s="18" t="s">
        <v>959</v>
      </c>
      <c r="U526" s="17">
        <v>2000</v>
      </c>
      <c r="V526" s="18" t="s">
        <v>44</v>
      </c>
      <c r="W526" s="18" t="s">
        <v>69</v>
      </c>
      <c r="X526" s="16">
        <v>10</v>
      </c>
      <c r="Y526" s="43" t="str">
        <f>HYPERLINK("https://api-enni.alpina.ru/FilePrivilegesApproval/489","https://api-enni.alpina.ru/FilePrivilegesApproval/489")</f>
        <v>https://api-enni.alpina.ru/FilePrivilegesApproval/489</v>
      </c>
      <c r="Z526" s="18"/>
      <c r="AS526" s="1">
        <f>IF($A526&lt;&gt;0,1,0)</f>
        <v>0</v>
      </c>
      <c r="AT526" s="1">
        <f>$A526*$B526</f>
        <v>0</v>
      </c>
      <c r="AU526" s="1">
        <f>$A526*$O526</f>
        <v>0</v>
      </c>
      <c r="AV526" s="1">
        <f>IF($R526=0,0,INT($A526/$R526))</f>
        <v>0</v>
      </c>
      <c r="AW526" s="1">
        <f>$A526-$AV526*$R526</f>
        <v>0</v>
      </c>
    </row>
    <row r="527" ht="24.95" customHeight="1" outlineLevel="3" s="1" customFormat="1">
      <c r="A527" s="15"/>
      <c r="B527" s="16">
        <v>390</v>
      </c>
      <c r="C527" s="16">
        <v>624</v>
      </c>
      <c r="D527" s="16">
        <v>31128</v>
      </c>
      <c r="E527" s="18"/>
      <c r="F527" s="18" t="s">
        <v>1788</v>
      </c>
      <c r="G527" s="18" t="s">
        <v>1789</v>
      </c>
      <c r="H527" s="18" t="s">
        <v>86</v>
      </c>
      <c r="I527" s="18" t="s">
        <v>74</v>
      </c>
      <c r="J527" s="16">
        <v>2024</v>
      </c>
      <c r="K527" s="18" t="s">
        <v>1790</v>
      </c>
      <c r="L527" s="16">
        <v>9785961497663</v>
      </c>
      <c r="M527" s="18" t="s">
        <v>1791</v>
      </c>
      <c r="N527" s="16">
        <v>478</v>
      </c>
      <c r="O527" s="19">
        <v>0.31</v>
      </c>
      <c r="P527" s="16">
        <v>120</v>
      </c>
      <c r="Q527" s="16">
        <v>170</v>
      </c>
      <c r="R527" s="16">
        <v>12</v>
      </c>
      <c r="S527" s="18" t="s">
        <v>190</v>
      </c>
      <c r="T527" s="18" t="s">
        <v>451</v>
      </c>
      <c r="U527" s="17">
        <v>2000</v>
      </c>
      <c r="V527" s="18" t="s">
        <v>44</v>
      </c>
      <c r="W527" s="18" t="s">
        <v>69</v>
      </c>
      <c r="X527" s="16">
        <v>10</v>
      </c>
      <c r="Y527" s="43" t="str">
        <f>HYPERLINK("https://api-enni.alpina.ru/FilePrivilegesApproval/535","https://api-enni.alpina.ru/FilePrivilegesApproval/535")</f>
        <v>https://api-enni.alpina.ru/FilePrivilegesApproval/535</v>
      </c>
      <c r="Z527" s="18"/>
      <c r="AS527" s="1">
        <f>IF($A527&lt;&gt;0,1,0)</f>
        <v>0</v>
      </c>
      <c r="AT527" s="1">
        <f>$A527*$B527</f>
        <v>0</v>
      </c>
      <c r="AU527" s="1">
        <f>$A527*$O527</f>
        <v>0</v>
      </c>
      <c r="AV527" s="1">
        <f>IF($R527=0,0,INT($A527/$R527))</f>
        <v>0</v>
      </c>
      <c r="AW527" s="1">
        <f>$A527-$AV527*$R527</f>
        <v>0</v>
      </c>
    </row>
    <row r="528" ht="24.95" customHeight="1" outlineLevel="3" s="1" customFormat="1">
      <c r="A528" s="15"/>
      <c r="B528" s="16">
        <v>890</v>
      </c>
      <c r="C528" s="17">
        <v>1246</v>
      </c>
      <c r="D528" s="16">
        <v>37004</v>
      </c>
      <c r="E528" s="18"/>
      <c r="F528" s="18" t="s">
        <v>316</v>
      </c>
      <c r="G528" s="18" t="s">
        <v>317</v>
      </c>
      <c r="H528" s="18" t="s">
        <v>95</v>
      </c>
      <c r="I528" s="18"/>
      <c r="J528" s="16">
        <v>2026</v>
      </c>
      <c r="K528" s="18" t="s">
        <v>318</v>
      </c>
      <c r="L528" s="16">
        <v>9785002060184</v>
      </c>
      <c r="M528" s="18" t="s">
        <v>319</v>
      </c>
      <c r="N528" s="16">
        <v>176</v>
      </c>
      <c r="O528" s="19">
        <v>0.32</v>
      </c>
      <c r="P528" s="16">
        <v>150</v>
      </c>
      <c r="Q528" s="16">
        <v>220</v>
      </c>
      <c r="R528" s="16">
        <v>10</v>
      </c>
      <c r="S528" s="18" t="s">
        <v>43</v>
      </c>
      <c r="T528" s="18"/>
      <c r="U528" s="17">
        <v>1005</v>
      </c>
      <c r="V528" s="18" t="s">
        <v>77</v>
      </c>
      <c r="W528" s="18" t="s">
        <v>69</v>
      </c>
      <c r="X528" s="16">
        <v>10</v>
      </c>
      <c r="Y528" s="43" t="str">
        <f>HYPERLINK("https://api-enni.alpina.ru/FilePrivilegesApproval/1181","https://api-enni.alpina.ru/FilePrivilegesApproval/1181")</f>
        <v>https://api-enni.alpina.ru/FilePrivilegesApproval/1181</v>
      </c>
      <c r="Z528" s="18"/>
      <c r="AS528" s="1">
        <f>IF($A528&lt;&gt;0,1,0)</f>
        <v>0</v>
      </c>
      <c r="AT528" s="1">
        <f>$A528*$B528</f>
        <v>0</v>
      </c>
      <c r="AU528" s="1">
        <f>$A528*$O528</f>
        <v>0</v>
      </c>
      <c r="AV528" s="1">
        <f>IF($R528=0,0,INT($A528/$R528))</f>
        <v>0</v>
      </c>
      <c r="AW528" s="1">
        <f>$A528-$AV528*$R528</f>
        <v>0</v>
      </c>
    </row>
    <row r="529" ht="24.95" customHeight="1" outlineLevel="3" s="1" customFormat="1">
      <c r="A529" s="15"/>
      <c r="B529" s="16">
        <v>390</v>
      </c>
      <c r="C529" s="16">
        <v>624</v>
      </c>
      <c r="D529" s="16">
        <v>29784</v>
      </c>
      <c r="E529" s="18"/>
      <c r="F529" s="18" t="s">
        <v>1792</v>
      </c>
      <c r="G529" s="18" t="s">
        <v>1793</v>
      </c>
      <c r="H529" s="18" t="s">
        <v>86</v>
      </c>
      <c r="I529" s="18" t="s">
        <v>74</v>
      </c>
      <c r="J529" s="16">
        <v>2024</v>
      </c>
      <c r="K529" s="18" t="s">
        <v>1794</v>
      </c>
      <c r="L529" s="16">
        <v>9785961493870</v>
      </c>
      <c r="M529" s="18" t="s">
        <v>1795</v>
      </c>
      <c r="N529" s="16">
        <v>320</v>
      </c>
      <c r="O529" s="19">
        <v>0.21</v>
      </c>
      <c r="P529" s="16">
        <v>120</v>
      </c>
      <c r="Q529" s="16">
        <v>170</v>
      </c>
      <c r="R529" s="16">
        <v>20</v>
      </c>
      <c r="S529" s="18" t="s">
        <v>190</v>
      </c>
      <c r="T529" s="18" t="s">
        <v>451</v>
      </c>
      <c r="U529" s="17">
        <v>2000</v>
      </c>
      <c r="V529" s="18" t="s">
        <v>44</v>
      </c>
      <c r="W529" s="18" t="s">
        <v>91</v>
      </c>
      <c r="X529" s="16">
        <v>10</v>
      </c>
      <c r="Y529" s="43" t="str">
        <f>HYPERLINK("https://api-enni.alpina.ru/FilePrivilegesApproval/121","https://api-enni.alpina.ru/FilePrivilegesApproval/121")</f>
        <v>https://api-enni.alpina.ru/FilePrivilegesApproval/121</v>
      </c>
      <c r="Z529" s="18"/>
      <c r="AS529" s="1">
        <f>IF($A529&lt;&gt;0,1,0)</f>
        <v>0</v>
      </c>
      <c r="AT529" s="1">
        <f>$A529*$B529</f>
        <v>0</v>
      </c>
      <c r="AU529" s="1">
        <f>$A529*$O529</f>
        <v>0</v>
      </c>
      <c r="AV529" s="1">
        <f>IF($R529=0,0,INT($A529/$R529))</f>
        <v>0</v>
      </c>
      <c r="AW529" s="1">
        <f>$A529-$AV529*$R529</f>
        <v>0</v>
      </c>
    </row>
    <row r="530" ht="24.95" customHeight="1" outlineLevel="3" s="1" customFormat="1">
      <c r="A530" s="15"/>
      <c r="B530" s="16">
        <v>490</v>
      </c>
      <c r="C530" s="16">
        <v>760</v>
      </c>
      <c r="D530" s="16">
        <v>27458</v>
      </c>
      <c r="E530" s="18"/>
      <c r="F530" s="18" t="s">
        <v>1796</v>
      </c>
      <c r="G530" s="18" t="s">
        <v>1797</v>
      </c>
      <c r="H530" s="18" t="s">
        <v>86</v>
      </c>
      <c r="I530" s="18" t="s">
        <v>1213</v>
      </c>
      <c r="J530" s="16">
        <v>2025</v>
      </c>
      <c r="K530" s="18" t="s">
        <v>1798</v>
      </c>
      <c r="L530" s="16">
        <v>9785961485233</v>
      </c>
      <c r="M530" s="18" t="s">
        <v>1799</v>
      </c>
      <c r="N530" s="16">
        <v>111</v>
      </c>
      <c r="O530" s="19">
        <v>0.25</v>
      </c>
      <c r="P530" s="16">
        <v>160</v>
      </c>
      <c r="Q530" s="16">
        <v>220</v>
      </c>
      <c r="R530" s="16">
        <v>16</v>
      </c>
      <c r="S530" s="18" t="s">
        <v>43</v>
      </c>
      <c r="T530" s="18"/>
      <c r="U530" s="17">
        <v>2000</v>
      </c>
      <c r="V530" s="18" t="s">
        <v>77</v>
      </c>
      <c r="W530" s="18" t="s">
        <v>91</v>
      </c>
      <c r="X530" s="16">
        <v>10</v>
      </c>
      <c r="Y530" s="43" t="str">
        <f>HYPERLINK("https://api-enni.alpina.ru/FilePrivilegesApproval/200","https://api-enni.alpina.ru/FilePrivilegesApproval/200")</f>
        <v>https://api-enni.alpina.ru/FilePrivilegesApproval/200</v>
      </c>
      <c r="Z530" s="18"/>
      <c r="AS530" s="1">
        <f>IF($A530&lt;&gt;0,1,0)</f>
        <v>0</v>
      </c>
      <c r="AT530" s="1">
        <f>$A530*$B530</f>
        <v>0</v>
      </c>
      <c r="AU530" s="1">
        <f>$A530*$O530</f>
        <v>0</v>
      </c>
      <c r="AV530" s="1">
        <f>IF($R530=0,0,INT($A530/$R530))</f>
        <v>0</v>
      </c>
      <c r="AW530" s="1">
        <f>$A530-$AV530*$R530</f>
        <v>0</v>
      </c>
    </row>
    <row r="531" ht="24.95" customHeight="1" outlineLevel="3" s="1" customFormat="1">
      <c r="A531" s="15"/>
      <c r="B531" s="16">
        <v>640</v>
      </c>
      <c r="C531" s="16">
        <v>960</v>
      </c>
      <c r="D531" s="16">
        <v>32019</v>
      </c>
      <c r="E531" s="18"/>
      <c r="F531" s="18" t="s">
        <v>1800</v>
      </c>
      <c r="G531" s="18" t="s">
        <v>1801</v>
      </c>
      <c r="H531" s="18" t="s">
        <v>86</v>
      </c>
      <c r="I531" s="18" t="s">
        <v>74</v>
      </c>
      <c r="J531" s="16">
        <v>2025</v>
      </c>
      <c r="K531" s="18" t="s">
        <v>1802</v>
      </c>
      <c r="L531" s="16">
        <v>9785006300873</v>
      </c>
      <c r="M531" s="18" t="s">
        <v>1803</v>
      </c>
      <c r="N531" s="16">
        <v>196</v>
      </c>
      <c r="O531" s="19">
        <v>0.53</v>
      </c>
      <c r="P531" s="16">
        <v>170</v>
      </c>
      <c r="Q531" s="16">
        <v>240</v>
      </c>
      <c r="R531" s="16">
        <v>7</v>
      </c>
      <c r="S531" s="18" t="s">
        <v>123</v>
      </c>
      <c r="T531" s="18" t="s">
        <v>1196</v>
      </c>
      <c r="U531" s="17">
        <v>2000</v>
      </c>
      <c r="V531" s="18" t="s">
        <v>77</v>
      </c>
      <c r="W531" s="18" t="s">
        <v>69</v>
      </c>
      <c r="X531" s="16">
        <v>10</v>
      </c>
      <c r="Y531" s="43" t="str">
        <f>HYPERLINK("https://api-enni.alpina.ru/FilePrivilegesApproval/921","https://api-enni.alpina.ru/FilePrivilegesApproval/921")</f>
        <v>https://api-enni.alpina.ru/FilePrivilegesApproval/921</v>
      </c>
      <c r="Z531" s="18"/>
      <c r="AS531" s="1">
        <f>IF($A531&lt;&gt;0,1,0)</f>
        <v>0</v>
      </c>
      <c r="AT531" s="1">
        <f>$A531*$B531</f>
        <v>0</v>
      </c>
      <c r="AU531" s="1">
        <f>$A531*$O531</f>
        <v>0</v>
      </c>
      <c r="AV531" s="1">
        <f>IF($R531=0,0,INT($A531/$R531))</f>
        <v>0</v>
      </c>
      <c r="AW531" s="1">
        <f>$A531-$AV531*$R531</f>
        <v>0</v>
      </c>
    </row>
    <row r="532" ht="21.95" customHeight="1" outlineLevel="3" s="1" customFormat="1">
      <c r="A532" s="15"/>
      <c r="B532" s="16">
        <v>600</v>
      </c>
      <c r="C532" s="16">
        <v>900</v>
      </c>
      <c r="D532" s="16">
        <v>32192</v>
      </c>
      <c r="E532" s="18"/>
      <c r="F532" s="18" t="s">
        <v>1804</v>
      </c>
      <c r="G532" s="18" t="s">
        <v>1805</v>
      </c>
      <c r="H532" s="18" t="s">
        <v>592</v>
      </c>
      <c r="I532" s="18"/>
      <c r="J532" s="16">
        <v>2025</v>
      </c>
      <c r="K532" s="18" t="s">
        <v>1806</v>
      </c>
      <c r="L532" s="16">
        <v>9786018215544</v>
      </c>
      <c r="M532" s="18" t="s">
        <v>1807</v>
      </c>
      <c r="N532" s="16">
        <v>176</v>
      </c>
      <c r="O532" s="19">
        <v>0.31</v>
      </c>
      <c r="P532" s="16">
        <v>150</v>
      </c>
      <c r="Q532" s="16">
        <v>220</v>
      </c>
      <c r="R532" s="16">
        <v>5</v>
      </c>
      <c r="S532" s="18" t="s">
        <v>43</v>
      </c>
      <c r="T532" s="18"/>
      <c r="U532" s="17">
        <v>1000</v>
      </c>
      <c r="V532" s="18" t="s">
        <v>77</v>
      </c>
      <c r="W532" s="18" t="s">
        <v>91</v>
      </c>
      <c r="X532" s="16">
        <v>22</v>
      </c>
      <c r="Y532" s="43" t="str">
        <f>HYPERLINK("","")</f>
      </c>
      <c r="Z532" s="18"/>
      <c r="AS532" s="1">
        <f>IF($A532&lt;&gt;0,1,0)</f>
        <v>0</v>
      </c>
      <c r="AT532" s="1">
        <f>$A532*$B532</f>
        <v>0</v>
      </c>
      <c r="AU532" s="1">
        <f>$A532*$O532</f>
        <v>0</v>
      </c>
      <c r="AV532" s="1">
        <f>IF($R532=0,0,INT($A532/$R532))</f>
        <v>0</v>
      </c>
      <c r="AW532" s="1">
        <f>$A532-$AV532*$R532</f>
        <v>0</v>
      </c>
    </row>
    <row r="533" ht="24.95" customHeight="1" outlineLevel="3" s="1" customFormat="1">
      <c r="A533" s="15"/>
      <c r="B533" s="16">
        <v>340</v>
      </c>
      <c r="C533" s="16">
        <v>544</v>
      </c>
      <c r="D533" s="16">
        <v>29593</v>
      </c>
      <c r="E533" s="18"/>
      <c r="F533" s="18" t="s">
        <v>1808</v>
      </c>
      <c r="G533" s="18" t="s">
        <v>1809</v>
      </c>
      <c r="H533" s="18" t="s">
        <v>86</v>
      </c>
      <c r="I533" s="18" t="s">
        <v>74</v>
      </c>
      <c r="J533" s="16">
        <v>2025</v>
      </c>
      <c r="K533" s="18" t="s">
        <v>1810</v>
      </c>
      <c r="L533" s="16">
        <v>9785961493153</v>
      </c>
      <c r="M533" s="18" t="s">
        <v>1811</v>
      </c>
      <c r="N533" s="16">
        <v>190</v>
      </c>
      <c r="O533" s="19">
        <v>0.15</v>
      </c>
      <c r="P533" s="16">
        <v>120</v>
      </c>
      <c r="Q533" s="16">
        <v>170</v>
      </c>
      <c r="R533" s="16">
        <v>24</v>
      </c>
      <c r="S533" s="18" t="s">
        <v>190</v>
      </c>
      <c r="T533" s="18" t="s">
        <v>959</v>
      </c>
      <c r="U533" s="17">
        <v>2000</v>
      </c>
      <c r="V533" s="18" t="s">
        <v>44</v>
      </c>
      <c r="W533" s="18" t="s">
        <v>91</v>
      </c>
      <c r="X533" s="16">
        <v>10</v>
      </c>
      <c r="Y533" s="43" t="str">
        <f>HYPERLINK("https://api-enni.alpina.ru/FilePrivilegesApproval/157","https://api-enni.alpina.ru/FilePrivilegesApproval/157")</f>
        <v>https://api-enni.alpina.ru/FilePrivilegesApproval/157</v>
      </c>
      <c r="Z533" s="18"/>
      <c r="AS533" s="1">
        <f>IF($A533&lt;&gt;0,1,0)</f>
        <v>0</v>
      </c>
      <c r="AT533" s="1">
        <f>$A533*$B533</f>
        <v>0</v>
      </c>
      <c r="AU533" s="1">
        <f>$A533*$O533</f>
        <v>0</v>
      </c>
      <c r="AV533" s="1">
        <f>IF($R533=0,0,INT($A533/$R533))</f>
        <v>0</v>
      </c>
      <c r="AW533" s="1">
        <f>$A533-$AV533*$R533</f>
        <v>0</v>
      </c>
    </row>
    <row r="534" ht="24.95" customHeight="1" outlineLevel="3" s="1" customFormat="1">
      <c r="A534" s="15"/>
      <c r="B534" s="16">
        <v>890</v>
      </c>
      <c r="C534" s="17">
        <v>1246</v>
      </c>
      <c r="D534" s="16">
        <v>32177</v>
      </c>
      <c r="E534" s="18"/>
      <c r="F534" s="18" t="s">
        <v>836</v>
      </c>
      <c r="G534" s="18" t="s">
        <v>837</v>
      </c>
      <c r="H534" s="18" t="s">
        <v>86</v>
      </c>
      <c r="I534" s="18"/>
      <c r="J534" s="16">
        <v>2026</v>
      </c>
      <c r="K534" s="18" t="s">
        <v>838</v>
      </c>
      <c r="L534" s="16">
        <v>9785006301573</v>
      </c>
      <c r="M534" s="18" t="s">
        <v>839</v>
      </c>
      <c r="N534" s="16">
        <v>398</v>
      </c>
      <c r="O534" s="19">
        <v>0.74</v>
      </c>
      <c r="P534" s="16">
        <v>170</v>
      </c>
      <c r="Q534" s="16">
        <v>240</v>
      </c>
      <c r="R534" s="16">
        <v>6</v>
      </c>
      <c r="S534" s="18" t="s">
        <v>123</v>
      </c>
      <c r="T534" s="18"/>
      <c r="U534" s="17">
        <v>6000</v>
      </c>
      <c r="V534" s="18" t="s">
        <v>77</v>
      </c>
      <c r="W534" s="18" t="s">
        <v>69</v>
      </c>
      <c r="X534" s="16">
        <v>10</v>
      </c>
      <c r="Y534" s="43" t="str">
        <f>HYPERLINK("https://api-enni.alpina.ru/FilePrivilegesApproval/831","https://api-enni.alpina.ru/FilePrivilegesApproval/831")</f>
        <v>https://api-enni.alpina.ru/FilePrivilegesApproval/831</v>
      </c>
      <c r="Z534" s="18" t="s">
        <v>251</v>
      </c>
      <c r="AS534" s="1">
        <f>IF($A534&lt;&gt;0,1,0)</f>
        <v>0</v>
      </c>
      <c r="AT534" s="1">
        <f>$A534*$B534</f>
        <v>0</v>
      </c>
      <c r="AU534" s="1">
        <f>$A534*$O534</f>
        <v>0</v>
      </c>
      <c r="AV534" s="1">
        <f>IF($R534=0,0,INT($A534/$R534))</f>
        <v>0</v>
      </c>
      <c r="AW534" s="1">
        <f>$A534-$AV534*$R534</f>
        <v>0</v>
      </c>
    </row>
    <row r="535" ht="24.95" customHeight="1" outlineLevel="3" s="1" customFormat="1">
      <c r="A535" s="15"/>
      <c r="B535" s="16">
        <v>790</v>
      </c>
      <c r="C535" s="17">
        <v>1146</v>
      </c>
      <c r="D535" s="16">
        <v>35407</v>
      </c>
      <c r="E535" s="18"/>
      <c r="F535" s="18" t="s">
        <v>836</v>
      </c>
      <c r="G535" s="18" t="s">
        <v>840</v>
      </c>
      <c r="H535" s="18" t="s">
        <v>86</v>
      </c>
      <c r="I535" s="18"/>
      <c r="J535" s="16">
        <v>2026</v>
      </c>
      <c r="K535" s="18" t="s">
        <v>841</v>
      </c>
      <c r="L535" s="16">
        <v>9785006312029</v>
      </c>
      <c r="M535" s="18" t="s">
        <v>842</v>
      </c>
      <c r="N535" s="16">
        <v>360</v>
      </c>
      <c r="O535" s="19">
        <v>0.68</v>
      </c>
      <c r="P535" s="16">
        <v>170</v>
      </c>
      <c r="Q535" s="16">
        <v>240</v>
      </c>
      <c r="R535" s="16">
        <v>6</v>
      </c>
      <c r="S535" s="18" t="s">
        <v>123</v>
      </c>
      <c r="T535" s="18"/>
      <c r="U535" s="17">
        <v>10000</v>
      </c>
      <c r="V535" s="18" t="s">
        <v>77</v>
      </c>
      <c r="W535" s="18" t="s">
        <v>69</v>
      </c>
      <c r="X535" s="16">
        <v>10</v>
      </c>
      <c r="Y535" s="43" t="str">
        <f>HYPERLINK("https://api-enni.alpina.ru/FilePrivilegesApproval/1097","https://api-enni.alpina.ru/FilePrivilegesApproval/1097")</f>
        <v>https://api-enni.alpina.ru/FilePrivilegesApproval/1097</v>
      </c>
      <c r="Z535" s="18" t="s">
        <v>843</v>
      </c>
      <c r="AS535" s="1">
        <f>IF($A535&lt;&gt;0,1,0)</f>
        <v>0</v>
      </c>
      <c r="AT535" s="1">
        <f>$A535*$B535</f>
        <v>0</v>
      </c>
      <c r="AU535" s="1">
        <f>$A535*$O535</f>
        <v>0</v>
      </c>
      <c r="AV535" s="1">
        <f>IF($R535=0,0,INT($A535/$R535))</f>
        <v>0</v>
      </c>
      <c r="AW535" s="1">
        <f>$A535-$AV535*$R535</f>
        <v>0</v>
      </c>
    </row>
    <row r="536" ht="24.95" customHeight="1" outlineLevel="3" s="1" customFormat="1">
      <c r="A536" s="15"/>
      <c r="B536" s="16">
        <v>690</v>
      </c>
      <c r="C536" s="17">
        <v>1035</v>
      </c>
      <c r="D536" s="16">
        <v>30172</v>
      </c>
      <c r="E536" s="18"/>
      <c r="F536" s="18" t="s">
        <v>1812</v>
      </c>
      <c r="G536" s="18" t="s">
        <v>1813</v>
      </c>
      <c r="H536" s="18" t="s">
        <v>86</v>
      </c>
      <c r="I536" s="18" t="s">
        <v>74</v>
      </c>
      <c r="J536" s="16">
        <v>2025</v>
      </c>
      <c r="K536" s="18" t="s">
        <v>1814</v>
      </c>
      <c r="L536" s="16">
        <v>9785961494945</v>
      </c>
      <c r="M536" s="18" t="s">
        <v>1815</v>
      </c>
      <c r="N536" s="16">
        <v>318</v>
      </c>
      <c r="O536" s="19">
        <v>0.49</v>
      </c>
      <c r="P536" s="16">
        <v>150</v>
      </c>
      <c r="Q536" s="16">
        <v>220</v>
      </c>
      <c r="R536" s="16">
        <v>5</v>
      </c>
      <c r="S536" s="18" t="s">
        <v>43</v>
      </c>
      <c r="T536" s="18"/>
      <c r="U536" s="17">
        <v>1000</v>
      </c>
      <c r="V536" s="18" t="s">
        <v>77</v>
      </c>
      <c r="W536" s="18" t="s">
        <v>69</v>
      </c>
      <c r="X536" s="16">
        <v>10</v>
      </c>
      <c r="Y536" s="43" t="str">
        <f>HYPERLINK("https://api-enni.alpina.ru/FilePrivilegesApproval/782","https://api-enni.alpina.ru/FilePrivilegesApproval/782")</f>
        <v>https://api-enni.alpina.ru/FilePrivilegesApproval/782</v>
      </c>
      <c r="Z536" s="18"/>
      <c r="AS536" s="1">
        <f>IF($A536&lt;&gt;0,1,0)</f>
        <v>0</v>
      </c>
      <c r="AT536" s="1">
        <f>$A536*$B536</f>
        <v>0</v>
      </c>
      <c r="AU536" s="1">
        <f>$A536*$O536</f>
        <v>0</v>
      </c>
      <c r="AV536" s="1">
        <f>IF($R536=0,0,INT($A536/$R536))</f>
        <v>0</v>
      </c>
      <c r="AW536" s="1">
        <f>$A536-$AV536*$R536</f>
        <v>0</v>
      </c>
    </row>
    <row r="537" ht="24.95" customHeight="1" outlineLevel="3" s="1" customFormat="1">
      <c r="A537" s="15"/>
      <c r="B537" s="16">
        <v>640</v>
      </c>
      <c r="C537" s="16">
        <v>960</v>
      </c>
      <c r="D537" s="16">
        <v>26499</v>
      </c>
      <c r="E537" s="18"/>
      <c r="F537" s="18" t="s">
        <v>1816</v>
      </c>
      <c r="G537" s="18" t="s">
        <v>1817</v>
      </c>
      <c r="H537" s="18" t="s">
        <v>86</v>
      </c>
      <c r="I537" s="18" t="s">
        <v>74</v>
      </c>
      <c r="J537" s="16">
        <v>2023</v>
      </c>
      <c r="K537" s="18" t="s">
        <v>1818</v>
      </c>
      <c r="L537" s="16">
        <v>9785961481327</v>
      </c>
      <c r="M537" s="18" t="s">
        <v>1819</v>
      </c>
      <c r="N537" s="16">
        <v>320</v>
      </c>
      <c r="O537" s="19">
        <v>0.38</v>
      </c>
      <c r="P537" s="16">
        <v>140</v>
      </c>
      <c r="Q537" s="16">
        <v>210</v>
      </c>
      <c r="R537" s="16">
        <v>14</v>
      </c>
      <c r="S537" s="18" t="s">
        <v>43</v>
      </c>
      <c r="T537" s="18"/>
      <c r="U537" s="17">
        <v>3000</v>
      </c>
      <c r="V537" s="18" t="s">
        <v>44</v>
      </c>
      <c r="W537" s="18" t="s">
        <v>45</v>
      </c>
      <c r="X537" s="16">
        <v>10</v>
      </c>
      <c r="Y537" s="43" t="str">
        <f>HYPERLINK("https://api-enni.alpina.ru/FilePrivilegesApproval/290","https://api-enni.alpina.ru/FilePrivilegesApproval/290")</f>
        <v>https://api-enni.alpina.ru/FilePrivilegesApproval/290</v>
      </c>
      <c r="Z537" s="18"/>
      <c r="AS537" s="1">
        <f>IF($A537&lt;&gt;0,1,0)</f>
        <v>0</v>
      </c>
      <c r="AT537" s="1">
        <f>$A537*$B537</f>
        <v>0</v>
      </c>
      <c r="AU537" s="1">
        <f>$A537*$O537</f>
        <v>0</v>
      </c>
      <c r="AV537" s="1">
        <f>IF($R537=0,0,INT($A537/$R537))</f>
        <v>0</v>
      </c>
      <c r="AW537" s="1">
        <f>$A537-$AV537*$R537</f>
        <v>0</v>
      </c>
    </row>
    <row r="538" ht="24.95" customHeight="1" outlineLevel="3" s="1" customFormat="1">
      <c r="A538" s="15"/>
      <c r="B538" s="16">
        <v>540</v>
      </c>
      <c r="C538" s="16">
        <v>837</v>
      </c>
      <c r="D538" s="16">
        <v>27462</v>
      </c>
      <c r="E538" s="18"/>
      <c r="F538" s="18" t="s">
        <v>1820</v>
      </c>
      <c r="G538" s="18" t="s">
        <v>1821</v>
      </c>
      <c r="H538" s="18" t="s">
        <v>86</v>
      </c>
      <c r="I538" s="18" t="s">
        <v>87</v>
      </c>
      <c r="J538" s="16">
        <v>2025</v>
      </c>
      <c r="K538" s="18" t="s">
        <v>1822</v>
      </c>
      <c r="L538" s="16">
        <v>9785961485257</v>
      </c>
      <c r="M538" s="18" t="s">
        <v>1823</v>
      </c>
      <c r="N538" s="16">
        <v>272</v>
      </c>
      <c r="O538" s="19">
        <v>0.34</v>
      </c>
      <c r="P538" s="16">
        <v>140</v>
      </c>
      <c r="Q538" s="16">
        <v>210</v>
      </c>
      <c r="R538" s="16">
        <v>16</v>
      </c>
      <c r="S538" s="18" t="s">
        <v>43</v>
      </c>
      <c r="T538" s="18"/>
      <c r="U538" s="17">
        <v>3000</v>
      </c>
      <c r="V538" s="18" t="s">
        <v>44</v>
      </c>
      <c r="W538" s="18" t="s">
        <v>91</v>
      </c>
      <c r="X538" s="16">
        <v>10</v>
      </c>
      <c r="Y538" s="43" t="str">
        <f>HYPERLINK("https://api-enni.alpina.ru/FilePrivilegesApproval/328","https://api-enni.alpina.ru/FilePrivilegesApproval/328")</f>
        <v>https://api-enni.alpina.ru/FilePrivilegesApproval/328</v>
      </c>
      <c r="Z538" s="18"/>
      <c r="AS538" s="1">
        <f>IF($A538&lt;&gt;0,1,0)</f>
        <v>0</v>
      </c>
      <c r="AT538" s="1">
        <f>$A538*$B538</f>
        <v>0</v>
      </c>
      <c r="AU538" s="1">
        <f>$A538*$O538</f>
        <v>0</v>
      </c>
      <c r="AV538" s="1">
        <f>IF($R538=0,0,INT($A538/$R538))</f>
        <v>0</v>
      </c>
      <c r="AW538" s="1">
        <f>$A538-$AV538*$R538</f>
        <v>0</v>
      </c>
    </row>
    <row r="539" ht="24.95" customHeight="1" outlineLevel="3" s="1" customFormat="1">
      <c r="A539" s="15"/>
      <c r="B539" s="16">
        <v>790</v>
      </c>
      <c r="C539" s="17">
        <v>1146</v>
      </c>
      <c r="D539" s="16">
        <v>32108</v>
      </c>
      <c r="E539" s="18"/>
      <c r="F539" s="18" t="s">
        <v>1824</v>
      </c>
      <c r="G539" s="18" t="s">
        <v>1825</v>
      </c>
      <c r="H539" s="18" t="s">
        <v>86</v>
      </c>
      <c r="I539" s="18"/>
      <c r="J539" s="16">
        <v>2025</v>
      </c>
      <c r="K539" s="18" t="s">
        <v>1826</v>
      </c>
      <c r="L539" s="16">
        <v>9785006301412</v>
      </c>
      <c r="M539" s="18" t="s">
        <v>1827</v>
      </c>
      <c r="N539" s="16">
        <v>375</v>
      </c>
      <c r="O539" s="19">
        <v>0.55</v>
      </c>
      <c r="P539" s="16">
        <v>150</v>
      </c>
      <c r="Q539" s="16">
        <v>220</v>
      </c>
      <c r="R539" s="16">
        <v>10</v>
      </c>
      <c r="S539" s="18" t="s">
        <v>43</v>
      </c>
      <c r="T539" s="18"/>
      <c r="U539" s="17">
        <v>3000</v>
      </c>
      <c r="V539" s="18" t="s">
        <v>77</v>
      </c>
      <c r="W539" s="18" t="s">
        <v>69</v>
      </c>
      <c r="X539" s="16">
        <v>10</v>
      </c>
      <c r="Y539" s="43" t="str">
        <f>HYPERLINK("https://api-enni.alpina.ru/FilePrivilegesApproval/856","https://api-enni.alpina.ru/FilePrivilegesApproval/856")</f>
        <v>https://api-enni.alpina.ru/FilePrivilegesApproval/856</v>
      </c>
      <c r="Z539" s="18"/>
      <c r="AS539" s="1">
        <f>IF($A539&lt;&gt;0,1,0)</f>
        <v>0</v>
      </c>
      <c r="AT539" s="1">
        <f>$A539*$B539</f>
        <v>0</v>
      </c>
      <c r="AU539" s="1">
        <f>$A539*$O539</f>
        <v>0</v>
      </c>
      <c r="AV539" s="1">
        <f>IF($R539=0,0,INT($A539/$R539))</f>
        <v>0</v>
      </c>
      <c r="AW539" s="1">
        <f>$A539-$AV539*$R539</f>
        <v>0</v>
      </c>
    </row>
    <row r="540" ht="24.95" customHeight="1" outlineLevel="3" s="1" customFormat="1">
      <c r="A540" s="15"/>
      <c r="B540" s="16">
        <v>590</v>
      </c>
      <c r="C540" s="16">
        <v>885</v>
      </c>
      <c r="D540" s="16">
        <v>27022</v>
      </c>
      <c r="E540" s="18"/>
      <c r="F540" s="18" t="s">
        <v>1828</v>
      </c>
      <c r="G540" s="18" t="s">
        <v>1829</v>
      </c>
      <c r="H540" s="18" t="s">
        <v>86</v>
      </c>
      <c r="I540" s="18" t="s">
        <v>65</v>
      </c>
      <c r="J540" s="16">
        <v>2025</v>
      </c>
      <c r="K540" s="18" t="s">
        <v>1830</v>
      </c>
      <c r="L540" s="16">
        <v>9785961483758</v>
      </c>
      <c r="M540" s="18" t="s">
        <v>1831</v>
      </c>
      <c r="N540" s="16">
        <v>307</v>
      </c>
      <c r="O540" s="19">
        <v>0.39</v>
      </c>
      <c r="P540" s="16">
        <v>140</v>
      </c>
      <c r="Q540" s="16">
        <v>210</v>
      </c>
      <c r="R540" s="16">
        <v>14</v>
      </c>
      <c r="S540" s="18" t="s">
        <v>43</v>
      </c>
      <c r="T540" s="18"/>
      <c r="U540" s="17">
        <v>2000</v>
      </c>
      <c r="V540" s="18" t="s">
        <v>44</v>
      </c>
      <c r="W540" s="18" t="s">
        <v>91</v>
      </c>
      <c r="X540" s="16">
        <v>10</v>
      </c>
      <c r="Y540" s="43" t="str">
        <f>HYPERLINK("https://api-enni.alpina.ru/FilePrivilegesApproval/396","https://api-enni.alpina.ru/FilePrivilegesApproval/396")</f>
        <v>https://api-enni.alpina.ru/FilePrivilegesApproval/396</v>
      </c>
      <c r="Z540" s="18"/>
      <c r="AS540" s="1">
        <f>IF($A540&lt;&gt;0,1,0)</f>
        <v>0</v>
      </c>
      <c r="AT540" s="1">
        <f>$A540*$B540</f>
        <v>0</v>
      </c>
      <c r="AU540" s="1">
        <f>$A540*$O540</f>
        <v>0</v>
      </c>
      <c r="AV540" s="1">
        <f>IF($R540=0,0,INT($A540/$R540))</f>
        <v>0</v>
      </c>
      <c r="AW540" s="1">
        <f>$A540-$AV540*$R540</f>
        <v>0</v>
      </c>
    </row>
    <row r="541" ht="24.95" customHeight="1" outlineLevel="3" s="1" customFormat="1">
      <c r="A541" s="15"/>
      <c r="B541" s="16">
        <v>590</v>
      </c>
      <c r="C541" s="16">
        <v>885</v>
      </c>
      <c r="D541" s="16">
        <v>27561</v>
      </c>
      <c r="E541" s="18"/>
      <c r="F541" s="18" t="s">
        <v>1333</v>
      </c>
      <c r="G541" s="18" t="s">
        <v>1832</v>
      </c>
      <c r="H541" s="18" t="s">
        <v>86</v>
      </c>
      <c r="I541" s="18" t="s">
        <v>74</v>
      </c>
      <c r="J541" s="16">
        <v>2026</v>
      </c>
      <c r="K541" s="18" t="s">
        <v>1833</v>
      </c>
      <c r="L541" s="16">
        <v>9785961485639</v>
      </c>
      <c r="M541" s="18" t="s">
        <v>1834</v>
      </c>
      <c r="N541" s="16">
        <v>212</v>
      </c>
      <c r="O541" s="19">
        <v>0.22</v>
      </c>
      <c r="P541" s="16">
        <v>140</v>
      </c>
      <c r="Q541" s="16">
        <v>210</v>
      </c>
      <c r="R541" s="16">
        <v>20</v>
      </c>
      <c r="S541" s="18" t="s">
        <v>43</v>
      </c>
      <c r="T541" s="18" t="s">
        <v>1308</v>
      </c>
      <c r="U541" s="17">
        <v>1000</v>
      </c>
      <c r="V541" s="18" t="s">
        <v>44</v>
      </c>
      <c r="W541" s="18" t="s">
        <v>184</v>
      </c>
      <c r="X541" s="16">
        <v>10</v>
      </c>
      <c r="Y541" s="43" t="str">
        <f>HYPERLINK("https://api-enni.alpina.ru/FilePrivilegesApproval/202","https://api-enni.alpina.ru/FilePrivilegesApproval/202")</f>
        <v>https://api-enni.alpina.ru/FilePrivilegesApproval/202</v>
      </c>
      <c r="Z541" s="18"/>
      <c r="AS541" s="1">
        <f>IF($A541&lt;&gt;0,1,0)</f>
        <v>0</v>
      </c>
      <c r="AT541" s="1">
        <f>$A541*$B541</f>
        <v>0</v>
      </c>
      <c r="AU541" s="1">
        <f>$A541*$O541</f>
        <v>0</v>
      </c>
      <c r="AV541" s="1">
        <f>IF($R541=0,0,INT($A541/$R541))</f>
        <v>0</v>
      </c>
      <c r="AW541" s="1">
        <f>$A541-$AV541*$R541</f>
        <v>0</v>
      </c>
    </row>
    <row r="542" ht="24.95" customHeight="1" outlineLevel="3" s="1" customFormat="1">
      <c r="A542" s="15"/>
      <c r="B542" s="16">
        <v>380</v>
      </c>
      <c r="C542" s="16">
        <v>608</v>
      </c>
      <c r="D542" s="16">
        <v>31030</v>
      </c>
      <c r="E542" s="18"/>
      <c r="F542" s="18" t="s">
        <v>1233</v>
      </c>
      <c r="G542" s="18" t="s">
        <v>1835</v>
      </c>
      <c r="H542" s="18" t="s">
        <v>86</v>
      </c>
      <c r="I542" s="18" t="s">
        <v>74</v>
      </c>
      <c r="J542" s="16">
        <v>2025</v>
      </c>
      <c r="K542" s="18" t="s">
        <v>1836</v>
      </c>
      <c r="L542" s="16">
        <v>9785961497243</v>
      </c>
      <c r="M542" s="18" t="s">
        <v>1837</v>
      </c>
      <c r="N542" s="16">
        <v>512</v>
      </c>
      <c r="O542" s="19">
        <v>0.33</v>
      </c>
      <c r="P542" s="16">
        <v>120</v>
      </c>
      <c r="Q542" s="16">
        <v>170</v>
      </c>
      <c r="R542" s="16">
        <v>20</v>
      </c>
      <c r="S542" s="18" t="s">
        <v>190</v>
      </c>
      <c r="T542" s="18" t="s">
        <v>1237</v>
      </c>
      <c r="U542" s="17">
        <v>4000</v>
      </c>
      <c r="V542" s="18" t="s">
        <v>44</v>
      </c>
      <c r="W542" s="18" t="s">
        <v>91</v>
      </c>
      <c r="X542" s="16">
        <v>10</v>
      </c>
      <c r="Y542" s="43" t="str">
        <f>HYPERLINK("https://api-enni.alpina.ru/FilePrivilegesApproval/809","https://api-enni.alpina.ru/FilePrivilegesApproval/809")</f>
        <v>https://api-enni.alpina.ru/FilePrivilegesApproval/809</v>
      </c>
      <c r="Z542" s="18"/>
      <c r="AS542" s="1">
        <f>IF($A542&lt;&gt;0,1,0)</f>
        <v>0</v>
      </c>
      <c r="AT542" s="1">
        <f>$A542*$B542</f>
        <v>0</v>
      </c>
      <c r="AU542" s="1">
        <f>$A542*$O542</f>
        <v>0</v>
      </c>
      <c r="AV542" s="1">
        <f>IF($R542=0,0,INT($A542/$R542))</f>
        <v>0</v>
      </c>
      <c r="AW542" s="1">
        <f>$A542-$AV542*$R542</f>
        <v>0</v>
      </c>
    </row>
    <row r="543" ht="24.95" customHeight="1" outlineLevel="3" s="1" customFormat="1">
      <c r="A543" s="15"/>
      <c r="B543" s="16">
        <v>730</v>
      </c>
      <c r="C543" s="17">
        <v>1058</v>
      </c>
      <c r="D543" s="16">
        <v>17583</v>
      </c>
      <c r="E543" s="18"/>
      <c r="F543" s="18" t="s">
        <v>1838</v>
      </c>
      <c r="G543" s="18" t="s">
        <v>1839</v>
      </c>
      <c r="H543" s="18" t="s">
        <v>86</v>
      </c>
      <c r="I543" s="18" t="s">
        <v>74</v>
      </c>
      <c r="J543" s="16">
        <v>2021</v>
      </c>
      <c r="K543" s="18" t="s">
        <v>1840</v>
      </c>
      <c r="L543" s="16">
        <v>9785961473827</v>
      </c>
      <c r="M543" s="18" t="s">
        <v>1841</v>
      </c>
      <c r="N543" s="16">
        <v>529</v>
      </c>
      <c r="O543" s="19">
        <v>0.74</v>
      </c>
      <c r="P543" s="16">
        <v>146</v>
      </c>
      <c r="Q543" s="16">
        <v>216</v>
      </c>
      <c r="R543" s="16">
        <v>8</v>
      </c>
      <c r="S543" s="18" t="s">
        <v>43</v>
      </c>
      <c r="T543" s="18"/>
      <c r="U543" s="17">
        <v>3000</v>
      </c>
      <c r="V543" s="18" t="s">
        <v>77</v>
      </c>
      <c r="W543" s="18" t="s">
        <v>69</v>
      </c>
      <c r="X543" s="16">
        <v>10</v>
      </c>
      <c r="Y543" s="43" t="str">
        <f>HYPERLINK("https://api-enni.alpina.ru/FilePrivilegesApproval/118","https://api-enni.alpina.ru/FilePrivilegesApproval/118")</f>
        <v>https://api-enni.alpina.ru/FilePrivilegesApproval/118</v>
      </c>
      <c r="Z543" s="18"/>
      <c r="AS543" s="1">
        <f>IF($A543&lt;&gt;0,1,0)</f>
        <v>0</v>
      </c>
      <c r="AT543" s="1">
        <f>$A543*$B543</f>
        <v>0</v>
      </c>
      <c r="AU543" s="1">
        <f>$A543*$O543</f>
        <v>0</v>
      </c>
      <c r="AV543" s="1">
        <f>IF($R543=0,0,INT($A543/$R543))</f>
        <v>0</v>
      </c>
      <c r="AW543" s="1">
        <f>$A543-$AV543*$R543</f>
        <v>0</v>
      </c>
    </row>
    <row r="544" ht="24.95" customHeight="1" outlineLevel="3" s="1" customFormat="1">
      <c r="A544" s="15"/>
      <c r="B544" s="16">
        <v>640</v>
      </c>
      <c r="C544" s="16">
        <v>960</v>
      </c>
      <c r="D544" s="16">
        <v>32342</v>
      </c>
      <c r="E544" s="18"/>
      <c r="F544" s="18" t="s">
        <v>978</v>
      </c>
      <c r="G544" s="18" t="s">
        <v>1842</v>
      </c>
      <c r="H544" s="18" t="s">
        <v>86</v>
      </c>
      <c r="I544" s="18" t="s">
        <v>74</v>
      </c>
      <c r="J544" s="16">
        <v>2025</v>
      </c>
      <c r="K544" s="18" t="s">
        <v>1843</v>
      </c>
      <c r="L544" s="16">
        <v>9785006301962</v>
      </c>
      <c r="M544" s="18" t="s">
        <v>1844</v>
      </c>
      <c r="N544" s="16">
        <v>208</v>
      </c>
      <c r="O544" s="19">
        <v>0.39</v>
      </c>
      <c r="P544" s="16">
        <v>150</v>
      </c>
      <c r="Q544" s="16">
        <v>220</v>
      </c>
      <c r="R544" s="16">
        <v>18</v>
      </c>
      <c r="S544" s="18" t="s">
        <v>43</v>
      </c>
      <c r="T544" s="18"/>
      <c r="U544" s="17">
        <v>3000</v>
      </c>
      <c r="V544" s="18" t="s">
        <v>77</v>
      </c>
      <c r="W544" s="18" t="s">
        <v>91</v>
      </c>
      <c r="X544" s="16">
        <v>10</v>
      </c>
      <c r="Y544" s="43" t="str">
        <f>HYPERLINK("https://api-enni.alpina.ru/FilePrivilegesApproval/945","https://api-enni.alpina.ru/FilePrivilegesApproval/945")</f>
        <v>https://api-enni.alpina.ru/FilePrivilegesApproval/945</v>
      </c>
      <c r="Z544" s="18"/>
      <c r="AS544" s="1">
        <f>IF($A544&lt;&gt;0,1,0)</f>
        <v>0</v>
      </c>
      <c r="AT544" s="1">
        <f>$A544*$B544</f>
        <v>0</v>
      </c>
      <c r="AU544" s="1">
        <f>$A544*$O544</f>
        <v>0</v>
      </c>
      <c r="AV544" s="1">
        <f>IF($R544=0,0,INT($A544/$R544))</f>
        <v>0</v>
      </c>
      <c r="AW544" s="1">
        <f>$A544-$AV544*$R544</f>
        <v>0</v>
      </c>
    </row>
    <row r="545" ht="24.95" customHeight="1" outlineLevel="3" s="1" customFormat="1">
      <c r="A545" s="15"/>
      <c r="B545" s="16">
        <v>690</v>
      </c>
      <c r="C545" s="17">
        <v>1035</v>
      </c>
      <c r="D545" s="16">
        <v>23333</v>
      </c>
      <c r="E545" s="18"/>
      <c r="F545" s="18" t="s">
        <v>1845</v>
      </c>
      <c r="G545" s="18" t="s">
        <v>1846</v>
      </c>
      <c r="H545" s="18" t="s">
        <v>86</v>
      </c>
      <c r="I545" s="18" t="s">
        <v>74</v>
      </c>
      <c r="J545" s="16">
        <v>2022</v>
      </c>
      <c r="K545" s="18" t="s">
        <v>1847</v>
      </c>
      <c r="L545" s="16">
        <v>9785961474572</v>
      </c>
      <c r="M545" s="18" t="s">
        <v>1848</v>
      </c>
      <c r="N545" s="16">
        <v>150</v>
      </c>
      <c r="O545" s="19">
        <v>0.3</v>
      </c>
      <c r="P545" s="16">
        <v>164</v>
      </c>
      <c r="Q545" s="16">
        <v>215</v>
      </c>
      <c r="R545" s="16">
        <v>12</v>
      </c>
      <c r="S545" s="18" t="s">
        <v>52</v>
      </c>
      <c r="T545" s="18"/>
      <c r="U545" s="17">
        <v>3000</v>
      </c>
      <c r="V545" s="18" t="s">
        <v>44</v>
      </c>
      <c r="W545" s="18" t="s">
        <v>91</v>
      </c>
      <c r="X545" s="16">
        <v>10</v>
      </c>
      <c r="Y545" s="43" t="str">
        <f>HYPERLINK("https://api-enni.alpina.ru/FilePrivilegesApproval/122","https://api-enni.alpina.ru/FilePrivilegesApproval/122")</f>
        <v>https://api-enni.alpina.ru/FilePrivilegesApproval/122</v>
      </c>
      <c r="Z545" s="18"/>
      <c r="AS545" s="1">
        <f>IF($A545&lt;&gt;0,1,0)</f>
        <v>0</v>
      </c>
      <c r="AT545" s="1">
        <f>$A545*$B545</f>
        <v>0</v>
      </c>
      <c r="AU545" s="1">
        <f>$A545*$O545</f>
        <v>0</v>
      </c>
      <c r="AV545" s="1">
        <f>IF($R545=0,0,INT($A545/$R545))</f>
        <v>0</v>
      </c>
      <c r="AW545" s="1">
        <f>$A545-$AV545*$R545</f>
        <v>0</v>
      </c>
    </row>
    <row r="546" ht="24.95" customHeight="1" outlineLevel="3" s="1" customFormat="1">
      <c r="A546" s="15"/>
      <c r="B546" s="17">
        <v>1600</v>
      </c>
      <c r="C546" s="17">
        <v>2080</v>
      </c>
      <c r="D546" s="16">
        <v>4090</v>
      </c>
      <c r="E546" s="18"/>
      <c r="F546" s="18" t="s">
        <v>1849</v>
      </c>
      <c r="G546" s="18" t="s">
        <v>1850</v>
      </c>
      <c r="H546" s="18" t="s">
        <v>86</v>
      </c>
      <c r="I546" s="18"/>
      <c r="J546" s="16">
        <v>2025</v>
      </c>
      <c r="K546" s="18" t="s">
        <v>1851</v>
      </c>
      <c r="L546" s="16">
        <v>9785961462418</v>
      </c>
      <c r="M546" s="18" t="s">
        <v>1852</v>
      </c>
      <c r="N546" s="16">
        <v>456</v>
      </c>
      <c r="O546" s="19">
        <v>1.02</v>
      </c>
      <c r="P546" s="16">
        <v>235</v>
      </c>
      <c r="Q546" s="16">
        <v>171</v>
      </c>
      <c r="R546" s="16">
        <v>4</v>
      </c>
      <c r="S546" s="18" t="s">
        <v>123</v>
      </c>
      <c r="T546" s="18"/>
      <c r="U546" s="17">
        <v>2000</v>
      </c>
      <c r="V546" s="18" t="s">
        <v>77</v>
      </c>
      <c r="W546" s="18" t="s">
        <v>91</v>
      </c>
      <c r="X546" s="16">
        <v>10</v>
      </c>
      <c r="Y546" s="43" t="str">
        <f>HYPERLINK("https://api-enni.alpina.ru/FilePrivilegesApproval/2","https://api-enni.alpina.ru/FilePrivilegesApproval/2")</f>
        <v>https://api-enni.alpina.ru/FilePrivilegesApproval/2</v>
      </c>
      <c r="Z546" s="18"/>
      <c r="AS546" s="1">
        <f>IF($A546&lt;&gt;0,1,0)</f>
        <v>0</v>
      </c>
      <c r="AT546" s="1">
        <f>$A546*$B546</f>
        <v>0</v>
      </c>
      <c r="AU546" s="1">
        <f>$A546*$O546</f>
        <v>0</v>
      </c>
      <c r="AV546" s="1">
        <f>IF($R546=0,0,INT($A546/$R546))</f>
        <v>0</v>
      </c>
      <c r="AW546" s="1">
        <f>$A546-$AV546*$R546</f>
        <v>0</v>
      </c>
    </row>
    <row r="547" ht="24.95" customHeight="1" outlineLevel="3" s="1" customFormat="1">
      <c r="A547" s="15"/>
      <c r="B547" s="16">
        <v>690</v>
      </c>
      <c r="C547" s="17">
        <v>1035</v>
      </c>
      <c r="D547" s="16">
        <v>4842</v>
      </c>
      <c r="E547" s="18"/>
      <c r="F547" s="18" t="s">
        <v>1849</v>
      </c>
      <c r="G547" s="18" t="s">
        <v>1853</v>
      </c>
      <c r="H547" s="18" t="s">
        <v>86</v>
      </c>
      <c r="I547" s="18"/>
      <c r="J547" s="16">
        <v>2025</v>
      </c>
      <c r="K547" s="18" t="s">
        <v>1854</v>
      </c>
      <c r="L547" s="16">
        <v>9785961466560</v>
      </c>
      <c r="M547" s="18" t="s">
        <v>1855</v>
      </c>
      <c r="N547" s="16">
        <v>304</v>
      </c>
      <c r="O547" s="19">
        <v>0.29</v>
      </c>
      <c r="P547" s="16">
        <v>140</v>
      </c>
      <c r="Q547" s="16">
        <v>210</v>
      </c>
      <c r="R547" s="16">
        <v>14</v>
      </c>
      <c r="S547" s="18" t="s">
        <v>43</v>
      </c>
      <c r="T547" s="18"/>
      <c r="U547" s="17">
        <v>1500</v>
      </c>
      <c r="V547" s="18" t="s">
        <v>44</v>
      </c>
      <c r="W547" s="18" t="s">
        <v>91</v>
      </c>
      <c r="X547" s="16">
        <v>10</v>
      </c>
      <c r="Y547" s="43" t="str">
        <f>HYPERLINK("https://api-enni.alpina.ru/FilePrivilegesApproval/2","https://api-enni.alpina.ru/FilePrivilegesApproval/2")</f>
        <v>https://api-enni.alpina.ru/FilePrivilegesApproval/2</v>
      </c>
      <c r="Z547" s="18"/>
      <c r="AS547" s="1">
        <f>IF($A547&lt;&gt;0,1,0)</f>
        <v>0</v>
      </c>
      <c r="AT547" s="1">
        <f>$A547*$B547</f>
        <v>0</v>
      </c>
      <c r="AU547" s="1">
        <f>$A547*$O547</f>
        <v>0</v>
      </c>
      <c r="AV547" s="1">
        <f>IF($R547=0,0,INT($A547/$R547))</f>
        <v>0</v>
      </c>
      <c r="AW547" s="1">
        <f>$A547-$AV547*$R547</f>
        <v>0</v>
      </c>
    </row>
    <row r="548" ht="24.95" customHeight="1" outlineLevel="3" s="1" customFormat="1">
      <c r="A548" s="15"/>
      <c r="B548" s="16">
        <v>690</v>
      </c>
      <c r="C548" s="17">
        <v>1035</v>
      </c>
      <c r="D548" s="16">
        <v>26336</v>
      </c>
      <c r="E548" s="18"/>
      <c r="F548" s="18" t="s">
        <v>1856</v>
      </c>
      <c r="G548" s="18" t="s">
        <v>1857</v>
      </c>
      <c r="H548" s="18" t="s">
        <v>95</v>
      </c>
      <c r="I548" s="18"/>
      <c r="J548" s="16">
        <v>2022</v>
      </c>
      <c r="K548" s="18" t="s">
        <v>1858</v>
      </c>
      <c r="L548" s="16">
        <v>9785206000702</v>
      </c>
      <c r="M548" s="18" t="s">
        <v>1859</v>
      </c>
      <c r="N548" s="16">
        <v>102</v>
      </c>
      <c r="O548" s="19">
        <v>0.23</v>
      </c>
      <c r="P548" s="16">
        <v>146</v>
      </c>
      <c r="Q548" s="16">
        <v>216</v>
      </c>
      <c r="R548" s="16">
        <v>12</v>
      </c>
      <c r="S548" s="18" t="s">
        <v>43</v>
      </c>
      <c r="T548" s="18"/>
      <c r="U548" s="17">
        <v>1510</v>
      </c>
      <c r="V548" s="18" t="s">
        <v>77</v>
      </c>
      <c r="W548" s="18" t="s">
        <v>69</v>
      </c>
      <c r="X548" s="16">
        <v>10</v>
      </c>
      <c r="Y548" s="43" t="str">
        <f>HYPERLINK("https://api-enni.alpina.ru/FilePrivilegesApproval/169","https://api-enni.alpina.ru/FilePrivilegesApproval/169")</f>
        <v>https://api-enni.alpina.ru/FilePrivilegesApproval/169</v>
      </c>
      <c r="Z548" s="18"/>
      <c r="AS548" s="1">
        <f>IF($A548&lt;&gt;0,1,0)</f>
        <v>0</v>
      </c>
      <c r="AT548" s="1">
        <f>$A548*$B548</f>
        <v>0</v>
      </c>
      <c r="AU548" s="1">
        <f>$A548*$O548</f>
        <v>0</v>
      </c>
      <c r="AV548" s="1">
        <f>IF($R548=0,0,INT($A548/$R548))</f>
        <v>0</v>
      </c>
      <c r="AW548" s="1">
        <f>$A548-$AV548*$R548</f>
        <v>0</v>
      </c>
    </row>
    <row r="549" ht="24.95" customHeight="1" outlineLevel="3" s="1" customFormat="1">
      <c r="A549" s="15"/>
      <c r="B549" s="16">
        <v>740</v>
      </c>
      <c r="C549" s="17">
        <v>1073</v>
      </c>
      <c r="D549" s="16">
        <v>18734</v>
      </c>
      <c r="E549" s="18"/>
      <c r="F549" s="18" t="s">
        <v>1860</v>
      </c>
      <c r="G549" s="18" t="s">
        <v>1861</v>
      </c>
      <c r="H549" s="18" t="s">
        <v>86</v>
      </c>
      <c r="I549" s="18"/>
      <c r="J549" s="16">
        <v>2026</v>
      </c>
      <c r="K549" s="18" t="s">
        <v>1862</v>
      </c>
      <c r="L549" s="16">
        <v>9785961441154</v>
      </c>
      <c r="M549" s="18" t="s">
        <v>1863</v>
      </c>
      <c r="N549" s="16">
        <v>128</v>
      </c>
      <c r="O549" s="19">
        <v>0.24</v>
      </c>
      <c r="P549" s="16">
        <v>140</v>
      </c>
      <c r="Q549" s="16">
        <v>220</v>
      </c>
      <c r="R549" s="16">
        <v>22</v>
      </c>
      <c r="S549" s="18" t="s">
        <v>43</v>
      </c>
      <c r="T549" s="18"/>
      <c r="U549" s="17">
        <v>2000</v>
      </c>
      <c r="V549" s="18" t="s">
        <v>77</v>
      </c>
      <c r="W549" s="18" t="s">
        <v>91</v>
      </c>
      <c r="X549" s="16">
        <v>10</v>
      </c>
      <c r="Y549" s="43" t="str">
        <f>HYPERLINK("https://api-enni.alpina.ru/FilePrivilegesApproval/152","https://api-enni.alpina.ru/FilePrivilegesApproval/152")</f>
        <v>https://api-enni.alpina.ru/FilePrivilegesApproval/152</v>
      </c>
      <c r="Z549" s="18"/>
      <c r="AS549" s="1">
        <f>IF($A549&lt;&gt;0,1,0)</f>
        <v>0</v>
      </c>
      <c r="AT549" s="1">
        <f>$A549*$B549</f>
        <v>0</v>
      </c>
      <c r="AU549" s="1">
        <f>$A549*$O549</f>
        <v>0</v>
      </c>
      <c r="AV549" s="1">
        <f>IF($R549=0,0,INT($A549/$R549))</f>
        <v>0</v>
      </c>
      <c r="AW549" s="1">
        <f>$A549-$AV549*$R549</f>
        <v>0</v>
      </c>
    </row>
    <row r="550" ht="24.95" customHeight="1" outlineLevel="3" s="1" customFormat="1">
      <c r="A550" s="15"/>
      <c r="B550" s="16">
        <v>540</v>
      </c>
      <c r="C550" s="16">
        <v>837</v>
      </c>
      <c r="D550" s="16">
        <v>35036</v>
      </c>
      <c r="E550" s="18"/>
      <c r="F550" s="18" t="s">
        <v>1864</v>
      </c>
      <c r="G550" s="18" t="s">
        <v>1865</v>
      </c>
      <c r="H550" s="18" t="s">
        <v>86</v>
      </c>
      <c r="I550" s="18" t="s">
        <v>1866</v>
      </c>
      <c r="J550" s="16">
        <v>2026</v>
      </c>
      <c r="K550" s="18" t="s">
        <v>1867</v>
      </c>
      <c r="L550" s="16">
        <v>9785006309814</v>
      </c>
      <c r="M550" s="18" t="s">
        <v>1868</v>
      </c>
      <c r="N550" s="16">
        <v>206</v>
      </c>
      <c r="O550" s="19">
        <v>0.27</v>
      </c>
      <c r="P550" s="16">
        <v>140</v>
      </c>
      <c r="Q550" s="16">
        <v>210</v>
      </c>
      <c r="R550" s="16">
        <v>20</v>
      </c>
      <c r="S550" s="18" t="s">
        <v>43</v>
      </c>
      <c r="T550" s="18"/>
      <c r="U550" s="17">
        <v>3000</v>
      </c>
      <c r="V550" s="18" t="s">
        <v>44</v>
      </c>
      <c r="W550" s="18" t="s">
        <v>91</v>
      </c>
      <c r="X550" s="16">
        <v>10</v>
      </c>
      <c r="Y550" s="43" t="str">
        <f>HYPERLINK("https://api-enni.alpina.ru/FilePrivilegesApproval/1141","https://api-enni.alpina.ru/FilePrivilegesApproval/1141")</f>
        <v>https://api-enni.alpina.ru/FilePrivilegesApproval/1141</v>
      </c>
      <c r="Z550" s="18" t="s">
        <v>1869</v>
      </c>
      <c r="AS550" s="1">
        <f>IF($A550&lt;&gt;0,1,0)</f>
        <v>0</v>
      </c>
      <c r="AT550" s="1">
        <f>$A550*$B550</f>
        <v>0</v>
      </c>
      <c r="AU550" s="1">
        <f>$A550*$O550</f>
        <v>0</v>
      </c>
      <c r="AV550" s="1">
        <f>IF($R550=0,0,INT($A550/$R550))</f>
        <v>0</v>
      </c>
      <c r="AW550" s="1">
        <f>$A550-$AV550*$R550</f>
        <v>0</v>
      </c>
    </row>
    <row r="551" ht="24.95" customHeight="1" outlineLevel="3" s="1" customFormat="1">
      <c r="A551" s="15"/>
      <c r="B551" s="16">
        <v>590</v>
      </c>
      <c r="C551" s="16">
        <v>885</v>
      </c>
      <c r="D551" s="16">
        <v>30273</v>
      </c>
      <c r="E551" s="18"/>
      <c r="F551" s="18" t="s">
        <v>1870</v>
      </c>
      <c r="G551" s="18" t="s">
        <v>1871</v>
      </c>
      <c r="H551" s="18" t="s">
        <v>86</v>
      </c>
      <c r="I551" s="18" t="s">
        <v>1213</v>
      </c>
      <c r="J551" s="16">
        <v>2025</v>
      </c>
      <c r="K551" s="18" t="s">
        <v>1872</v>
      </c>
      <c r="L551" s="16">
        <v>9785961495096</v>
      </c>
      <c r="M551" s="18" t="s">
        <v>1873</v>
      </c>
      <c r="N551" s="16">
        <v>360</v>
      </c>
      <c r="O551" s="19">
        <v>0.53</v>
      </c>
      <c r="P551" s="16">
        <v>150</v>
      </c>
      <c r="Q551" s="16">
        <v>220</v>
      </c>
      <c r="R551" s="16">
        <v>12</v>
      </c>
      <c r="S551" s="18" t="s">
        <v>43</v>
      </c>
      <c r="T551" s="18"/>
      <c r="U551" s="17">
        <v>2000</v>
      </c>
      <c r="V551" s="18" t="s">
        <v>77</v>
      </c>
      <c r="W551" s="18" t="s">
        <v>69</v>
      </c>
      <c r="X551" s="16">
        <v>10</v>
      </c>
      <c r="Y551" s="43" t="str">
        <f>HYPERLINK("https://api-enni.alpina.ru/FilePrivilegesApproval/809","https://api-enni.alpina.ru/FilePrivilegesApproval/809")</f>
        <v>https://api-enni.alpina.ru/FilePrivilegesApproval/809</v>
      </c>
      <c r="Z551" s="18"/>
      <c r="AS551" s="1">
        <f>IF($A551&lt;&gt;0,1,0)</f>
        <v>0</v>
      </c>
      <c r="AT551" s="1">
        <f>$A551*$B551</f>
        <v>0</v>
      </c>
      <c r="AU551" s="1">
        <f>$A551*$O551</f>
        <v>0</v>
      </c>
      <c r="AV551" s="1">
        <f>IF($R551=0,0,INT($A551/$R551))</f>
        <v>0</v>
      </c>
      <c r="AW551" s="1">
        <f>$A551-$AV551*$R551</f>
        <v>0</v>
      </c>
    </row>
    <row r="552" ht="24.95" customHeight="1" outlineLevel="3" s="1" customFormat="1">
      <c r="A552" s="15"/>
      <c r="B552" s="16">
        <v>440</v>
      </c>
      <c r="C552" s="16">
        <v>682</v>
      </c>
      <c r="D552" s="16">
        <v>30991</v>
      </c>
      <c r="E552" s="18"/>
      <c r="F552" s="18" t="s">
        <v>1233</v>
      </c>
      <c r="G552" s="18" t="s">
        <v>1874</v>
      </c>
      <c r="H552" s="18" t="s">
        <v>86</v>
      </c>
      <c r="I552" s="18" t="s">
        <v>74</v>
      </c>
      <c r="J552" s="16">
        <v>2025</v>
      </c>
      <c r="K552" s="18" t="s">
        <v>1875</v>
      </c>
      <c r="L552" s="16">
        <v>9785961497151</v>
      </c>
      <c r="M552" s="18" t="s">
        <v>1876</v>
      </c>
      <c r="N552" s="16">
        <v>445</v>
      </c>
      <c r="O552" s="19">
        <v>0.29</v>
      </c>
      <c r="P552" s="16">
        <v>120</v>
      </c>
      <c r="Q552" s="16">
        <v>170</v>
      </c>
      <c r="R552" s="16">
        <v>24</v>
      </c>
      <c r="S552" s="18" t="s">
        <v>190</v>
      </c>
      <c r="T552" s="18" t="s">
        <v>1237</v>
      </c>
      <c r="U552" s="17">
        <v>4000</v>
      </c>
      <c r="V552" s="18" t="s">
        <v>44</v>
      </c>
      <c r="W552" s="18" t="s">
        <v>91</v>
      </c>
      <c r="X552" s="16">
        <v>10</v>
      </c>
      <c r="Y552" s="43" t="str">
        <f>HYPERLINK("https://api-enni.alpina.ru/FilePrivilegesApproval/831","https://api-enni.alpina.ru/FilePrivilegesApproval/831")</f>
        <v>https://api-enni.alpina.ru/FilePrivilegesApproval/831</v>
      </c>
      <c r="Z552" s="18"/>
      <c r="AS552" s="1">
        <f>IF($A552&lt;&gt;0,1,0)</f>
        <v>0</v>
      </c>
      <c r="AT552" s="1">
        <f>$A552*$B552</f>
        <v>0</v>
      </c>
      <c r="AU552" s="1">
        <f>$A552*$O552</f>
        <v>0</v>
      </c>
      <c r="AV552" s="1">
        <f>IF($R552=0,0,INT($A552/$R552))</f>
        <v>0</v>
      </c>
      <c r="AW552" s="1">
        <f>$A552-$AV552*$R552</f>
        <v>0</v>
      </c>
    </row>
    <row r="553" ht="24.95" customHeight="1" outlineLevel="3" s="1" customFormat="1">
      <c r="A553" s="25"/>
      <c r="B553" s="26">
        <v>585</v>
      </c>
      <c r="C553" s="26">
        <v>878</v>
      </c>
      <c r="D553" s="26">
        <v>3185</v>
      </c>
      <c r="E553" s="27"/>
      <c r="F553" s="27" t="s">
        <v>1877</v>
      </c>
      <c r="G553" s="27" t="s">
        <v>1878</v>
      </c>
      <c r="H553" s="27" t="s">
        <v>95</v>
      </c>
      <c r="I553" s="27" t="s">
        <v>74</v>
      </c>
      <c r="J553" s="26">
        <v>2024</v>
      </c>
      <c r="K553" s="27" t="s">
        <v>1879</v>
      </c>
      <c r="L553" s="26">
        <v>9785961440195</v>
      </c>
      <c r="M553" s="27" t="s">
        <v>1880</v>
      </c>
      <c r="N553" s="26">
        <v>280</v>
      </c>
      <c r="O553" s="28">
        <v>0.44</v>
      </c>
      <c r="P553" s="26">
        <v>153</v>
      </c>
      <c r="Q553" s="26">
        <v>216</v>
      </c>
      <c r="R553" s="26">
        <v>10</v>
      </c>
      <c r="S553" s="27" t="s">
        <v>43</v>
      </c>
      <c r="T553" s="27"/>
      <c r="U553" s="29">
        <v>1000</v>
      </c>
      <c r="V553" s="27" t="s">
        <v>77</v>
      </c>
      <c r="W553" s="27" t="s">
        <v>184</v>
      </c>
      <c r="X553" s="26">
        <v>10</v>
      </c>
      <c r="Y553" s="45" t="str">
        <f>HYPERLINK("https://api-enni.alpina.ru/FilePrivilegesApproval/2","https://api-enni.alpina.ru/FilePrivilegesApproval/2")</f>
        <v>https://api-enni.alpina.ru/FilePrivilegesApproval/2</v>
      </c>
      <c r="Z553" s="27" t="s">
        <v>1220</v>
      </c>
      <c r="AS553" s="1">
        <f>IF($A553&lt;&gt;0,1,0)</f>
        <v>0</v>
      </c>
      <c r="AT553" s="1">
        <f>$A553*$B553</f>
        <v>0</v>
      </c>
      <c r="AU553" s="1">
        <f>$A553*$O553</f>
        <v>0</v>
      </c>
      <c r="AV553" s="1">
        <f>IF($R553=0,0,INT($A553/$R553))</f>
        <v>0</v>
      </c>
      <c r="AW553" s="1">
        <f>$A553-$AV553*$R553</f>
        <v>0</v>
      </c>
    </row>
    <row r="554" ht="24.95" customHeight="1" outlineLevel="3" s="1" customFormat="1">
      <c r="A554" s="15"/>
      <c r="B554" s="16">
        <v>740</v>
      </c>
      <c r="C554" s="17">
        <v>1073</v>
      </c>
      <c r="D554" s="16">
        <v>18583</v>
      </c>
      <c r="E554" s="18"/>
      <c r="F554" s="18" t="s">
        <v>982</v>
      </c>
      <c r="G554" s="18" t="s">
        <v>1881</v>
      </c>
      <c r="H554" s="18" t="s">
        <v>86</v>
      </c>
      <c r="I554" s="18"/>
      <c r="J554" s="16">
        <v>2024</v>
      </c>
      <c r="K554" s="18" t="s">
        <v>1882</v>
      </c>
      <c r="L554" s="16">
        <v>9785961474336</v>
      </c>
      <c r="M554" s="18" t="s">
        <v>1883</v>
      </c>
      <c r="N554" s="16">
        <v>238</v>
      </c>
      <c r="O554" s="19">
        <v>0.56</v>
      </c>
      <c r="P554" s="16">
        <v>170</v>
      </c>
      <c r="Q554" s="16">
        <v>230</v>
      </c>
      <c r="R554" s="16">
        <v>7</v>
      </c>
      <c r="S554" s="18" t="s">
        <v>52</v>
      </c>
      <c r="T554" s="18"/>
      <c r="U554" s="17">
        <v>1500</v>
      </c>
      <c r="V554" s="18" t="s">
        <v>54</v>
      </c>
      <c r="W554" s="18" t="s">
        <v>184</v>
      </c>
      <c r="X554" s="16">
        <v>10</v>
      </c>
      <c r="Y554" s="43" t="str">
        <f>HYPERLINK("https://api-enni.alpina.ru/FilePrivilegesApproval/121","https://api-enni.alpina.ru/FilePrivilegesApproval/121")</f>
        <v>https://api-enni.alpina.ru/FilePrivilegesApproval/121</v>
      </c>
      <c r="Z554" s="18"/>
      <c r="AS554" s="1">
        <f>IF($A554&lt;&gt;0,1,0)</f>
        <v>0</v>
      </c>
      <c r="AT554" s="1">
        <f>$A554*$B554</f>
        <v>0</v>
      </c>
      <c r="AU554" s="1">
        <f>$A554*$O554</f>
        <v>0</v>
      </c>
      <c r="AV554" s="1">
        <f>IF($R554=0,0,INT($A554/$R554))</f>
        <v>0</v>
      </c>
      <c r="AW554" s="1">
        <f>$A554-$AV554*$R554</f>
        <v>0</v>
      </c>
    </row>
    <row r="555" ht="24.95" customHeight="1" outlineLevel="3" s="1" customFormat="1">
      <c r="A555" s="15"/>
      <c r="B555" s="16">
        <v>340</v>
      </c>
      <c r="C555" s="16">
        <v>544</v>
      </c>
      <c r="D555" s="16">
        <v>27560</v>
      </c>
      <c r="E555" s="18"/>
      <c r="F555" s="18" t="s">
        <v>982</v>
      </c>
      <c r="G555" s="18" t="s">
        <v>1884</v>
      </c>
      <c r="H555" s="18" t="s">
        <v>86</v>
      </c>
      <c r="I555" s="18"/>
      <c r="J555" s="16">
        <v>2024</v>
      </c>
      <c r="K555" s="18" t="s">
        <v>1885</v>
      </c>
      <c r="L555" s="16">
        <v>9785961485622</v>
      </c>
      <c r="M555" s="18" t="s">
        <v>1886</v>
      </c>
      <c r="N555" s="16">
        <v>189</v>
      </c>
      <c r="O555" s="19">
        <v>0.13</v>
      </c>
      <c r="P555" s="16">
        <v>120</v>
      </c>
      <c r="Q555" s="16">
        <v>170</v>
      </c>
      <c r="R555" s="16">
        <v>22</v>
      </c>
      <c r="S555" s="18" t="s">
        <v>190</v>
      </c>
      <c r="T555" s="18" t="s">
        <v>451</v>
      </c>
      <c r="U555" s="17">
        <v>2000</v>
      </c>
      <c r="V555" s="18" t="s">
        <v>44</v>
      </c>
      <c r="W555" s="18" t="s">
        <v>184</v>
      </c>
      <c r="X555" s="16">
        <v>10</v>
      </c>
      <c r="Y555" s="43" t="str">
        <f>HYPERLINK("https://api-enni.alpina.ru/FilePrivilegesApproval/202","https://api-enni.alpina.ru/FilePrivilegesApproval/202")</f>
        <v>https://api-enni.alpina.ru/FilePrivilegesApproval/202</v>
      </c>
      <c r="Z555" s="18"/>
      <c r="AS555" s="1">
        <f>IF($A555&lt;&gt;0,1,0)</f>
        <v>0</v>
      </c>
      <c r="AT555" s="1">
        <f>$A555*$B555</f>
        <v>0</v>
      </c>
      <c r="AU555" s="1">
        <f>$A555*$O555</f>
        <v>0</v>
      </c>
      <c r="AV555" s="1">
        <f>IF($R555=0,0,INT($A555/$R555))</f>
        <v>0</v>
      </c>
      <c r="AW555" s="1">
        <f>$A555-$AV555*$R555</f>
        <v>0</v>
      </c>
    </row>
    <row r="556" ht="24.95" customHeight="1" outlineLevel="3" s="1" customFormat="1">
      <c r="A556" s="15"/>
      <c r="B556" s="16">
        <v>630</v>
      </c>
      <c r="C556" s="16">
        <v>945</v>
      </c>
      <c r="D556" s="16">
        <v>18992</v>
      </c>
      <c r="E556" s="18"/>
      <c r="F556" s="18" t="s">
        <v>982</v>
      </c>
      <c r="G556" s="18" t="s">
        <v>1887</v>
      </c>
      <c r="H556" s="18" t="s">
        <v>86</v>
      </c>
      <c r="I556" s="18"/>
      <c r="J556" s="16">
        <v>2023</v>
      </c>
      <c r="K556" s="18" t="s">
        <v>1888</v>
      </c>
      <c r="L556" s="16">
        <v>9785961438376</v>
      </c>
      <c r="M556" s="18" t="s">
        <v>1889</v>
      </c>
      <c r="N556" s="16">
        <v>189</v>
      </c>
      <c r="O556" s="19">
        <v>0.38</v>
      </c>
      <c r="P556" s="16">
        <v>166</v>
      </c>
      <c r="Q556" s="16">
        <v>220</v>
      </c>
      <c r="R556" s="16">
        <v>10</v>
      </c>
      <c r="S556" s="18" t="s">
        <v>52</v>
      </c>
      <c r="T556" s="18"/>
      <c r="U556" s="17">
        <v>5000</v>
      </c>
      <c r="V556" s="18" t="s">
        <v>77</v>
      </c>
      <c r="W556" s="18" t="s">
        <v>184</v>
      </c>
      <c r="X556" s="16">
        <v>10</v>
      </c>
      <c r="Y556" s="43" t="str">
        <f>HYPERLINK("https://api-enni.alpina.ru/FilePrivilegesApproval/125","https://api-enni.alpina.ru/FilePrivilegesApproval/125")</f>
        <v>https://api-enni.alpina.ru/FilePrivilegesApproval/125</v>
      </c>
      <c r="Z556" s="18"/>
      <c r="AS556" s="1">
        <f>IF($A556&lt;&gt;0,1,0)</f>
        <v>0</v>
      </c>
      <c r="AT556" s="1">
        <f>$A556*$B556</f>
        <v>0</v>
      </c>
      <c r="AU556" s="1">
        <f>$A556*$O556</f>
        <v>0</v>
      </c>
      <c r="AV556" s="1">
        <f>IF($R556=0,0,INT($A556/$R556))</f>
        <v>0</v>
      </c>
      <c r="AW556" s="1">
        <f>$A556-$AV556*$R556</f>
        <v>0</v>
      </c>
    </row>
    <row r="557" ht="24.95" customHeight="1" outlineLevel="3" s="1" customFormat="1">
      <c r="A557" s="15"/>
      <c r="B557" s="16">
        <v>690</v>
      </c>
      <c r="C557" s="17">
        <v>1035</v>
      </c>
      <c r="D557" s="16">
        <v>35144</v>
      </c>
      <c r="E557" s="18"/>
      <c r="F557" s="18" t="s">
        <v>1890</v>
      </c>
      <c r="G557" s="18" t="s">
        <v>1891</v>
      </c>
      <c r="H557" s="18" t="s">
        <v>86</v>
      </c>
      <c r="I557" s="18"/>
      <c r="J557" s="16">
        <v>2026</v>
      </c>
      <c r="K557" s="18" t="s">
        <v>1892</v>
      </c>
      <c r="L557" s="16">
        <v>9785006310421</v>
      </c>
      <c r="M557" s="18" t="s">
        <v>1893</v>
      </c>
      <c r="N557" s="16">
        <v>336</v>
      </c>
      <c r="O557" s="19">
        <v>0.49</v>
      </c>
      <c r="P557" s="16">
        <v>150</v>
      </c>
      <c r="Q557" s="16">
        <v>220</v>
      </c>
      <c r="R557" s="16">
        <v>10</v>
      </c>
      <c r="S557" s="18" t="s">
        <v>43</v>
      </c>
      <c r="T557" s="18"/>
      <c r="U557" s="17">
        <v>1000</v>
      </c>
      <c r="V557" s="18" t="s">
        <v>77</v>
      </c>
      <c r="W557" s="18" t="s">
        <v>69</v>
      </c>
      <c r="X557" s="16">
        <v>10</v>
      </c>
      <c r="Y557" s="43" t="str">
        <f>HYPERLINK("https://api-enni.alpina.ru/FilePrivilegesApproval/1009","https://api-enni.alpina.ru/FilePrivilegesApproval/1009")</f>
        <v>https://api-enni.alpina.ru/FilePrivilegesApproval/1009</v>
      </c>
      <c r="Z557" s="18" t="s">
        <v>144</v>
      </c>
      <c r="AS557" s="1">
        <f>IF($A557&lt;&gt;0,1,0)</f>
        <v>0</v>
      </c>
      <c r="AT557" s="1">
        <f>$A557*$B557</f>
        <v>0</v>
      </c>
      <c r="AU557" s="1">
        <f>$A557*$O557</f>
        <v>0</v>
      </c>
      <c r="AV557" s="1">
        <f>IF($R557=0,0,INT($A557/$R557))</f>
        <v>0</v>
      </c>
      <c r="AW557" s="1">
        <f>$A557-$AV557*$R557</f>
        <v>0</v>
      </c>
    </row>
    <row r="558" ht="24.95" customHeight="1" outlineLevel="3" s="1" customFormat="1">
      <c r="A558" s="15"/>
      <c r="B558" s="16">
        <v>590</v>
      </c>
      <c r="C558" s="16">
        <v>885</v>
      </c>
      <c r="D558" s="16">
        <v>34233</v>
      </c>
      <c r="E558" s="18"/>
      <c r="F558" s="18" t="s">
        <v>382</v>
      </c>
      <c r="G558" s="18" t="s">
        <v>1894</v>
      </c>
      <c r="H558" s="18" t="s">
        <v>86</v>
      </c>
      <c r="I558" s="18"/>
      <c r="J558" s="16">
        <v>2025</v>
      </c>
      <c r="K558" s="18" t="s">
        <v>1895</v>
      </c>
      <c r="L558" s="16">
        <v>9785006306752</v>
      </c>
      <c r="M558" s="18" t="s">
        <v>1896</v>
      </c>
      <c r="N558" s="16">
        <v>264</v>
      </c>
      <c r="O558" s="19">
        <v>0.42</v>
      </c>
      <c r="P558" s="16">
        <v>150</v>
      </c>
      <c r="Q558" s="16">
        <v>220</v>
      </c>
      <c r="R558" s="16">
        <v>12</v>
      </c>
      <c r="S558" s="18" t="s">
        <v>43</v>
      </c>
      <c r="T558" s="18"/>
      <c r="U558" s="17">
        <v>3000</v>
      </c>
      <c r="V558" s="18" t="s">
        <v>77</v>
      </c>
      <c r="W558" s="18" t="s">
        <v>69</v>
      </c>
      <c r="X558" s="16">
        <v>10</v>
      </c>
      <c r="Y558" s="43" t="str">
        <f>HYPERLINK("https://api-enni.alpina.ru/FilePrivilegesApproval/921","https://api-enni.alpina.ru/FilePrivilegesApproval/921")</f>
        <v>https://api-enni.alpina.ru/FilePrivilegesApproval/921</v>
      </c>
      <c r="Z558" s="18"/>
      <c r="AS558" s="1">
        <f>IF($A558&lt;&gt;0,1,0)</f>
        <v>0</v>
      </c>
      <c r="AT558" s="1">
        <f>$A558*$B558</f>
        <v>0</v>
      </c>
      <c r="AU558" s="1">
        <f>$A558*$O558</f>
        <v>0</v>
      </c>
      <c r="AV558" s="1">
        <f>IF($R558=0,0,INT($A558/$R558))</f>
        <v>0</v>
      </c>
      <c r="AW558" s="1">
        <f>$A558-$AV558*$R558</f>
        <v>0</v>
      </c>
    </row>
    <row r="559" ht="24.95" customHeight="1" outlineLevel="3" s="1" customFormat="1">
      <c r="A559" s="15"/>
      <c r="B559" s="16">
        <v>740</v>
      </c>
      <c r="C559" s="17">
        <v>1073</v>
      </c>
      <c r="D559" s="16">
        <v>34873</v>
      </c>
      <c r="E559" s="18"/>
      <c r="F559" s="18" t="s">
        <v>1897</v>
      </c>
      <c r="G559" s="18" t="s">
        <v>1898</v>
      </c>
      <c r="H559" s="18" t="s">
        <v>95</v>
      </c>
      <c r="I559" s="18"/>
      <c r="J559" s="16">
        <v>2025</v>
      </c>
      <c r="K559" s="18" t="s">
        <v>1899</v>
      </c>
      <c r="L559" s="16">
        <v>9785206005257</v>
      </c>
      <c r="M559" s="18" t="s">
        <v>1900</v>
      </c>
      <c r="N559" s="16">
        <v>160</v>
      </c>
      <c r="O559" s="19">
        <v>0.3</v>
      </c>
      <c r="P559" s="16">
        <v>150</v>
      </c>
      <c r="Q559" s="16">
        <v>220</v>
      </c>
      <c r="R559" s="16">
        <v>10</v>
      </c>
      <c r="S559" s="18" t="s">
        <v>43</v>
      </c>
      <c r="T559" s="18"/>
      <c r="U559" s="17">
        <v>1005</v>
      </c>
      <c r="V559" s="18" t="s">
        <v>77</v>
      </c>
      <c r="W559" s="18" t="s">
        <v>45</v>
      </c>
      <c r="X559" s="16">
        <v>10</v>
      </c>
      <c r="Y559" s="43" t="str">
        <f>HYPERLINK("https://api-enni.alpina.ru/FilePrivilegesApproval/1051","https://api-enni.alpina.ru/FilePrivilegesApproval/1051")</f>
        <v>https://api-enni.alpina.ru/FilePrivilegesApproval/1051</v>
      </c>
      <c r="Z559" s="18"/>
      <c r="AS559" s="1">
        <f>IF($A559&lt;&gt;0,1,0)</f>
        <v>0</v>
      </c>
      <c r="AT559" s="1">
        <f>$A559*$B559</f>
        <v>0</v>
      </c>
      <c r="AU559" s="1">
        <f>$A559*$O559</f>
        <v>0</v>
      </c>
      <c r="AV559" s="1">
        <f>IF($R559=0,0,INT($A559/$R559))</f>
        <v>0</v>
      </c>
      <c r="AW559" s="1">
        <f>$A559-$AV559*$R559</f>
        <v>0</v>
      </c>
    </row>
    <row r="560" ht="24.95" customHeight="1" outlineLevel="3" s="1" customFormat="1">
      <c r="A560" s="15"/>
      <c r="B560" s="16">
        <v>440</v>
      </c>
      <c r="C560" s="16">
        <v>682</v>
      </c>
      <c r="D560" s="16">
        <v>36800</v>
      </c>
      <c r="E560" s="18"/>
      <c r="F560" s="18" t="s">
        <v>1901</v>
      </c>
      <c r="G560" s="18" t="s">
        <v>1902</v>
      </c>
      <c r="H560" s="18" t="s">
        <v>86</v>
      </c>
      <c r="I560" s="18"/>
      <c r="J560" s="16">
        <v>2026</v>
      </c>
      <c r="K560" s="18" t="s">
        <v>1903</v>
      </c>
      <c r="L560" s="16">
        <v>9785006318281</v>
      </c>
      <c r="M560" s="18" t="s">
        <v>1904</v>
      </c>
      <c r="N560" s="16">
        <v>429</v>
      </c>
      <c r="O560" s="19">
        <v>0.28</v>
      </c>
      <c r="P560" s="16">
        <v>120</v>
      </c>
      <c r="Q560" s="16">
        <v>170</v>
      </c>
      <c r="R560" s="16">
        <v>8</v>
      </c>
      <c r="S560" s="18" t="s">
        <v>190</v>
      </c>
      <c r="T560" s="18" t="s">
        <v>959</v>
      </c>
      <c r="U560" s="17">
        <v>2000</v>
      </c>
      <c r="V560" s="18" t="s">
        <v>44</v>
      </c>
      <c r="W560" s="18" t="s">
        <v>45</v>
      </c>
      <c r="X560" s="16">
        <v>10</v>
      </c>
      <c r="Y560" s="43" t="str">
        <f>HYPERLINK("https://api-enni.alpina.ru/FilePrivilegesApproval/1141","https://api-enni.alpina.ru/FilePrivilegesApproval/1141")</f>
        <v>https://api-enni.alpina.ru/FilePrivilegesApproval/1141</v>
      </c>
      <c r="Z560" s="18" t="s">
        <v>1905</v>
      </c>
      <c r="AS560" s="1">
        <f>IF($A560&lt;&gt;0,1,0)</f>
        <v>0</v>
      </c>
      <c r="AT560" s="1">
        <f>$A560*$B560</f>
        <v>0</v>
      </c>
      <c r="AU560" s="1">
        <f>$A560*$O560</f>
        <v>0</v>
      </c>
      <c r="AV560" s="1">
        <f>IF($R560=0,0,INT($A560/$R560))</f>
        <v>0</v>
      </c>
      <c r="AW560" s="1">
        <f>$A560-$AV560*$R560</f>
        <v>0</v>
      </c>
    </row>
    <row r="561" ht="24.95" customHeight="1" outlineLevel="3" s="1" customFormat="1">
      <c r="A561" s="15"/>
      <c r="B561" s="16">
        <v>390</v>
      </c>
      <c r="C561" s="16">
        <v>624</v>
      </c>
      <c r="D561" s="16">
        <v>33770</v>
      </c>
      <c r="E561" s="18"/>
      <c r="F561" s="18" t="s">
        <v>1906</v>
      </c>
      <c r="G561" s="18" t="s">
        <v>1907</v>
      </c>
      <c r="H561" s="18" t="s">
        <v>86</v>
      </c>
      <c r="I561" s="18" t="s">
        <v>74</v>
      </c>
      <c r="J561" s="16">
        <v>2025</v>
      </c>
      <c r="K561" s="18" t="s">
        <v>1908</v>
      </c>
      <c r="L561" s="16">
        <v>9785006305489</v>
      </c>
      <c r="M561" s="18" t="s">
        <v>1909</v>
      </c>
      <c r="N561" s="16">
        <v>352</v>
      </c>
      <c r="O561" s="19">
        <v>0.23</v>
      </c>
      <c r="P561" s="16">
        <v>120</v>
      </c>
      <c r="Q561" s="16">
        <v>170</v>
      </c>
      <c r="R561" s="16">
        <v>18</v>
      </c>
      <c r="S561" s="18" t="s">
        <v>190</v>
      </c>
      <c r="T561" s="18" t="s">
        <v>959</v>
      </c>
      <c r="U561" s="17">
        <v>2000</v>
      </c>
      <c r="V561" s="18" t="s">
        <v>44</v>
      </c>
      <c r="W561" s="18" t="s">
        <v>69</v>
      </c>
      <c r="X561" s="16">
        <v>10</v>
      </c>
      <c r="Y561" s="43" t="str">
        <f>HYPERLINK("https://api-enni.alpina.ru/FilePrivilegesApproval/873","https://api-enni.alpina.ru/FilePrivilegesApproval/873")</f>
        <v>https://api-enni.alpina.ru/FilePrivilegesApproval/873</v>
      </c>
      <c r="Z561" s="18"/>
      <c r="AS561" s="1">
        <f>IF($A561&lt;&gt;0,1,0)</f>
        <v>0</v>
      </c>
      <c r="AT561" s="1">
        <f>$A561*$B561</f>
        <v>0</v>
      </c>
      <c r="AU561" s="1">
        <f>$A561*$O561</f>
        <v>0</v>
      </c>
      <c r="AV561" s="1">
        <f>IF($R561=0,0,INT($A561/$R561))</f>
        <v>0</v>
      </c>
      <c r="AW561" s="1">
        <f>$A561-$AV561*$R561</f>
        <v>0</v>
      </c>
    </row>
    <row r="562" ht="24.95" customHeight="1" outlineLevel="3" s="1" customFormat="1">
      <c r="A562" s="25"/>
      <c r="B562" s="26">
        <v>640</v>
      </c>
      <c r="C562" s="26">
        <v>960</v>
      </c>
      <c r="D562" s="26">
        <v>4751</v>
      </c>
      <c r="E562" s="27"/>
      <c r="F562" s="27" t="s">
        <v>1910</v>
      </c>
      <c r="G562" s="27" t="s">
        <v>1911</v>
      </c>
      <c r="H562" s="27" t="s">
        <v>95</v>
      </c>
      <c r="I562" s="27"/>
      <c r="J562" s="26">
        <v>2024</v>
      </c>
      <c r="K562" s="27" t="s">
        <v>1912</v>
      </c>
      <c r="L562" s="26">
        <v>9785907394551</v>
      </c>
      <c r="M562" s="27" t="s">
        <v>1913</v>
      </c>
      <c r="N562" s="26">
        <v>216</v>
      </c>
      <c r="O562" s="28">
        <v>0.12</v>
      </c>
      <c r="P562" s="26">
        <v>133</v>
      </c>
      <c r="Q562" s="26">
        <v>206</v>
      </c>
      <c r="R562" s="26">
        <v>5</v>
      </c>
      <c r="S562" s="27" t="s">
        <v>90</v>
      </c>
      <c r="T562" s="27"/>
      <c r="U562" s="29">
        <v>1000</v>
      </c>
      <c r="V562" s="27" t="s">
        <v>77</v>
      </c>
      <c r="W562" s="27" t="s">
        <v>184</v>
      </c>
      <c r="X562" s="26">
        <v>10</v>
      </c>
      <c r="Y562" s="45" t="str">
        <f>HYPERLINK("https://api-enni.alpina.ru/FilePrivilegesApproval/2","https://api-enni.alpina.ru/FilePrivilegesApproval/2")</f>
        <v>https://api-enni.alpina.ru/FilePrivilegesApproval/2</v>
      </c>
      <c r="Z562" s="27"/>
      <c r="AS562" s="1">
        <f>IF($A562&lt;&gt;0,1,0)</f>
        <v>0</v>
      </c>
      <c r="AT562" s="1">
        <f>$A562*$B562</f>
        <v>0</v>
      </c>
      <c r="AU562" s="1">
        <f>$A562*$O562</f>
        <v>0</v>
      </c>
      <c r="AV562" s="1">
        <f>IF($R562=0,0,INT($A562/$R562))</f>
        <v>0</v>
      </c>
      <c r="AW562" s="1">
        <f>$A562-$AV562*$R562</f>
        <v>0</v>
      </c>
    </row>
    <row r="563" ht="24.95" customHeight="1" outlineLevel="3" s="1" customFormat="1">
      <c r="A563" s="15"/>
      <c r="B563" s="16">
        <v>490</v>
      </c>
      <c r="C563" s="16">
        <v>760</v>
      </c>
      <c r="D563" s="16">
        <v>30152</v>
      </c>
      <c r="E563" s="18"/>
      <c r="F563" s="18" t="s">
        <v>1914</v>
      </c>
      <c r="G563" s="18" t="s">
        <v>1915</v>
      </c>
      <c r="H563" s="18" t="s">
        <v>86</v>
      </c>
      <c r="I563" s="18" t="s">
        <v>65</v>
      </c>
      <c r="J563" s="16">
        <v>2024</v>
      </c>
      <c r="K563" s="18" t="s">
        <v>1916</v>
      </c>
      <c r="L563" s="16">
        <v>9785961494938</v>
      </c>
      <c r="M563" s="18" t="s">
        <v>1917</v>
      </c>
      <c r="N563" s="16">
        <v>144</v>
      </c>
      <c r="O563" s="19">
        <v>0.27</v>
      </c>
      <c r="P563" s="16">
        <v>130</v>
      </c>
      <c r="Q563" s="16">
        <v>210</v>
      </c>
      <c r="R563" s="16">
        <v>20</v>
      </c>
      <c r="S563" s="18" t="s">
        <v>90</v>
      </c>
      <c r="T563" s="18"/>
      <c r="U563" s="17">
        <v>2500</v>
      </c>
      <c r="V563" s="18" t="s">
        <v>77</v>
      </c>
      <c r="W563" s="18" t="s">
        <v>69</v>
      </c>
      <c r="X563" s="16">
        <v>10</v>
      </c>
      <c r="Y563" s="43" t="str">
        <f>HYPERLINK("https://api-enni.alpina.ru/FilePrivilegesApproval/546","https://api-enni.alpina.ru/FilePrivilegesApproval/546")</f>
        <v>https://api-enni.alpina.ru/FilePrivilegesApproval/546</v>
      </c>
      <c r="Z563" s="18"/>
      <c r="AS563" s="1">
        <f>IF($A563&lt;&gt;0,1,0)</f>
        <v>0</v>
      </c>
      <c r="AT563" s="1">
        <f>$A563*$B563</f>
        <v>0</v>
      </c>
      <c r="AU563" s="1">
        <f>$A563*$O563</f>
        <v>0</v>
      </c>
      <c r="AV563" s="1">
        <f>IF($R563=0,0,INT($A563/$R563))</f>
        <v>0</v>
      </c>
      <c r="AW563" s="1">
        <f>$A563-$AV563*$R563</f>
        <v>0</v>
      </c>
    </row>
    <row r="564" ht="24.95" customHeight="1" outlineLevel="3" s="1" customFormat="1">
      <c r="A564" s="15"/>
      <c r="B564" s="17">
        <v>1040</v>
      </c>
      <c r="C564" s="17">
        <v>1404</v>
      </c>
      <c r="D564" s="16">
        <v>27996</v>
      </c>
      <c r="E564" s="18"/>
      <c r="F564" s="18" t="s">
        <v>469</v>
      </c>
      <c r="G564" s="18" t="s">
        <v>1918</v>
      </c>
      <c r="H564" s="18" t="s">
        <v>86</v>
      </c>
      <c r="I564" s="18" t="s">
        <v>74</v>
      </c>
      <c r="J564" s="16">
        <v>2025</v>
      </c>
      <c r="K564" s="18" t="s">
        <v>1919</v>
      </c>
      <c r="L564" s="16">
        <v>9785961487008</v>
      </c>
      <c r="M564" s="18" t="s">
        <v>1920</v>
      </c>
      <c r="N564" s="16">
        <v>488</v>
      </c>
      <c r="O564" s="19">
        <v>0.87</v>
      </c>
      <c r="P564" s="16">
        <v>172</v>
      </c>
      <c r="Q564" s="16">
        <v>242</v>
      </c>
      <c r="R564" s="16">
        <v>5</v>
      </c>
      <c r="S564" s="18" t="s">
        <v>123</v>
      </c>
      <c r="T564" s="18"/>
      <c r="U564" s="17">
        <v>5000</v>
      </c>
      <c r="V564" s="18" t="s">
        <v>54</v>
      </c>
      <c r="W564" s="18" t="s">
        <v>184</v>
      </c>
      <c r="X564" s="16">
        <v>10</v>
      </c>
      <c r="Y564" s="43" t="str">
        <f>HYPERLINK("https://api-enni.alpina.ru/FilePrivilegesApproval/177","https://api-enni.alpina.ru/FilePrivilegesApproval/177")</f>
        <v>https://api-enni.alpina.ru/FilePrivilegesApproval/177</v>
      </c>
      <c r="Z564" s="18"/>
      <c r="AS564" s="1">
        <f>IF($A564&lt;&gt;0,1,0)</f>
        <v>0</v>
      </c>
      <c r="AT564" s="1">
        <f>$A564*$B564</f>
        <v>0</v>
      </c>
      <c r="AU564" s="1">
        <f>$A564*$O564</f>
        <v>0</v>
      </c>
      <c r="AV564" s="1">
        <f>IF($R564=0,0,INT($A564/$R564))</f>
        <v>0</v>
      </c>
      <c r="AW564" s="1">
        <f>$A564-$AV564*$R564</f>
        <v>0</v>
      </c>
    </row>
    <row r="565" ht="24.95" customHeight="1" outlineLevel="3" s="1" customFormat="1">
      <c r="A565" s="15"/>
      <c r="B565" s="16">
        <v>940</v>
      </c>
      <c r="C565" s="17">
        <v>1316</v>
      </c>
      <c r="D565" s="16">
        <v>28083</v>
      </c>
      <c r="E565" s="18"/>
      <c r="F565" s="18" t="s">
        <v>469</v>
      </c>
      <c r="G565" s="18" t="s">
        <v>859</v>
      </c>
      <c r="H565" s="18" t="s">
        <v>86</v>
      </c>
      <c r="I565" s="18" t="s">
        <v>74</v>
      </c>
      <c r="J565" s="16">
        <v>2026</v>
      </c>
      <c r="K565" s="18" t="s">
        <v>860</v>
      </c>
      <c r="L565" s="16">
        <v>9785961487220</v>
      </c>
      <c r="M565" s="18" t="s">
        <v>861</v>
      </c>
      <c r="N565" s="16">
        <v>488</v>
      </c>
      <c r="O565" s="19">
        <v>0.86</v>
      </c>
      <c r="P565" s="16">
        <v>170</v>
      </c>
      <c r="Q565" s="16">
        <v>240</v>
      </c>
      <c r="R565" s="16">
        <v>5</v>
      </c>
      <c r="S565" s="18" t="s">
        <v>123</v>
      </c>
      <c r="T565" s="18"/>
      <c r="U565" s="17">
        <v>10000</v>
      </c>
      <c r="V565" s="18" t="s">
        <v>77</v>
      </c>
      <c r="W565" s="18" t="s">
        <v>91</v>
      </c>
      <c r="X565" s="16">
        <v>10</v>
      </c>
      <c r="Y565" s="43" t="str">
        <f>HYPERLINK("https://api-enni.alpina.ru/FilePrivilegesApproval/177","https://api-enni.alpina.ru/FilePrivilegesApproval/177")</f>
        <v>https://api-enni.alpina.ru/FilePrivilegesApproval/177</v>
      </c>
      <c r="Z565" s="18"/>
      <c r="AS565" s="1">
        <f>IF($A565&lt;&gt;0,1,0)</f>
        <v>0</v>
      </c>
      <c r="AT565" s="1">
        <f>$A565*$B565</f>
        <v>0</v>
      </c>
      <c r="AU565" s="1">
        <f>$A565*$O565</f>
        <v>0</v>
      </c>
      <c r="AV565" s="1">
        <f>IF($R565=0,0,INT($A565/$R565))</f>
        <v>0</v>
      </c>
      <c r="AW565" s="1">
        <f>$A565-$AV565*$R565</f>
        <v>0</v>
      </c>
    </row>
    <row r="566" ht="24.95" customHeight="1" outlineLevel="3" s="1" customFormat="1">
      <c r="A566" s="15"/>
      <c r="B566" s="16">
        <v>440</v>
      </c>
      <c r="C566" s="16">
        <v>682</v>
      </c>
      <c r="D566" s="16">
        <v>28567</v>
      </c>
      <c r="E566" s="18"/>
      <c r="F566" s="18" t="s">
        <v>469</v>
      </c>
      <c r="G566" s="18" t="s">
        <v>1921</v>
      </c>
      <c r="H566" s="18" t="s">
        <v>86</v>
      </c>
      <c r="I566" s="18" t="s">
        <v>74</v>
      </c>
      <c r="J566" s="16">
        <v>2026</v>
      </c>
      <c r="K566" s="18" t="s">
        <v>1922</v>
      </c>
      <c r="L566" s="16">
        <v>9785961489439</v>
      </c>
      <c r="M566" s="18" t="s">
        <v>1923</v>
      </c>
      <c r="N566" s="16">
        <v>48</v>
      </c>
      <c r="O566" s="19">
        <v>0.12</v>
      </c>
      <c r="P566" s="16">
        <v>120</v>
      </c>
      <c r="Q566" s="16">
        <v>170</v>
      </c>
      <c r="R566" s="16">
        <v>40</v>
      </c>
      <c r="S566" s="18" t="s">
        <v>873</v>
      </c>
      <c r="T566" s="18"/>
      <c r="U566" s="17">
        <v>3000</v>
      </c>
      <c r="V566" s="18" t="s">
        <v>54</v>
      </c>
      <c r="W566" s="18" t="s">
        <v>184</v>
      </c>
      <c r="X566" s="16">
        <v>10</v>
      </c>
      <c r="Y566" s="43" t="str">
        <f>HYPERLINK("https://api-enni.alpina.ru/FilePrivilegesApproval/132","https://api-enni.alpina.ru/FilePrivilegesApproval/132")</f>
        <v>https://api-enni.alpina.ru/FilePrivilegesApproval/132</v>
      </c>
      <c r="Z566" s="18" t="s">
        <v>1099</v>
      </c>
      <c r="AS566" s="1">
        <f>IF($A566&lt;&gt;0,1,0)</f>
        <v>0</v>
      </c>
      <c r="AT566" s="1">
        <f>$A566*$B566</f>
        <v>0</v>
      </c>
      <c r="AU566" s="1">
        <f>$A566*$O566</f>
        <v>0</v>
      </c>
      <c r="AV566" s="1">
        <f>IF($R566=0,0,INT($A566/$R566))</f>
        <v>0</v>
      </c>
      <c r="AW566" s="1">
        <f>$A566-$AV566*$R566</f>
        <v>0</v>
      </c>
    </row>
    <row r="567" ht="24.95" customHeight="1" outlineLevel="3" s="1" customFormat="1">
      <c r="A567" s="15"/>
      <c r="B567" s="16">
        <v>540</v>
      </c>
      <c r="C567" s="16">
        <v>837</v>
      </c>
      <c r="D567" s="16">
        <v>18716</v>
      </c>
      <c r="E567" s="18"/>
      <c r="F567" s="18" t="s">
        <v>1924</v>
      </c>
      <c r="G567" s="18" t="s">
        <v>1925</v>
      </c>
      <c r="H567" s="18" t="s">
        <v>86</v>
      </c>
      <c r="I567" s="18" t="s">
        <v>74</v>
      </c>
      <c r="J567" s="16">
        <v>2025</v>
      </c>
      <c r="K567" s="18" t="s">
        <v>1926</v>
      </c>
      <c r="L567" s="16">
        <v>9785961436747</v>
      </c>
      <c r="M567" s="18" t="s">
        <v>1927</v>
      </c>
      <c r="N567" s="16">
        <v>164</v>
      </c>
      <c r="O567" s="19">
        <v>0.23</v>
      </c>
      <c r="P567" s="16">
        <v>120</v>
      </c>
      <c r="Q567" s="16">
        <v>170</v>
      </c>
      <c r="R567" s="16">
        <v>14</v>
      </c>
      <c r="S567" s="18" t="s">
        <v>873</v>
      </c>
      <c r="T567" s="18"/>
      <c r="U567" s="17">
        <v>1500</v>
      </c>
      <c r="V567" s="18" t="s">
        <v>77</v>
      </c>
      <c r="W567" s="18" t="s">
        <v>91</v>
      </c>
      <c r="X567" s="16">
        <v>10</v>
      </c>
      <c r="Y567" s="43" t="str">
        <f>HYPERLINK("https://api-enni.alpina.ru/FilePrivilegesApproval/172","https://api-enni.alpina.ru/FilePrivilegesApproval/172")</f>
        <v>https://api-enni.alpina.ru/FilePrivilegesApproval/172</v>
      </c>
      <c r="Z567" s="18"/>
      <c r="AS567" s="1">
        <f>IF($A567&lt;&gt;0,1,0)</f>
        <v>0</v>
      </c>
      <c r="AT567" s="1">
        <f>$A567*$B567</f>
        <v>0</v>
      </c>
      <c r="AU567" s="1">
        <f>$A567*$O567</f>
        <v>0</v>
      </c>
      <c r="AV567" s="1">
        <f>IF($R567=0,0,INT($A567/$R567))</f>
        <v>0</v>
      </c>
      <c r="AW567" s="1">
        <f>$A567-$AV567*$R567</f>
        <v>0</v>
      </c>
    </row>
    <row r="568" ht="24.95" customHeight="1" outlineLevel="3" s="1" customFormat="1">
      <c r="A568" s="15"/>
      <c r="B568" s="16">
        <v>340</v>
      </c>
      <c r="C568" s="16">
        <v>544</v>
      </c>
      <c r="D568" s="16">
        <v>30755</v>
      </c>
      <c r="E568" s="18"/>
      <c r="F568" s="18" t="s">
        <v>469</v>
      </c>
      <c r="G568" s="18" t="s">
        <v>1928</v>
      </c>
      <c r="H568" s="18" t="s">
        <v>86</v>
      </c>
      <c r="I568" s="18" t="s">
        <v>74</v>
      </c>
      <c r="J568" s="16">
        <v>2025</v>
      </c>
      <c r="K568" s="18" t="s">
        <v>1929</v>
      </c>
      <c r="L568" s="16">
        <v>9785961496437</v>
      </c>
      <c r="M568" s="18" t="s">
        <v>1930</v>
      </c>
      <c r="N568" s="16">
        <v>96</v>
      </c>
      <c r="O568" s="19">
        <v>0.09</v>
      </c>
      <c r="P568" s="16">
        <v>120</v>
      </c>
      <c r="Q568" s="16">
        <v>170</v>
      </c>
      <c r="R568" s="16">
        <v>34</v>
      </c>
      <c r="S568" s="18" t="s">
        <v>190</v>
      </c>
      <c r="T568" s="18" t="s">
        <v>1271</v>
      </c>
      <c r="U568" s="17">
        <v>2000</v>
      </c>
      <c r="V568" s="18" t="s">
        <v>44</v>
      </c>
      <c r="W568" s="18" t="s">
        <v>184</v>
      </c>
      <c r="X568" s="16">
        <v>10</v>
      </c>
      <c r="Y568" s="43" t="str">
        <f>HYPERLINK("https://api-enni.alpina.ru/FilePrivilegesApproval/405","https://api-enni.alpina.ru/FilePrivilegesApproval/405")</f>
        <v>https://api-enni.alpina.ru/FilePrivilegesApproval/405</v>
      </c>
      <c r="Z568" s="18"/>
      <c r="AS568" s="1">
        <f>IF($A568&lt;&gt;0,1,0)</f>
        <v>0</v>
      </c>
      <c r="AT568" s="1">
        <f>$A568*$B568</f>
        <v>0</v>
      </c>
      <c r="AU568" s="1">
        <f>$A568*$O568</f>
        <v>0</v>
      </c>
      <c r="AV568" s="1">
        <f>IF($R568=0,0,INT($A568/$R568))</f>
        <v>0</v>
      </c>
      <c r="AW568" s="1">
        <f>$A568-$AV568*$R568</f>
        <v>0</v>
      </c>
    </row>
    <row r="569" ht="24.95" customHeight="1" outlineLevel="3" s="1" customFormat="1">
      <c r="A569" s="15"/>
      <c r="B569" s="16">
        <v>640</v>
      </c>
      <c r="C569" s="16">
        <v>960</v>
      </c>
      <c r="D569" s="16">
        <v>28486</v>
      </c>
      <c r="E569" s="18"/>
      <c r="F569" s="18" t="s">
        <v>713</v>
      </c>
      <c r="G569" s="18" t="s">
        <v>1931</v>
      </c>
      <c r="H569" s="18" t="s">
        <v>86</v>
      </c>
      <c r="I569" s="18"/>
      <c r="J569" s="16">
        <v>2025</v>
      </c>
      <c r="K569" s="18" t="s">
        <v>1932</v>
      </c>
      <c r="L569" s="16">
        <v>9785961489149</v>
      </c>
      <c r="M569" s="18" t="s">
        <v>1933</v>
      </c>
      <c r="N569" s="16">
        <v>504</v>
      </c>
      <c r="O569" s="19">
        <v>0.69</v>
      </c>
      <c r="P569" s="16">
        <v>150</v>
      </c>
      <c r="Q569" s="16">
        <v>220</v>
      </c>
      <c r="R569" s="16">
        <v>8</v>
      </c>
      <c r="S569" s="18" t="s">
        <v>43</v>
      </c>
      <c r="T569" s="18"/>
      <c r="U569" s="17">
        <v>5000</v>
      </c>
      <c r="V569" s="18" t="s">
        <v>77</v>
      </c>
      <c r="W569" s="18" t="s">
        <v>69</v>
      </c>
      <c r="X569" s="16">
        <v>10</v>
      </c>
      <c r="Y569" s="43" t="str">
        <f>HYPERLINK("https://api-enni.alpina.ru/FilePrivilegesApproval/315","https://api-enni.alpina.ru/FilePrivilegesApproval/315")</f>
        <v>https://api-enni.alpina.ru/FilePrivilegesApproval/315</v>
      </c>
      <c r="Z569" s="18"/>
      <c r="AS569" s="1">
        <f>IF($A569&lt;&gt;0,1,0)</f>
        <v>0</v>
      </c>
      <c r="AT569" s="1">
        <f>$A569*$B569</f>
        <v>0</v>
      </c>
      <c r="AU569" s="1">
        <f>$A569*$O569</f>
        <v>0</v>
      </c>
      <c r="AV569" s="1">
        <f>IF($R569=0,0,INT($A569/$R569))</f>
        <v>0</v>
      </c>
      <c r="AW569" s="1">
        <f>$A569-$AV569*$R569</f>
        <v>0</v>
      </c>
    </row>
    <row r="570" ht="24.95" customHeight="1" outlineLevel="3" s="1" customFormat="1">
      <c r="A570" s="15"/>
      <c r="B570" s="16">
        <v>590</v>
      </c>
      <c r="C570" s="16">
        <v>885</v>
      </c>
      <c r="D570" s="16">
        <v>28717</v>
      </c>
      <c r="E570" s="18"/>
      <c r="F570" s="18" t="s">
        <v>1934</v>
      </c>
      <c r="G570" s="18" t="s">
        <v>1935</v>
      </c>
      <c r="H570" s="18" t="s">
        <v>86</v>
      </c>
      <c r="I570" s="18"/>
      <c r="J570" s="16">
        <v>2025</v>
      </c>
      <c r="K570" s="18" t="s">
        <v>1936</v>
      </c>
      <c r="L570" s="16">
        <v>9785961489811</v>
      </c>
      <c r="M570" s="18" t="s">
        <v>1937</v>
      </c>
      <c r="N570" s="16">
        <v>392</v>
      </c>
      <c r="O570" s="19">
        <v>0.48</v>
      </c>
      <c r="P570" s="16">
        <v>140</v>
      </c>
      <c r="Q570" s="16">
        <v>210</v>
      </c>
      <c r="R570" s="16">
        <v>12</v>
      </c>
      <c r="S570" s="18" t="s">
        <v>43</v>
      </c>
      <c r="T570" s="18"/>
      <c r="U570" s="17">
        <v>4000</v>
      </c>
      <c r="V570" s="18" t="s">
        <v>44</v>
      </c>
      <c r="W570" s="18" t="s">
        <v>69</v>
      </c>
      <c r="X570" s="16">
        <v>10</v>
      </c>
      <c r="Y570" s="43" t="str">
        <f>HYPERLINK("https://api-enni.alpina.ru/FilePrivilegesApproval/758","https://api-enni.alpina.ru/FilePrivilegesApproval/758")</f>
        <v>https://api-enni.alpina.ru/FilePrivilegesApproval/758</v>
      </c>
      <c r="Z570" s="18"/>
      <c r="AS570" s="1">
        <f>IF($A570&lt;&gt;0,1,0)</f>
        <v>0</v>
      </c>
      <c r="AT570" s="1">
        <f>$A570*$B570</f>
        <v>0</v>
      </c>
      <c r="AU570" s="1">
        <f>$A570*$O570</f>
        <v>0</v>
      </c>
      <c r="AV570" s="1">
        <f>IF($R570=0,0,INT($A570/$R570))</f>
        <v>0</v>
      </c>
      <c r="AW570" s="1">
        <f>$A570-$AV570*$R570</f>
        <v>0</v>
      </c>
    </row>
    <row r="571" ht="24.95" customHeight="1" outlineLevel="3" s="1" customFormat="1">
      <c r="A571" s="25"/>
      <c r="B571" s="26">
        <v>580</v>
      </c>
      <c r="C571" s="26">
        <v>870</v>
      </c>
      <c r="D571" s="26">
        <v>22823</v>
      </c>
      <c r="E571" s="27"/>
      <c r="F571" s="27" t="s">
        <v>1938</v>
      </c>
      <c r="G571" s="27" t="s">
        <v>1939</v>
      </c>
      <c r="H571" s="27" t="s">
        <v>95</v>
      </c>
      <c r="I571" s="27" t="s">
        <v>74</v>
      </c>
      <c r="J571" s="26">
        <v>2023</v>
      </c>
      <c r="K571" s="27" t="s">
        <v>1940</v>
      </c>
      <c r="L571" s="26">
        <v>9785907394643</v>
      </c>
      <c r="M571" s="27" t="s">
        <v>1941</v>
      </c>
      <c r="N571" s="26">
        <v>156</v>
      </c>
      <c r="O571" s="28">
        <v>0.3</v>
      </c>
      <c r="P571" s="26">
        <v>146</v>
      </c>
      <c r="Q571" s="26">
        <v>216</v>
      </c>
      <c r="R571" s="26">
        <v>5</v>
      </c>
      <c r="S571" s="27" t="s">
        <v>43</v>
      </c>
      <c r="T571" s="27"/>
      <c r="U571" s="29">
        <v>1000</v>
      </c>
      <c r="V571" s="27" t="s">
        <v>77</v>
      </c>
      <c r="W571" s="27" t="s">
        <v>45</v>
      </c>
      <c r="X571" s="26">
        <v>10</v>
      </c>
      <c r="Y571" s="45" t="str">
        <f>HYPERLINK("https://api-enni.alpina.ru/FilePrivilegesApproval/129","https://api-enni.alpina.ru/FilePrivilegesApproval/129")</f>
        <v>https://api-enni.alpina.ru/FilePrivilegesApproval/129</v>
      </c>
      <c r="Z571" s="27"/>
      <c r="AS571" s="1">
        <f>IF($A571&lt;&gt;0,1,0)</f>
        <v>0</v>
      </c>
      <c r="AT571" s="1">
        <f>$A571*$B571</f>
        <v>0</v>
      </c>
      <c r="AU571" s="1">
        <f>$A571*$O571</f>
        <v>0</v>
      </c>
      <c r="AV571" s="1">
        <f>IF($R571=0,0,INT($A571/$R571))</f>
        <v>0</v>
      </c>
      <c r="AW571" s="1">
        <f>$A571-$AV571*$R571</f>
        <v>0</v>
      </c>
    </row>
    <row r="572" ht="21.95" customHeight="1" outlineLevel="3" s="1" customFormat="1">
      <c r="A572" s="15"/>
      <c r="B572" s="16">
        <v>590</v>
      </c>
      <c r="C572" s="16">
        <v>885</v>
      </c>
      <c r="D572" s="16">
        <v>37271</v>
      </c>
      <c r="E572" s="18"/>
      <c r="F572" s="18" t="s">
        <v>352</v>
      </c>
      <c r="G572" s="18" t="s">
        <v>353</v>
      </c>
      <c r="H572" s="18" t="s">
        <v>86</v>
      </c>
      <c r="I572" s="18"/>
      <c r="J572" s="16">
        <v>2026</v>
      </c>
      <c r="K572" s="18" t="s">
        <v>354</v>
      </c>
      <c r="L572" s="16">
        <v>9785006319707</v>
      </c>
      <c r="M572" s="18" t="s">
        <v>355</v>
      </c>
      <c r="N572" s="16">
        <v>240</v>
      </c>
      <c r="O572" s="19">
        <v>0.39</v>
      </c>
      <c r="P572" s="16">
        <v>150</v>
      </c>
      <c r="Q572" s="16">
        <v>220</v>
      </c>
      <c r="R572" s="16">
        <v>14</v>
      </c>
      <c r="S572" s="18" t="s">
        <v>43</v>
      </c>
      <c r="T572" s="18"/>
      <c r="U572" s="17">
        <v>2000</v>
      </c>
      <c r="V572" s="18" t="s">
        <v>77</v>
      </c>
      <c r="W572" s="18" t="s">
        <v>91</v>
      </c>
      <c r="X572" s="16">
        <v>22</v>
      </c>
      <c r="Y572" s="43" t="str">
        <f>HYPERLINK("","")</f>
      </c>
      <c r="Z572" s="18" t="s">
        <v>98</v>
      </c>
      <c r="AS572" s="1">
        <f>IF($A572&lt;&gt;0,1,0)</f>
        <v>0</v>
      </c>
      <c r="AT572" s="1">
        <f>$A572*$B572</f>
        <v>0</v>
      </c>
      <c r="AU572" s="1">
        <f>$A572*$O572</f>
        <v>0</v>
      </c>
      <c r="AV572" s="1">
        <f>IF($R572=0,0,INT($A572/$R572))</f>
        <v>0</v>
      </c>
      <c r="AW572" s="1">
        <f>$A572-$AV572*$R572</f>
        <v>0</v>
      </c>
    </row>
    <row r="573" ht="24.95" customHeight="1" outlineLevel="3" s="1" customFormat="1">
      <c r="A573" s="15"/>
      <c r="B573" s="16">
        <v>390</v>
      </c>
      <c r="C573" s="16">
        <v>624</v>
      </c>
      <c r="D573" s="16">
        <v>35147</v>
      </c>
      <c r="E573" s="18"/>
      <c r="F573" s="18" t="s">
        <v>447</v>
      </c>
      <c r="G573" s="18" t="s">
        <v>1942</v>
      </c>
      <c r="H573" s="18" t="s">
        <v>86</v>
      </c>
      <c r="I573" s="18" t="s">
        <v>74</v>
      </c>
      <c r="J573" s="16">
        <v>2026</v>
      </c>
      <c r="K573" s="18" t="s">
        <v>1943</v>
      </c>
      <c r="L573" s="16">
        <v>9785006310452</v>
      </c>
      <c r="M573" s="18" t="s">
        <v>1944</v>
      </c>
      <c r="N573" s="16">
        <v>160</v>
      </c>
      <c r="O573" s="19">
        <v>0.11</v>
      </c>
      <c r="P573" s="16">
        <v>120</v>
      </c>
      <c r="Q573" s="16">
        <v>160</v>
      </c>
      <c r="R573" s="16">
        <v>22</v>
      </c>
      <c r="S573" s="18" t="s">
        <v>190</v>
      </c>
      <c r="T573" s="18" t="s">
        <v>347</v>
      </c>
      <c r="U573" s="17">
        <v>2500</v>
      </c>
      <c r="V573" s="18" t="s">
        <v>44</v>
      </c>
      <c r="W573" s="18" t="s">
        <v>91</v>
      </c>
      <c r="X573" s="16">
        <v>10</v>
      </c>
      <c r="Y573" s="43" t="str">
        <f>HYPERLINK("https://api-enni.alpina.ru/FilePrivilegesApproval/1108","https://api-enni.alpina.ru/FilePrivilegesApproval/1108")</f>
        <v>https://api-enni.alpina.ru/FilePrivilegesApproval/1108</v>
      </c>
      <c r="Z573" s="18" t="s">
        <v>1945</v>
      </c>
      <c r="AS573" s="1">
        <f>IF($A573&lt;&gt;0,1,0)</f>
        <v>0</v>
      </c>
      <c r="AT573" s="1">
        <f>$A573*$B573</f>
        <v>0</v>
      </c>
      <c r="AU573" s="1">
        <f>$A573*$O573</f>
        <v>0</v>
      </c>
      <c r="AV573" s="1">
        <f>IF($R573=0,0,INT($A573/$R573))</f>
        <v>0</v>
      </c>
      <c r="AW573" s="1">
        <f>$A573-$AV573*$R573</f>
        <v>0</v>
      </c>
    </row>
    <row r="574" ht="24.95" customHeight="1" outlineLevel="3" s="1" customFormat="1">
      <c r="A574" s="15"/>
      <c r="B574" s="16">
        <v>990</v>
      </c>
      <c r="C574" s="17">
        <v>1386</v>
      </c>
      <c r="D574" s="16">
        <v>24087</v>
      </c>
      <c r="E574" s="18"/>
      <c r="F574" s="18" t="s">
        <v>1946</v>
      </c>
      <c r="G574" s="18" t="s">
        <v>1947</v>
      </c>
      <c r="H574" s="18" t="s">
        <v>95</v>
      </c>
      <c r="I574" s="18"/>
      <c r="J574" s="16">
        <v>2026</v>
      </c>
      <c r="K574" s="18" t="s">
        <v>1948</v>
      </c>
      <c r="L574" s="16">
        <v>9785907534056</v>
      </c>
      <c r="M574" s="18" t="s">
        <v>1949</v>
      </c>
      <c r="N574" s="16">
        <v>184</v>
      </c>
      <c r="O574" s="19">
        <v>0.33</v>
      </c>
      <c r="P574" s="16">
        <v>160</v>
      </c>
      <c r="Q574" s="16">
        <v>220</v>
      </c>
      <c r="R574" s="16">
        <v>10</v>
      </c>
      <c r="S574" s="18" t="s">
        <v>43</v>
      </c>
      <c r="T574" s="18"/>
      <c r="U574" s="17">
        <v>1000</v>
      </c>
      <c r="V574" s="18" t="s">
        <v>77</v>
      </c>
      <c r="W574" s="18" t="s">
        <v>91</v>
      </c>
      <c r="X574" s="16">
        <v>10</v>
      </c>
      <c r="Y574" s="43" t="str">
        <f>HYPERLINK("https://api-enni.alpina.ru/FilePrivilegesApproval/139","https://api-enni.alpina.ru/FilePrivilegesApproval/139")</f>
        <v>https://api-enni.alpina.ru/FilePrivilegesApproval/139</v>
      </c>
      <c r="Z574" s="18"/>
      <c r="AS574" s="1">
        <f>IF($A574&lt;&gt;0,1,0)</f>
        <v>0</v>
      </c>
      <c r="AT574" s="1">
        <f>$A574*$B574</f>
        <v>0</v>
      </c>
      <c r="AU574" s="1">
        <f>$A574*$O574</f>
        <v>0</v>
      </c>
      <c r="AV574" s="1">
        <f>IF($R574=0,0,INT($A574/$R574))</f>
        <v>0</v>
      </c>
      <c r="AW574" s="1">
        <f>$A574-$AV574*$R574</f>
        <v>0</v>
      </c>
    </row>
    <row r="575" ht="24.95" customHeight="1" outlineLevel="3" s="1" customFormat="1">
      <c r="A575" s="15"/>
      <c r="B575" s="16">
        <v>690</v>
      </c>
      <c r="C575" s="17">
        <v>1035</v>
      </c>
      <c r="D575" s="16">
        <v>25055</v>
      </c>
      <c r="E575" s="18"/>
      <c r="F575" s="18" t="s">
        <v>1950</v>
      </c>
      <c r="G575" s="18" t="s">
        <v>1951</v>
      </c>
      <c r="H575" s="18" t="s">
        <v>86</v>
      </c>
      <c r="I575" s="18" t="s">
        <v>74</v>
      </c>
      <c r="J575" s="16">
        <v>2024</v>
      </c>
      <c r="K575" s="18" t="s">
        <v>1952</v>
      </c>
      <c r="L575" s="16">
        <v>9785961476743</v>
      </c>
      <c r="M575" s="18" t="s">
        <v>1953</v>
      </c>
      <c r="N575" s="16">
        <v>272</v>
      </c>
      <c r="O575" s="19">
        <v>0.45</v>
      </c>
      <c r="P575" s="16">
        <v>150</v>
      </c>
      <c r="Q575" s="16">
        <v>220</v>
      </c>
      <c r="R575" s="16">
        <v>12</v>
      </c>
      <c r="S575" s="18" t="s">
        <v>43</v>
      </c>
      <c r="T575" s="18"/>
      <c r="U575" s="17">
        <v>2000</v>
      </c>
      <c r="V575" s="18" t="s">
        <v>77</v>
      </c>
      <c r="W575" s="18" t="s">
        <v>91</v>
      </c>
      <c r="X575" s="16">
        <v>10</v>
      </c>
      <c r="Y575" s="43" t="str">
        <f>HYPERLINK("https://api-enni.alpina.ru/FilePrivilegesApproval/326","https://api-enni.alpina.ru/FilePrivilegesApproval/326")</f>
        <v>https://api-enni.alpina.ru/FilePrivilegesApproval/326</v>
      </c>
      <c r="Z575" s="18"/>
      <c r="AS575" s="1">
        <f>IF($A575&lt;&gt;0,1,0)</f>
        <v>0</v>
      </c>
      <c r="AT575" s="1">
        <f>$A575*$B575</f>
        <v>0</v>
      </c>
      <c r="AU575" s="1">
        <f>$A575*$O575</f>
        <v>0</v>
      </c>
      <c r="AV575" s="1">
        <f>IF($R575=0,0,INT($A575/$R575))</f>
        <v>0</v>
      </c>
      <c r="AW575" s="1">
        <f>$A575-$AV575*$R575</f>
        <v>0</v>
      </c>
    </row>
    <row r="576" ht="24.95" customHeight="1" outlineLevel="3" s="1" customFormat="1">
      <c r="A576" s="15"/>
      <c r="B576" s="16">
        <v>590</v>
      </c>
      <c r="C576" s="16">
        <v>885</v>
      </c>
      <c r="D576" s="16">
        <v>31362</v>
      </c>
      <c r="E576" s="18"/>
      <c r="F576" s="18" t="s">
        <v>1954</v>
      </c>
      <c r="G576" s="18" t="s">
        <v>1955</v>
      </c>
      <c r="H576" s="18" t="s">
        <v>86</v>
      </c>
      <c r="I576" s="18" t="s">
        <v>40</v>
      </c>
      <c r="J576" s="16">
        <v>2026</v>
      </c>
      <c r="K576" s="18" t="s">
        <v>1956</v>
      </c>
      <c r="L576" s="16">
        <v>9785961498332</v>
      </c>
      <c r="M576" s="18" t="s">
        <v>1957</v>
      </c>
      <c r="N576" s="16">
        <v>408</v>
      </c>
      <c r="O576" s="19">
        <v>0.49</v>
      </c>
      <c r="P576" s="16">
        <v>140</v>
      </c>
      <c r="Q576" s="16">
        <v>210</v>
      </c>
      <c r="R576" s="16">
        <v>10</v>
      </c>
      <c r="S576" s="18" t="s">
        <v>43</v>
      </c>
      <c r="T576" s="18"/>
      <c r="U576" s="17">
        <v>3000</v>
      </c>
      <c r="V576" s="18" t="s">
        <v>44</v>
      </c>
      <c r="W576" s="18" t="s">
        <v>69</v>
      </c>
      <c r="X576" s="16">
        <v>10</v>
      </c>
      <c r="Y576" s="43" t="str">
        <f>HYPERLINK("https://api-enni.alpina.ru/FilePrivilegesApproval/1062","https://api-enni.alpina.ru/FilePrivilegesApproval/1062")</f>
        <v>https://api-enni.alpina.ru/FilePrivilegesApproval/1062</v>
      </c>
      <c r="Z576" s="18" t="s">
        <v>1958</v>
      </c>
      <c r="AS576" s="1">
        <f>IF($A576&lt;&gt;0,1,0)</f>
        <v>0</v>
      </c>
      <c r="AT576" s="1">
        <f>$A576*$B576</f>
        <v>0</v>
      </c>
      <c r="AU576" s="1">
        <f>$A576*$O576</f>
        <v>0</v>
      </c>
      <c r="AV576" s="1">
        <f>IF($R576=0,0,INT($A576/$R576))</f>
        <v>0</v>
      </c>
      <c r="AW576" s="1">
        <f>$A576-$AV576*$R576</f>
        <v>0</v>
      </c>
    </row>
    <row r="577" ht="24.95" customHeight="1" outlineLevel="3" s="1" customFormat="1">
      <c r="A577" s="15"/>
      <c r="B577" s="16">
        <v>740</v>
      </c>
      <c r="C577" s="17">
        <v>1073</v>
      </c>
      <c r="D577" s="16">
        <v>32965</v>
      </c>
      <c r="E577" s="18"/>
      <c r="F577" s="18" t="s">
        <v>1959</v>
      </c>
      <c r="G577" s="18" t="s">
        <v>1960</v>
      </c>
      <c r="H577" s="18" t="s">
        <v>86</v>
      </c>
      <c r="I577" s="18"/>
      <c r="J577" s="16">
        <v>2025</v>
      </c>
      <c r="K577" s="18" t="s">
        <v>1961</v>
      </c>
      <c r="L577" s="16">
        <v>9785006303539</v>
      </c>
      <c r="M577" s="18" t="s">
        <v>1962</v>
      </c>
      <c r="N577" s="16">
        <v>264</v>
      </c>
      <c r="O577" s="19">
        <v>0.32</v>
      </c>
      <c r="P577" s="16">
        <v>150</v>
      </c>
      <c r="Q577" s="16">
        <v>220</v>
      </c>
      <c r="R577" s="16">
        <v>14</v>
      </c>
      <c r="S577" s="18" t="s">
        <v>43</v>
      </c>
      <c r="T577" s="18"/>
      <c r="U577" s="17">
        <v>2000</v>
      </c>
      <c r="V577" s="18" t="s">
        <v>77</v>
      </c>
      <c r="W577" s="18" t="s">
        <v>69</v>
      </c>
      <c r="X577" s="16">
        <v>10</v>
      </c>
      <c r="Y577" s="43" t="str">
        <f>HYPERLINK("https://api-enni.alpina.ru/FilePrivilegesApproval/831","https://api-enni.alpina.ru/FilePrivilegesApproval/831")</f>
        <v>https://api-enni.alpina.ru/FilePrivilegesApproval/831</v>
      </c>
      <c r="Z577" s="18"/>
      <c r="AS577" s="1">
        <f>IF($A577&lt;&gt;0,1,0)</f>
        <v>0</v>
      </c>
      <c r="AT577" s="1">
        <f>$A577*$B577</f>
        <v>0</v>
      </c>
      <c r="AU577" s="1">
        <f>$A577*$O577</f>
        <v>0</v>
      </c>
      <c r="AV577" s="1">
        <f>IF($R577=0,0,INT($A577/$R577))</f>
        <v>0</v>
      </c>
      <c r="AW577" s="1">
        <f>$A577-$AV577*$R577</f>
        <v>0</v>
      </c>
    </row>
    <row r="578" ht="24.95" customHeight="1" outlineLevel="3" s="1" customFormat="1">
      <c r="A578" s="15"/>
      <c r="B578" s="16">
        <v>690</v>
      </c>
      <c r="C578" s="17">
        <v>1035</v>
      </c>
      <c r="D578" s="16">
        <v>23352</v>
      </c>
      <c r="E578" s="18"/>
      <c r="F578" s="18" t="s">
        <v>1963</v>
      </c>
      <c r="G578" s="18" t="s">
        <v>1964</v>
      </c>
      <c r="H578" s="18" t="s">
        <v>86</v>
      </c>
      <c r="I578" s="18"/>
      <c r="J578" s="16">
        <v>2022</v>
      </c>
      <c r="K578" s="18" t="s">
        <v>1965</v>
      </c>
      <c r="L578" s="16">
        <v>9785961473919</v>
      </c>
      <c r="M578" s="18" t="s">
        <v>1966</v>
      </c>
      <c r="N578" s="16">
        <v>196</v>
      </c>
      <c r="O578" s="19">
        <v>0.37</v>
      </c>
      <c r="P578" s="16">
        <v>146</v>
      </c>
      <c r="Q578" s="16">
        <v>216</v>
      </c>
      <c r="R578" s="16">
        <v>14</v>
      </c>
      <c r="S578" s="18" t="s">
        <v>43</v>
      </c>
      <c r="T578" s="18"/>
      <c r="U578" s="17">
        <v>2000</v>
      </c>
      <c r="V578" s="18" t="s">
        <v>77</v>
      </c>
      <c r="W578" s="18" t="s">
        <v>45</v>
      </c>
      <c r="X578" s="16">
        <v>10</v>
      </c>
      <c r="Y578" s="43" t="str">
        <f>HYPERLINK("https://api-enni.alpina.ru/FilePrivilegesApproval/121","https://api-enni.alpina.ru/FilePrivilegesApproval/121")</f>
        <v>https://api-enni.alpina.ru/FilePrivilegesApproval/121</v>
      </c>
      <c r="Z578" s="18"/>
      <c r="AS578" s="1">
        <f>IF($A578&lt;&gt;0,1,0)</f>
        <v>0</v>
      </c>
      <c r="AT578" s="1">
        <f>$A578*$B578</f>
        <v>0</v>
      </c>
      <c r="AU578" s="1">
        <f>$A578*$O578</f>
        <v>0</v>
      </c>
      <c r="AV578" s="1">
        <f>IF($R578=0,0,INT($A578/$R578))</f>
        <v>0</v>
      </c>
      <c r="AW578" s="1">
        <f>$A578-$AV578*$R578</f>
        <v>0</v>
      </c>
    </row>
    <row r="579" ht="24.95" customHeight="1" outlineLevel="3" s="1" customFormat="1">
      <c r="A579" s="15"/>
      <c r="B579" s="16">
        <v>890</v>
      </c>
      <c r="C579" s="17">
        <v>1246</v>
      </c>
      <c r="D579" s="16">
        <v>1506</v>
      </c>
      <c r="E579" s="18"/>
      <c r="F579" s="18" t="s">
        <v>1967</v>
      </c>
      <c r="G579" s="18" t="s">
        <v>1968</v>
      </c>
      <c r="H579" s="18" t="s">
        <v>86</v>
      </c>
      <c r="I579" s="18" t="s">
        <v>74</v>
      </c>
      <c r="J579" s="16">
        <v>2025</v>
      </c>
      <c r="K579" s="18" t="s">
        <v>1969</v>
      </c>
      <c r="L579" s="16">
        <v>9785961467680</v>
      </c>
      <c r="M579" s="18" t="s">
        <v>1970</v>
      </c>
      <c r="N579" s="16">
        <v>432</v>
      </c>
      <c r="O579" s="19">
        <v>0.5</v>
      </c>
      <c r="P579" s="16">
        <v>141</v>
      </c>
      <c r="Q579" s="16">
        <v>210</v>
      </c>
      <c r="R579" s="16">
        <v>6</v>
      </c>
      <c r="S579" s="18" t="s">
        <v>43</v>
      </c>
      <c r="T579" s="18"/>
      <c r="U579" s="17">
        <v>1000</v>
      </c>
      <c r="V579" s="18" t="s">
        <v>44</v>
      </c>
      <c r="W579" s="18" t="s">
        <v>184</v>
      </c>
      <c r="X579" s="16">
        <v>10</v>
      </c>
      <c r="Y579" s="43" t="str">
        <f>HYPERLINK("https://api-enni.alpina.ru/FilePrivilegesApproval/2","https://api-enni.alpina.ru/FilePrivilegesApproval/2")</f>
        <v>https://api-enni.alpina.ru/FilePrivilegesApproval/2</v>
      </c>
      <c r="Z579" s="18"/>
      <c r="AS579" s="1">
        <f>IF($A579&lt;&gt;0,1,0)</f>
        <v>0</v>
      </c>
      <c r="AT579" s="1">
        <f>$A579*$B579</f>
        <v>0</v>
      </c>
      <c r="AU579" s="1">
        <f>$A579*$O579</f>
        <v>0</v>
      </c>
      <c r="AV579" s="1">
        <f>IF($R579=0,0,INT($A579/$R579))</f>
        <v>0</v>
      </c>
      <c r="AW579" s="1">
        <f>$A579-$AV579*$R579</f>
        <v>0</v>
      </c>
    </row>
    <row r="580" ht="24.95" customHeight="1" outlineLevel="3" s="1" customFormat="1">
      <c r="A580" s="15"/>
      <c r="B580" s="16">
        <v>790</v>
      </c>
      <c r="C580" s="17">
        <v>1146</v>
      </c>
      <c r="D580" s="16">
        <v>19053</v>
      </c>
      <c r="E580" s="18"/>
      <c r="F580" s="18" t="s">
        <v>1971</v>
      </c>
      <c r="G580" s="18" t="s">
        <v>1972</v>
      </c>
      <c r="H580" s="18" t="s">
        <v>86</v>
      </c>
      <c r="I580" s="18" t="s">
        <v>74</v>
      </c>
      <c r="J580" s="16">
        <v>2026</v>
      </c>
      <c r="K580" s="18" t="s">
        <v>1973</v>
      </c>
      <c r="L580" s="16">
        <v>9785961473858</v>
      </c>
      <c r="M580" s="18" t="s">
        <v>1974</v>
      </c>
      <c r="N580" s="16">
        <v>239</v>
      </c>
      <c r="O580" s="19">
        <v>0.4</v>
      </c>
      <c r="P580" s="16">
        <v>150</v>
      </c>
      <c r="Q580" s="16">
        <v>220</v>
      </c>
      <c r="R580" s="16">
        <v>10</v>
      </c>
      <c r="S580" s="18" t="s">
        <v>43</v>
      </c>
      <c r="T580" s="18"/>
      <c r="U580" s="17">
        <v>1000</v>
      </c>
      <c r="V580" s="18" t="s">
        <v>77</v>
      </c>
      <c r="W580" s="18" t="s">
        <v>184</v>
      </c>
      <c r="X580" s="16">
        <v>10</v>
      </c>
      <c r="Y580" s="43" t="str">
        <f>HYPERLINK("https://api-enni.alpina.ru/FilePrivilegesApproval/118","https://api-enni.alpina.ru/FilePrivilegesApproval/118")</f>
        <v>https://api-enni.alpina.ru/FilePrivilegesApproval/118</v>
      </c>
      <c r="Z580" s="18"/>
      <c r="AS580" s="1">
        <f>IF($A580&lt;&gt;0,1,0)</f>
        <v>0</v>
      </c>
      <c r="AT580" s="1">
        <f>$A580*$B580</f>
        <v>0</v>
      </c>
      <c r="AU580" s="1">
        <f>$A580*$O580</f>
        <v>0</v>
      </c>
      <c r="AV580" s="1">
        <f>IF($R580=0,0,INT($A580/$R580))</f>
        <v>0</v>
      </c>
      <c r="AW580" s="1">
        <f>$A580-$AV580*$R580</f>
        <v>0</v>
      </c>
    </row>
    <row r="581" ht="24.95" customHeight="1" outlineLevel="3" s="1" customFormat="1">
      <c r="A581" s="25"/>
      <c r="B581" s="26">
        <v>690</v>
      </c>
      <c r="C581" s="29">
        <v>1035</v>
      </c>
      <c r="D581" s="26">
        <v>23459</v>
      </c>
      <c r="E581" s="27"/>
      <c r="F581" s="27" t="s">
        <v>1975</v>
      </c>
      <c r="G581" s="27" t="s">
        <v>1976</v>
      </c>
      <c r="H581" s="27" t="s">
        <v>86</v>
      </c>
      <c r="I581" s="27"/>
      <c r="J581" s="26">
        <v>2026</v>
      </c>
      <c r="K581" s="27" t="s">
        <v>1977</v>
      </c>
      <c r="L581" s="26">
        <v>9785961488913</v>
      </c>
      <c r="M581" s="27" t="s">
        <v>1978</v>
      </c>
      <c r="N581" s="26">
        <v>248</v>
      </c>
      <c r="O581" s="28">
        <v>0.3</v>
      </c>
      <c r="P581" s="26">
        <v>140</v>
      </c>
      <c r="Q581" s="26">
        <v>210</v>
      </c>
      <c r="R581" s="26">
        <v>10</v>
      </c>
      <c r="S581" s="27" t="s">
        <v>43</v>
      </c>
      <c r="T581" s="27"/>
      <c r="U581" s="29">
        <v>1000</v>
      </c>
      <c r="V581" s="27" t="s">
        <v>44</v>
      </c>
      <c r="W581" s="27" t="s">
        <v>69</v>
      </c>
      <c r="X581" s="26">
        <v>10</v>
      </c>
      <c r="Y581" s="45" t="str">
        <f>HYPERLINK("https://api-enni.alpina.ru/FilePrivilegesApproval/221","https://api-enni.alpina.ru/FilePrivilegesApproval/221")</f>
        <v>https://api-enni.alpina.ru/FilePrivilegesApproval/221</v>
      </c>
      <c r="Z581" s="27" t="s">
        <v>629</v>
      </c>
      <c r="AS581" s="1">
        <f>IF($A581&lt;&gt;0,1,0)</f>
        <v>0</v>
      </c>
      <c r="AT581" s="1">
        <f>$A581*$B581</f>
        <v>0</v>
      </c>
      <c r="AU581" s="1">
        <f>$A581*$O581</f>
        <v>0</v>
      </c>
      <c r="AV581" s="1">
        <f>IF($R581=0,0,INT($A581/$R581))</f>
        <v>0</v>
      </c>
      <c r="AW581" s="1">
        <f>$A581-$AV581*$R581</f>
        <v>0</v>
      </c>
    </row>
    <row r="582" ht="24.95" customHeight="1" outlineLevel="3" s="1" customFormat="1">
      <c r="A582" s="15"/>
      <c r="B582" s="16">
        <v>740</v>
      </c>
      <c r="C582" s="17">
        <v>1073</v>
      </c>
      <c r="D582" s="16">
        <v>29820</v>
      </c>
      <c r="E582" s="18"/>
      <c r="F582" s="18" t="s">
        <v>1979</v>
      </c>
      <c r="G582" s="18" t="s">
        <v>1980</v>
      </c>
      <c r="H582" s="18" t="s">
        <v>86</v>
      </c>
      <c r="I582" s="18"/>
      <c r="J582" s="16">
        <v>2026</v>
      </c>
      <c r="K582" s="18" t="s">
        <v>1981</v>
      </c>
      <c r="L582" s="16">
        <v>9785961493986</v>
      </c>
      <c r="M582" s="18" t="s">
        <v>1982</v>
      </c>
      <c r="N582" s="16">
        <v>301</v>
      </c>
      <c r="O582" s="19">
        <v>0.47</v>
      </c>
      <c r="P582" s="16">
        <v>150</v>
      </c>
      <c r="Q582" s="16">
        <v>220</v>
      </c>
      <c r="R582" s="16">
        <v>12</v>
      </c>
      <c r="S582" s="18" t="s">
        <v>43</v>
      </c>
      <c r="T582" s="18"/>
      <c r="U582" s="17">
        <v>3000</v>
      </c>
      <c r="V582" s="18" t="s">
        <v>77</v>
      </c>
      <c r="W582" s="18" t="s">
        <v>69</v>
      </c>
      <c r="X582" s="16">
        <v>10</v>
      </c>
      <c r="Y582" s="43" t="str">
        <f>HYPERLINK("https://api-enni.alpina.ru/FilePrivilegesApproval/758","https://api-enni.alpina.ru/FilePrivilegesApproval/758")</f>
        <v>https://api-enni.alpina.ru/FilePrivilegesApproval/758</v>
      </c>
      <c r="Z582" s="18" t="s">
        <v>843</v>
      </c>
      <c r="AS582" s="1">
        <f>IF($A582&lt;&gt;0,1,0)</f>
        <v>0</v>
      </c>
      <c r="AT582" s="1">
        <f>$A582*$B582</f>
        <v>0</v>
      </c>
      <c r="AU582" s="1">
        <f>$A582*$O582</f>
        <v>0</v>
      </c>
      <c r="AV582" s="1">
        <f>IF($R582=0,0,INT($A582/$R582))</f>
        <v>0</v>
      </c>
      <c r="AW582" s="1">
        <f>$A582-$AV582*$R582</f>
        <v>0</v>
      </c>
    </row>
    <row r="583" ht="24.95" customHeight="1" outlineLevel="3" s="1" customFormat="1">
      <c r="A583" s="15"/>
      <c r="B583" s="16">
        <v>640</v>
      </c>
      <c r="C583" s="16">
        <v>960</v>
      </c>
      <c r="D583" s="16">
        <v>27950</v>
      </c>
      <c r="E583" s="18"/>
      <c r="F583" s="18" t="s">
        <v>1555</v>
      </c>
      <c r="G583" s="18" t="s">
        <v>1983</v>
      </c>
      <c r="H583" s="18" t="s">
        <v>86</v>
      </c>
      <c r="I583" s="18"/>
      <c r="J583" s="16">
        <v>2024</v>
      </c>
      <c r="K583" s="18" t="s">
        <v>1984</v>
      </c>
      <c r="L583" s="16">
        <v>9785961486902</v>
      </c>
      <c r="M583" s="18" t="s">
        <v>1985</v>
      </c>
      <c r="N583" s="16">
        <v>224</v>
      </c>
      <c r="O583" s="19">
        <v>0.45</v>
      </c>
      <c r="P583" s="16">
        <v>150</v>
      </c>
      <c r="Q583" s="16">
        <v>220</v>
      </c>
      <c r="R583" s="16">
        <v>14</v>
      </c>
      <c r="S583" s="18" t="s">
        <v>43</v>
      </c>
      <c r="T583" s="18"/>
      <c r="U583" s="17">
        <v>3000</v>
      </c>
      <c r="V583" s="18" t="s">
        <v>77</v>
      </c>
      <c r="W583" s="18" t="s">
        <v>69</v>
      </c>
      <c r="X583" s="16">
        <v>10</v>
      </c>
      <c r="Y583" s="43" t="str">
        <f>HYPERLINK("https://api-enni.alpina.ru/FilePrivilegesApproval/396","https://api-enni.alpina.ru/FilePrivilegesApproval/396")</f>
        <v>https://api-enni.alpina.ru/FilePrivilegesApproval/396</v>
      </c>
      <c r="Z583" s="18"/>
      <c r="AS583" s="1">
        <f>IF($A583&lt;&gt;0,1,0)</f>
        <v>0</v>
      </c>
      <c r="AT583" s="1">
        <f>$A583*$B583</f>
        <v>0</v>
      </c>
      <c r="AU583" s="1">
        <f>$A583*$O583</f>
        <v>0</v>
      </c>
      <c r="AV583" s="1">
        <f>IF($R583=0,0,INT($A583/$R583))</f>
        <v>0</v>
      </c>
      <c r="AW583" s="1">
        <f>$A583-$AV583*$R583</f>
        <v>0</v>
      </c>
    </row>
    <row r="584" ht="21.95" customHeight="1" outlineLevel="3" s="1" customFormat="1">
      <c r="A584" s="15"/>
      <c r="B584" s="16">
        <v>640</v>
      </c>
      <c r="C584" s="16">
        <v>960</v>
      </c>
      <c r="D584" s="16">
        <v>34505</v>
      </c>
      <c r="E584" s="18"/>
      <c r="F584" s="18" t="s">
        <v>1535</v>
      </c>
      <c r="G584" s="18" t="s">
        <v>1986</v>
      </c>
      <c r="H584" s="18" t="s">
        <v>86</v>
      </c>
      <c r="I584" s="18"/>
      <c r="J584" s="16">
        <v>2026</v>
      </c>
      <c r="K584" s="18" t="s">
        <v>1987</v>
      </c>
      <c r="L584" s="16">
        <v>9785006307827</v>
      </c>
      <c r="M584" s="18" t="s">
        <v>1988</v>
      </c>
      <c r="N584" s="16">
        <v>232</v>
      </c>
      <c r="O584" s="19">
        <v>0.38</v>
      </c>
      <c r="P584" s="16">
        <v>150</v>
      </c>
      <c r="Q584" s="16">
        <v>220</v>
      </c>
      <c r="R584" s="16">
        <v>16</v>
      </c>
      <c r="S584" s="18" t="s">
        <v>43</v>
      </c>
      <c r="T584" s="18"/>
      <c r="U584" s="17">
        <v>2000</v>
      </c>
      <c r="V584" s="18" t="s">
        <v>77</v>
      </c>
      <c r="W584" s="18" t="s">
        <v>45</v>
      </c>
      <c r="X584" s="16">
        <v>10</v>
      </c>
      <c r="Y584" s="43" t="str">
        <f>HYPERLINK("","")</f>
      </c>
      <c r="Z584" s="18" t="s">
        <v>98</v>
      </c>
      <c r="AS584" s="1">
        <f>IF($A584&lt;&gt;0,1,0)</f>
        <v>0</v>
      </c>
      <c r="AT584" s="1">
        <f>$A584*$B584</f>
        <v>0</v>
      </c>
      <c r="AU584" s="1">
        <f>$A584*$O584</f>
        <v>0</v>
      </c>
      <c r="AV584" s="1">
        <f>IF($R584=0,0,INT($A584/$R584))</f>
        <v>0</v>
      </c>
      <c r="AW584" s="1">
        <f>$A584-$AV584*$R584</f>
        <v>0</v>
      </c>
    </row>
    <row r="585" ht="24.95" customHeight="1" outlineLevel="3" s="1" customFormat="1">
      <c r="A585" s="15"/>
      <c r="B585" s="16">
        <v>590</v>
      </c>
      <c r="C585" s="16">
        <v>885</v>
      </c>
      <c r="D585" s="16">
        <v>31412</v>
      </c>
      <c r="E585" s="18"/>
      <c r="F585" s="18" t="s">
        <v>1989</v>
      </c>
      <c r="G585" s="18" t="s">
        <v>1990</v>
      </c>
      <c r="H585" s="18" t="s">
        <v>86</v>
      </c>
      <c r="I585" s="18" t="s">
        <v>40</v>
      </c>
      <c r="J585" s="16">
        <v>2026</v>
      </c>
      <c r="K585" s="18" t="s">
        <v>1991</v>
      </c>
      <c r="L585" s="16">
        <v>9785961493443</v>
      </c>
      <c r="M585" s="18" t="s">
        <v>1992</v>
      </c>
      <c r="N585" s="16">
        <v>240</v>
      </c>
      <c r="O585" s="19">
        <v>0.21</v>
      </c>
      <c r="P585" s="16">
        <v>140</v>
      </c>
      <c r="Q585" s="16">
        <v>210</v>
      </c>
      <c r="R585" s="16">
        <v>16</v>
      </c>
      <c r="S585" s="18" t="s">
        <v>43</v>
      </c>
      <c r="T585" s="18"/>
      <c r="U585" s="17">
        <v>2000</v>
      </c>
      <c r="V585" s="18" t="s">
        <v>44</v>
      </c>
      <c r="W585" s="18" t="s">
        <v>69</v>
      </c>
      <c r="X585" s="16">
        <v>10</v>
      </c>
      <c r="Y585" s="43" t="str">
        <f>HYPERLINK("https://api-enni.alpina.ru/FilePrivilegesApproval/965","https://api-enni.alpina.ru/FilePrivilegesApproval/965")</f>
        <v>https://api-enni.alpina.ru/FilePrivilegesApproval/965</v>
      </c>
      <c r="Z585" s="18"/>
      <c r="AS585" s="1">
        <f>IF($A585&lt;&gt;0,1,0)</f>
        <v>0</v>
      </c>
      <c r="AT585" s="1">
        <f>$A585*$B585</f>
        <v>0</v>
      </c>
      <c r="AU585" s="1">
        <f>$A585*$O585</f>
        <v>0</v>
      </c>
      <c r="AV585" s="1">
        <f>IF($R585=0,0,INT($A585/$R585))</f>
        <v>0</v>
      </c>
      <c r="AW585" s="1">
        <f>$A585-$AV585*$R585</f>
        <v>0</v>
      </c>
    </row>
    <row r="586" ht="24.95" customHeight="1" outlineLevel="3" s="1" customFormat="1">
      <c r="A586" s="15"/>
      <c r="B586" s="16">
        <v>550</v>
      </c>
      <c r="C586" s="16">
        <v>852</v>
      </c>
      <c r="D586" s="16">
        <v>31674</v>
      </c>
      <c r="E586" s="18"/>
      <c r="F586" s="18" t="s">
        <v>1993</v>
      </c>
      <c r="G586" s="18" t="s">
        <v>1994</v>
      </c>
      <c r="H586" s="18" t="s">
        <v>86</v>
      </c>
      <c r="I586" s="18" t="s">
        <v>74</v>
      </c>
      <c r="J586" s="16">
        <v>2025</v>
      </c>
      <c r="K586" s="18" t="s">
        <v>1995</v>
      </c>
      <c r="L586" s="16">
        <v>9785961499865</v>
      </c>
      <c r="M586" s="18" t="s">
        <v>1996</v>
      </c>
      <c r="N586" s="16">
        <v>140</v>
      </c>
      <c r="O586" s="19">
        <v>0.42</v>
      </c>
      <c r="P586" s="16">
        <v>170</v>
      </c>
      <c r="Q586" s="16">
        <v>240</v>
      </c>
      <c r="R586" s="16">
        <v>10</v>
      </c>
      <c r="S586" s="18" t="s">
        <v>123</v>
      </c>
      <c r="T586" s="18" t="s">
        <v>1196</v>
      </c>
      <c r="U586" s="17">
        <v>2000</v>
      </c>
      <c r="V586" s="18" t="s">
        <v>77</v>
      </c>
      <c r="W586" s="18" t="s">
        <v>69</v>
      </c>
      <c r="X586" s="16">
        <v>10</v>
      </c>
      <c r="Y586" s="43" t="str">
        <f>HYPERLINK("https://api-enni.alpina.ru/FilePrivilegesApproval/883","https://api-enni.alpina.ru/FilePrivilegesApproval/883")</f>
        <v>https://api-enni.alpina.ru/FilePrivilegesApproval/883</v>
      </c>
      <c r="Z586" s="18"/>
      <c r="AS586" s="1">
        <f>IF($A586&lt;&gt;0,1,0)</f>
        <v>0</v>
      </c>
      <c r="AT586" s="1">
        <f>$A586*$B586</f>
        <v>0</v>
      </c>
      <c r="AU586" s="1">
        <f>$A586*$O586</f>
        <v>0</v>
      </c>
      <c r="AV586" s="1">
        <f>IF($R586=0,0,INT($A586/$R586))</f>
        <v>0</v>
      </c>
      <c r="AW586" s="1">
        <f>$A586-$AV586*$R586</f>
        <v>0</v>
      </c>
    </row>
    <row r="587" ht="24.95" customHeight="1" outlineLevel="3" s="1" customFormat="1">
      <c r="A587" s="15"/>
      <c r="B587" s="16">
        <v>590</v>
      </c>
      <c r="C587" s="16">
        <v>885</v>
      </c>
      <c r="D587" s="16">
        <v>26598</v>
      </c>
      <c r="E587" s="18"/>
      <c r="F587" s="18" t="s">
        <v>1997</v>
      </c>
      <c r="G587" s="18" t="s">
        <v>1998</v>
      </c>
      <c r="H587" s="18" t="s">
        <v>86</v>
      </c>
      <c r="I587" s="18"/>
      <c r="J587" s="16">
        <v>2026</v>
      </c>
      <c r="K587" s="18" t="s">
        <v>1999</v>
      </c>
      <c r="L587" s="16">
        <v>9785961482386</v>
      </c>
      <c r="M587" s="18" t="s">
        <v>2000</v>
      </c>
      <c r="N587" s="16">
        <v>254</v>
      </c>
      <c r="O587" s="19">
        <v>0.36</v>
      </c>
      <c r="P587" s="16">
        <v>150</v>
      </c>
      <c r="Q587" s="16">
        <v>220</v>
      </c>
      <c r="R587" s="16">
        <v>10</v>
      </c>
      <c r="S587" s="18" t="s">
        <v>43</v>
      </c>
      <c r="T587" s="18"/>
      <c r="U587" s="17">
        <v>1000</v>
      </c>
      <c r="V587" s="18" t="s">
        <v>77</v>
      </c>
      <c r="W587" s="18" t="s">
        <v>91</v>
      </c>
      <c r="X587" s="16">
        <v>10</v>
      </c>
      <c r="Y587" s="43" t="str">
        <f>HYPERLINK("https://api-enni.alpina.ru/FilePrivilegesApproval/238","https://api-enni.alpina.ru/FilePrivilegesApproval/238")</f>
        <v>https://api-enni.alpina.ru/FilePrivilegesApproval/238</v>
      </c>
      <c r="Z587" s="18" t="s">
        <v>843</v>
      </c>
      <c r="AS587" s="1">
        <f>IF($A587&lt;&gt;0,1,0)</f>
        <v>0</v>
      </c>
      <c r="AT587" s="1">
        <f>$A587*$B587</f>
        <v>0</v>
      </c>
      <c r="AU587" s="1">
        <f>$A587*$O587</f>
        <v>0</v>
      </c>
      <c r="AV587" s="1">
        <f>IF($R587=0,0,INT($A587/$R587))</f>
        <v>0</v>
      </c>
      <c r="AW587" s="1">
        <f>$A587-$AV587*$R587</f>
        <v>0</v>
      </c>
    </row>
    <row r="588" ht="24.95" customHeight="1" outlineLevel="3" s="1" customFormat="1">
      <c r="A588" s="15"/>
      <c r="B588" s="16">
        <v>640</v>
      </c>
      <c r="C588" s="16">
        <v>960</v>
      </c>
      <c r="D588" s="16">
        <v>33353</v>
      </c>
      <c r="E588" s="18"/>
      <c r="F588" s="18" t="s">
        <v>1329</v>
      </c>
      <c r="G588" s="18" t="s">
        <v>2001</v>
      </c>
      <c r="H588" s="18" t="s">
        <v>86</v>
      </c>
      <c r="I588" s="18"/>
      <c r="J588" s="16">
        <v>2025</v>
      </c>
      <c r="K588" s="18" t="s">
        <v>2002</v>
      </c>
      <c r="L588" s="16">
        <v>9785006304321</v>
      </c>
      <c r="M588" s="18" t="s">
        <v>2003</v>
      </c>
      <c r="N588" s="16">
        <v>196</v>
      </c>
      <c r="O588" s="19">
        <v>0.34</v>
      </c>
      <c r="P588" s="16">
        <v>150</v>
      </c>
      <c r="Q588" s="16">
        <v>220</v>
      </c>
      <c r="R588" s="16">
        <v>16</v>
      </c>
      <c r="S588" s="18" t="s">
        <v>43</v>
      </c>
      <c r="T588" s="18"/>
      <c r="U588" s="17">
        <v>2000</v>
      </c>
      <c r="V588" s="18" t="s">
        <v>77</v>
      </c>
      <c r="W588" s="18" t="s">
        <v>69</v>
      </c>
      <c r="X588" s="16">
        <v>10</v>
      </c>
      <c r="Y588" s="43" t="str">
        <f>HYPERLINK("https://api-enni.alpina.ru/FilePrivilegesApproval/909","https://api-enni.alpina.ru/FilePrivilegesApproval/909")</f>
        <v>https://api-enni.alpina.ru/FilePrivilegesApproval/909</v>
      </c>
      <c r="Z588" s="18"/>
      <c r="AS588" s="1">
        <f>IF($A588&lt;&gt;0,1,0)</f>
        <v>0</v>
      </c>
      <c r="AT588" s="1">
        <f>$A588*$B588</f>
        <v>0</v>
      </c>
      <c r="AU588" s="1">
        <f>$A588*$O588</f>
        <v>0</v>
      </c>
      <c r="AV588" s="1">
        <f>IF($R588=0,0,INT($A588/$R588))</f>
        <v>0</v>
      </c>
      <c r="AW588" s="1">
        <f>$A588-$AV588*$R588</f>
        <v>0</v>
      </c>
    </row>
    <row r="589" ht="24.95" customHeight="1" outlineLevel="3" s="1" customFormat="1">
      <c r="A589" s="15"/>
      <c r="B589" s="16">
        <v>740</v>
      </c>
      <c r="C589" s="17">
        <v>1073</v>
      </c>
      <c r="D589" s="16">
        <v>34543</v>
      </c>
      <c r="E589" s="18"/>
      <c r="F589" s="18" t="s">
        <v>2004</v>
      </c>
      <c r="G589" s="18" t="s">
        <v>2005</v>
      </c>
      <c r="H589" s="18" t="s">
        <v>86</v>
      </c>
      <c r="I589" s="18"/>
      <c r="J589" s="16">
        <v>2026</v>
      </c>
      <c r="K589" s="18" t="s">
        <v>2006</v>
      </c>
      <c r="L589" s="16">
        <v>9785006308008</v>
      </c>
      <c r="M589" s="18" t="s">
        <v>2007</v>
      </c>
      <c r="N589" s="16">
        <v>280</v>
      </c>
      <c r="O589" s="19">
        <v>0.44</v>
      </c>
      <c r="P589" s="16">
        <v>150</v>
      </c>
      <c r="Q589" s="16">
        <v>220</v>
      </c>
      <c r="R589" s="16">
        <v>14</v>
      </c>
      <c r="S589" s="18" t="s">
        <v>43</v>
      </c>
      <c r="T589" s="18"/>
      <c r="U589" s="17">
        <v>2000</v>
      </c>
      <c r="V589" s="18" t="s">
        <v>77</v>
      </c>
      <c r="W589" s="18" t="s">
        <v>69</v>
      </c>
      <c r="X589" s="16">
        <v>10</v>
      </c>
      <c r="Y589" s="43" t="str">
        <f>HYPERLINK("https://api-enni.alpina.ru/FilePrivilegesApproval/1018","https://api-enni.alpina.ru/FilePrivilegesApproval/1018")</f>
        <v>https://api-enni.alpina.ru/FilePrivilegesApproval/1018</v>
      </c>
      <c r="Z589" s="18"/>
      <c r="AS589" s="1">
        <f>IF($A589&lt;&gt;0,1,0)</f>
        <v>0</v>
      </c>
      <c r="AT589" s="1">
        <f>$A589*$B589</f>
        <v>0</v>
      </c>
      <c r="AU589" s="1">
        <f>$A589*$O589</f>
        <v>0</v>
      </c>
      <c r="AV589" s="1">
        <f>IF($R589=0,0,INT($A589/$R589))</f>
        <v>0</v>
      </c>
      <c r="AW589" s="1">
        <f>$A589-$AV589*$R589</f>
        <v>0</v>
      </c>
    </row>
    <row r="590" ht="24.95" customHeight="1" outlineLevel="3" s="1" customFormat="1">
      <c r="A590" s="15"/>
      <c r="B590" s="16">
        <v>650</v>
      </c>
      <c r="C590" s="16">
        <v>975</v>
      </c>
      <c r="D590" s="16">
        <v>35088</v>
      </c>
      <c r="E590" s="18"/>
      <c r="F590" s="18" t="s">
        <v>2008</v>
      </c>
      <c r="G590" s="18" t="s">
        <v>2009</v>
      </c>
      <c r="H590" s="18" t="s">
        <v>86</v>
      </c>
      <c r="I590" s="18" t="s">
        <v>1866</v>
      </c>
      <c r="J590" s="16">
        <v>2026</v>
      </c>
      <c r="K590" s="18" t="s">
        <v>2010</v>
      </c>
      <c r="L590" s="16">
        <v>9785006310148</v>
      </c>
      <c r="M590" s="18" t="s">
        <v>2011</v>
      </c>
      <c r="N590" s="16">
        <v>163</v>
      </c>
      <c r="O590" s="19">
        <v>0.31</v>
      </c>
      <c r="P590" s="16">
        <v>150</v>
      </c>
      <c r="Q590" s="16">
        <v>220</v>
      </c>
      <c r="R590" s="16">
        <v>18</v>
      </c>
      <c r="S590" s="18" t="s">
        <v>43</v>
      </c>
      <c r="T590" s="18"/>
      <c r="U590" s="17">
        <v>2000</v>
      </c>
      <c r="V590" s="18" t="s">
        <v>77</v>
      </c>
      <c r="W590" s="18" t="s">
        <v>91</v>
      </c>
      <c r="X590" s="16">
        <v>10</v>
      </c>
      <c r="Y590" s="43" t="str">
        <f>HYPERLINK("https://api-enni.alpina.ru/FilePrivilegesApproval/1119","https://api-enni.alpina.ru/FilePrivilegesApproval/1119")</f>
        <v>https://api-enni.alpina.ru/FilePrivilegesApproval/1119</v>
      </c>
      <c r="Z590" s="18" t="s">
        <v>753</v>
      </c>
      <c r="AS590" s="1">
        <f>IF($A590&lt;&gt;0,1,0)</f>
        <v>0</v>
      </c>
      <c r="AT590" s="1">
        <f>$A590*$B590</f>
        <v>0</v>
      </c>
      <c r="AU590" s="1">
        <f>$A590*$O590</f>
        <v>0</v>
      </c>
      <c r="AV590" s="1">
        <f>IF($R590=0,0,INT($A590/$R590))</f>
        <v>0</v>
      </c>
      <c r="AW590" s="1">
        <f>$A590-$AV590*$R590</f>
        <v>0</v>
      </c>
    </row>
    <row r="591" ht="21.95" customHeight="1" outlineLevel="3" s="1" customFormat="1">
      <c r="A591" s="15"/>
      <c r="B591" s="16">
        <v>690</v>
      </c>
      <c r="C591" s="17">
        <v>1035</v>
      </c>
      <c r="D591" s="16">
        <v>25754</v>
      </c>
      <c r="E591" s="18"/>
      <c r="F591" s="18" t="s">
        <v>2012</v>
      </c>
      <c r="G591" s="18" t="s">
        <v>2013</v>
      </c>
      <c r="H591" s="18" t="s">
        <v>86</v>
      </c>
      <c r="I591" s="18" t="s">
        <v>74</v>
      </c>
      <c r="J591" s="16">
        <v>2026</v>
      </c>
      <c r="K591" s="18" t="s">
        <v>2014</v>
      </c>
      <c r="L591" s="16">
        <v>9785961478532</v>
      </c>
      <c r="M591" s="18" t="s">
        <v>2015</v>
      </c>
      <c r="N591" s="16">
        <v>232</v>
      </c>
      <c r="O591" s="19">
        <v>0.41</v>
      </c>
      <c r="P591" s="16">
        <v>150</v>
      </c>
      <c r="Q591" s="16">
        <v>200</v>
      </c>
      <c r="R591" s="16">
        <v>16</v>
      </c>
      <c r="S591" s="18" t="s">
        <v>43</v>
      </c>
      <c r="T591" s="18"/>
      <c r="U591" s="17">
        <v>2000</v>
      </c>
      <c r="V591" s="18" t="s">
        <v>77</v>
      </c>
      <c r="W591" s="18" t="s">
        <v>184</v>
      </c>
      <c r="X591" s="16">
        <v>10</v>
      </c>
      <c r="Y591" s="43" t="str">
        <f>HYPERLINK("","")</f>
      </c>
      <c r="Z591" s="18" t="s">
        <v>98</v>
      </c>
      <c r="AS591" s="1">
        <f>IF($A591&lt;&gt;0,1,0)</f>
        <v>0</v>
      </c>
      <c r="AT591" s="1">
        <f>$A591*$B591</f>
        <v>0</v>
      </c>
      <c r="AU591" s="1">
        <f>$A591*$O591</f>
        <v>0</v>
      </c>
      <c r="AV591" s="1">
        <f>IF($R591=0,0,INT($A591/$R591))</f>
        <v>0</v>
      </c>
      <c r="AW591" s="1">
        <f>$A591-$AV591*$R591</f>
        <v>0</v>
      </c>
    </row>
    <row r="592" ht="24.95" customHeight="1" outlineLevel="3" s="1" customFormat="1">
      <c r="A592" s="15"/>
      <c r="B592" s="16">
        <v>390</v>
      </c>
      <c r="C592" s="16">
        <v>624</v>
      </c>
      <c r="D592" s="16">
        <v>29785</v>
      </c>
      <c r="E592" s="18"/>
      <c r="F592" s="18" t="s">
        <v>884</v>
      </c>
      <c r="G592" s="18" t="s">
        <v>885</v>
      </c>
      <c r="H592" s="18" t="s">
        <v>86</v>
      </c>
      <c r="I592" s="18" t="s">
        <v>74</v>
      </c>
      <c r="J592" s="16">
        <v>2026</v>
      </c>
      <c r="K592" s="18" t="s">
        <v>886</v>
      </c>
      <c r="L592" s="16">
        <v>9785961493887</v>
      </c>
      <c r="M592" s="18" t="s">
        <v>887</v>
      </c>
      <c r="N592" s="16">
        <v>380</v>
      </c>
      <c r="O592" s="19">
        <v>0.3</v>
      </c>
      <c r="P592" s="16">
        <v>120</v>
      </c>
      <c r="Q592" s="16">
        <v>170</v>
      </c>
      <c r="R592" s="16">
        <v>10</v>
      </c>
      <c r="S592" s="18" t="s">
        <v>190</v>
      </c>
      <c r="T592" s="18" t="s">
        <v>491</v>
      </c>
      <c r="U592" s="17">
        <v>5000</v>
      </c>
      <c r="V592" s="18" t="s">
        <v>44</v>
      </c>
      <c r="W592" s="18" t="s">
        <v>45</v>
      </c>
      <c r="X592" s="16">
        <v>10</v>
      </c>
      <c r="Y592" s="43" t="str">
        <f>HYPERLINK("https://api-enni.alpina.ru/FilePrivilegesApproval/1189","https://api-enni.alpina.ru/FilePrivilegesApproval/1189")</f>
        <v>https://api-enni.alpina.ru/FilePrivilegesApproval/1189</v>
      </c>
      <c r="Z592" s="18"/>
      <c r="AS592" s="1">
        <f>IF($A592&lt;&gt;0,1,0)</f>
        <v>0</v>
      </c>
      <c r="AT592" s="1">
        <f>$A592*$B592</f>
        <v>0</v>
      </c>
      <c r="AU592" s="1">
        <f>$A592*$O592</f>
        <v>0</v>
      </c>
      <c r="AV592" s="1">
        <f>IF($R592=0,0,INT($A592/$R592))</f>
        <v>0</v>
      </c>
      <c r="AW592" s="1">
        <f>$A592-$AV592*$R592</f>
        <v>0</v>
      </c>
    </row>
    <row r="593" ht="21.95" customHeight="1" outlineLevel="3" s="1" customFormat="1">
      <c r="A593" s="15"/>
      <c r="B593" s="16">
        <v>690</v>
      </c>
      <c r="C593" s="17">
        <v>1035</v>
      </c>
      <c r="D593" s="16">
        <v>37207</v>
      </c>
      <c r="E593" s="18"/>
      <c r="F593" s="18" t="s">
        <v>369</v>
      </c>
      <c r="G593" s="18" t="s">
        <v>370</v>
      </c>
      <c r="H593" s="18" t="s">
        <v>95</v>
      </c>
      <c r="I593" s="18"/>
      <c r="J593" s="16">
        <v>2026</v>
      </c>
      <c r="K593" s="18" t="s">
        <v>371</v>
      </c>
      <c r="L593" s="16">
        <v>9785002060290</v>
      </c>
      <c r="M593" s="18" t="s">
        <v>372</v>
      </c>
      <c r="N593" s="16">
        <v>128</v>
      </c>
      <c r="O593" s="19">
        <v>0.44</v>
      </c>
      <c r="P593" s="16">
        <v>170</v>
      </c>
      <c r="Q593" s="16">
        <v>240</v>
      </c>
      <c r="R593" s="16">
        <v>10</v>
      </c>
      <c r="S593" s="18" t="s">
        <v>123</v>
      </c>
      <c r="T593" s="18"/>
      <c r="U593" s="17">
        <v>1005</v>
      </c>
      <c r="V593" s="18" t="s">
        <v>77</v>
      </c>
      <c r="W593" s="18" t="s">
        <v>69</v>
      </c>
      <c r="X593" s="16">
        <v>10</v>
      </c>
      <c r="Y593" s="43" t="str">
        <f>HYPERLINK("","")</f>
      </c>
      <c r="Z593" s="18"/>
      <c r="AS593" s="1">
        <f>IF($A593&lt;&gt;0,1,0)</f>
        <v>0</v>
      </c>
      <c r="AT593" s="1">
        <f>$A593*$B593</f>
        <v>0</v>
      </c>
      <c r="AU593" s="1">
        <f>$A593*$O593</f>
        <v>0</v>
      </c>
      <c r="AV593" s="1">
        <f>IF($R593=0,0,INT($A593/$R593))</f>
        <v>0</v>
      </c>
      <c r="AW593" s="1">
        <f>$A593-$AV593*$R593</f>
        <v>0</v>
      </c>
    </row>
    <row r="594" ht="24.95" customHeight="1" outlineLevel="3" s="1" customFormat="1">
      <c r="A594" s="25"/>
      <c r="B594" s="26">
        <v>840</v>
      </c>
      <c r="C594" s="29">
        <v>1218</v>
      </c>
      <c r="D594" s="26">
        <v>28271</v>
      </c>
      <c r="E594" s="27"/>
      <c r="F594" s="27" t="s">
        <v>2016</v>
      </c>
      <c r="G594" s="27" t="s">
        <v>2017</v>
      </c>
      <c r="H594" s="27" t="s">
        <v>86</v>
      </c>
      <c r="I594" s="27" t="s">
        <v>74</v>
      </c>
      <c r="J594" s="26">
        <v>2025</v>
      </c>
      <c r="K594" s="27" t="s">
        <v>2018</v>
      </c>
      <c r="L594" s="26">
        <v>9785961487640</v>
      </c>
      <c r="M594" s="27" t="s">
        <v>2019</v>
      </c>
      <c r="N594" s="26">
        <v>446</v>
      </c>
      <c r="O594" s="28">
        <v>0.55</v>
      </c>
      <c r="P594" s="26">
        <v>140</v>
      </c>
      <c r="Q594" s="26">
        <v>210</v>
      </c>
      <c r="R594" s="26">
        <v>8</v>
      </c>
      <c r="S594" s="27" t="s">
        <v>43</v>
      </c>
      <c r="T594" s="27"/>
      <c r="U594" s="29">
        <v>2500</v>
      </c>
      <c r="V594" s="27" t="s">
        <v>44</v>
      </c>
      <c r="W594" s="27" t="s">
        <v>69</v>
      </c>
      <c r="X594" s="26">
        <v>10</v>
      </c>
      <c r="Y594" s="45" t="str">
        <f>HYPERLINK("https://api-enni.alpina.ru/FilePrivilegesApproval/396","https://api-enni.alpina.ru/FilePrivilegesApproval/396")</f>
        <v>https://api-enni.alpina.ru/FilePrivilegesApproval/396</v>
      </c>
      <c r="Z594" s="27"/>
      <c r="AS594" s="1">
        <f>IF($A594&lt;&gt;0,1,0)</f>
        <v>0</v>
      </c>
      <c r="AT594" s="1">
        <f>$A594*$B594</f>
        <v>0</v>
      </c>
      <c r="AU594" s="1">
        <f>$A594*$O594</f>
        <v>0</v>
      </c>
      <c r="AV594" s="1">
        <f>IF($R594=0,0,INT($A594/$R594))</f>
        <v>0</v>
      </c>
      <c r="AW594" s="1">
        <f>$A594-$AV594*$R594</f>
        <v>0</v>
      </c>
    </row>
    <row r="595" ht="21.95" customHeight="1" outlineLevel="3" s="1" customFormat="1">
      <c r="A595" s="25"/>
      <c r="B595" s="26">
        <v>550</v>
      </c>
      <c r="C595" s="26">
        <v>852</v>
      </c>
      <c r="D595" s="26">
        <v>34195</v>
      </c>
      <c r="E595" s="27"/>
      <c r="F595" s="27" t="s">
        <v>892</v>
      </c>
      <c r="G595" s="27" t="s">
        <v>893</v>
      </c>
      <c r="H595" s="27" t="s">
        <v>86</v>
      </c>
      <c r="I595" s="27"/>
      <c r="J595" s="26">
        <v>2026</v>
      </c>
      <c r="K595" s="27" t="s">
        <v>894</v>
      </c>
      <c r="L595" s="26">
        <v>9785006306523</v>
      </c>
      <c r="M595" s="27" t="s">
        <v>895</v>
      </c>
      <c r="N595" s="26">
        <v>252</v>
      </c>
      <c r="O595" s="28">
        <v>0.4</v>
      </c>
      <c r="P595" s="26">
        <v>150</v>
      </c>
      <c r="Q595" s="26">
        <v>220</v>
      </c>
      <c r="R595" s="26">
        <v>10</v>
      </c>
      <c r="S595" s="27" t="s">
        <v>43</v>
      </c>
      <c r="T595" s="27"/>
      <c r="U595" s="29">
        <v>1000</v>
      </c>
      <c r="V595" s="27" t="s">
        <v>77</v>
      </c>
      <c r="W595" s="27" t="s">
        <v>184</v>
      </c>
      <c r="X595" s="26">
        <v>10</v>
      </c>
      <c r="Y595" s="45" t="str">
        <f>HYPERLINK("","")</f>
      </c>
      <c r="Z595" s="27" t="s">
        <v>135</v>
      </c>
      <c r="AS595" s="1">
        <f>IF($A595&lt;&gt;0,1,0)</f>
        <v>0</v>
      </c>
      <c r="AT595" s="1">
        <f>$A595*$B595</f>
        <v>0</v>
      </c>
      <c r="AU595" s="1">
        <f>$A595*$O595</f>
        <v>0</v>
      </c>
      <c r="AV595" s="1">
        <f>IF($R595=0,0,INT($A595/$R595))</f>
        <v>0</v>
      </c>
      <c r="AW595" s="1">
        <f>$A595-$AV595*$R595</f>
        <v>0</v>
      </c>
    </row>
    <row r="596" ht="24.95" customHeight="1" outlineLevel="3" s="1" customFormat="1">
      <c r="A596" s="15"/>
      <c r="B596" s="16">
        <v>340</v>
      </c>
      <c r="C596" s="16">
        <v>544</v>
      </c>
      <c r="D596" s="16">
        <v>30118</v>
      </c>
      <c r="E596" s="18"/>
      <c r="F596" s="18" t="s">
        <v>234</v>
      </c>
      <c r="G596" s="18" t="s">
        <v>2020</v>
      </c>
      <c r="H596" s="18" t="s">
        <v>86</v>
      </c>
      <c r="I596" s="18"/>
      <c r="J596" s="16">
        <v>2026</v>
      </c>
      <c r="K596" s="18" t="s">
        <v>2021</v>
      </c>
      <c r="L596" s="16">
        <v>9785961494808</v>
      </c>
      <c r="M596" s="18" t="s">
        <v>2022</v>
      </c>
      <c r="N596" s="16">
        <v>182</v>
      </c>
      <c r="O596" s="19">
        <v>0.16</v>
      </c>
      <c r="P596" s="16">
        <v>120</v>
      </c>
      <c r="Q596" s="16">
        <v>170</v>
      </c>
      <c r="R596" s="16">
        <v>18</v>
      </c>
      <c r="S596" s="18" t="s">
        <v>190</v>
      </c>
      <c r="T596" s="18" t="s">
        <v>451</v>
      </c>
      <c r="U596" s="17">
        <v>4000</v>
      </c>
      <c r="V596" s="18" t="s">
        <v>44</v>
      </c>
      <c r="W596" s="18" t="s">
        <v>184</v>
      </c>
      <c r="X596" s="16">
        <v>10</v>
      </c>
      <c r="Y596" s="43" t="str">
        <f>HYPERLINK("https://api-enni.alpina.ru/FilePrivilegesApproval/102","https://api-enni.alpina.ru/FilePrivilegesApproval/102")</f>
        <v>https://api-enni.alpina.ru/FilePrivilegesApproval/102</v>
      </c>
      <c r="Z596" s="18" t="s">
        <v>1869</v>
      </c>
      <c r="AS596" s="1">
        <f>IF($A596&lt;&gt;0,1,0)</f>
        <v>0</v>
      </c>
      <c r="AT596" s="1">
        <f>$A596*$B596</f>
        <v>0</v>
      </c>
      <c r="AU596" s="1">
        <f>$A596*$O596</f>
        <v>0</v>
      </c>
      <c r="AV596" s="1">
        <f>IF($R596=0,0,INT($A596/$R596))</f>
        <v>0</v>
      </c>
      <c r="AW596" s="1">
        <f>$A596-$AV596*$R596</f>
        <v>0</v>
      </c>
    </row>
    <row r="597" ht="24.95" customHeight="1" outlineLevel="3" s="1" customFormat="1">
      <c r="A597" s="15"/>
      <c r="B597" s="16">
        <v>940</v>
      </c>
      <c r="C597" s="17">
        <v>1316</v>
      </c>
      <c r="D597" s="16">
        <v>22840</v>
      </c>
      <c r="E597" s="18"/>
      <c r="F597" s="18" t="s">
        <v>2023</v>
      </c>
      <c r="G597" s="18" t="s">
        <v>2024</v>
      </c>
      <c r="H597" s="18" t="s">
        <v>73</v>
      </c>
      <c r="I597" s="18" t="s">
        <v>74</v>
      </c>
      <c r="J597" s="16">
        <v>2023</v>
      </c>
      <c r="K597" s="18" t="s">
        <v>2025</v>
      </c>
      <c r="L597" s="16">
        <v>9785001394600</v>
      </c>
      <c r="M597" s="18" t="s">
        <v>2026</v>
      </c>
      <c r="N597" s="16">
        <v>540</v>
      </c>
      <c r="O597" s="19">
        <v>0.62</v>
      </c>
      <c r="P597" s="16">
        <v>150</v>
      </c>
      <c r="Q597" s="16">
        <v>220</v>
      </c>
      <c r="R597" s="16">
        <v>10</v>
      </c>
      <c r="S597" s="18" t="s">
        <v>43</v>
      </c>
      <c r="T597" s="18"/>
      <c r="U597" s="17">
        <v>2500</v>
      </c>
      <c r="V597" s="18" t="s">
        <v>77</v>
      </c>
      <c r="W597" s="18" t="s">
        <v>45</v>
      </c>
      <c r="X597" s="16">
        <v>10</v>
      </c>
      <c r="Y597" s="43" t="str">
        <f>HYPERLINK("https://api-enni.alpina.ru/FilePrivilegesApproval/349","https://api-enni.alpina.ru/FilePrivilegesApproval/349")</f>
        <v>https://api-enni.alpina.ru/FilePrivilegesApproval/349</v>
      </c>
      <c r="Z597" s="18"/>
      <c r="AS597" s="1">
        <f>IF($A597&lt;&gt;0,1,0)</f>
        <v>0</v>
      </c>
      <c r="AT597" s="1">
        <f>$A597*$B597</f>
        <v>0</v>
      </c>
      <c r="AU597" s="1">
        <f>$A597*$O597</f>
        <v>0</v>
      </c>
      <c r="AV597" s="1">
        <f>IF($R597=0,0,INT($A597/$R597))</f>
        <v>0</v>
      </c>
      <c r="AW597" s="1">
        <f>$A597-$AV597*$R597</f>
        <v>0</v>
      </c>
    </row>
    <row r="598" ht="24.95" customHeight="1" outlineLevel="3" s="1" customFormat="1">
      <c r="A598" s="15"/>
      <c r="B598" s="16">
        <v>590</v>
      </c>
      <c r="C598" s="16">
        <v>885</v>
      </c>
      <c r="D598" s="16">
        <v>12457</v>
      </c>
      <c r="E598" s="18"/>
      <c r="F598" s="18" t="s">
        <v>2027</v>
      </c>
      <c r="G598" s="18" t="s">
        <v>2028</v>
      </c>
      <c r="H598" s="18" t="s">
        <v>86</v>
      </c>
      <c r="I598" s="18" t="s">
        <v>74</v>
      </c>
      <c r="J598" s="16">
        <v>2020</v>
      </c>
      <c r="K598" s="18" t="s">
        <v>2029</v>
      </c>
      <c r="L598" s="16">
        <v>9785961425406</v>
      </c>
      <c r="M598" s="18" t="s">
        <v>2030</v>
      </c>
      <c r="N598" s="16">
        <v>325</v>
      </c>
      <c r="O598" s="19">
        <v>0.49</v>
      </c>
      <c r="P598" s="16">
        <v>146</v>
      </c>
      <c r="Q598" s="16">
        <v>216</v>
      </c>
      <c r="R598" s="16">
        <v>10</v>
      </c>
      <c r="S598" s="18" t="s">
        <v>43</v>
      </c>
      <c r="T598" s="18"/>
      <c r="U598" s="17">
        <v>2000</v>
      </c>
      <c r="V598" s="18" t="s">
        <v>77</v>
      </c>
      <c r="W598" s="18" t="s">
        <v>45</v>
      </c>
      <c r="X598" s="16">
        <v>10</v>
      </c>
      <c r="Y598" s="43" t="str">
        <f>HYPERLINK("https://api-enni.alpina.ru/FilePrivilegesApproval/37","https://api-enni.alpina.ru/FilePrivilegesApproval/37")</f>
        <v>https://api-enni.alpina.ru/FilePrivilegesApproval/37</v>
      </c>
      <c r="Z598" s="18"/>
      <c r="AS598" s="1">
        <f>IF($A598&lt;&gt;0,1,0)</f>
        <v>0</v>
      </c>
      <c r="AT598" s="1">
        <f>$A598*$B598</f>
        <v>0</v>
      </c>
      <c r="AU598" s="1">
        <f>$A598*$O598</f>
        <v>0</v>
      </c>
      <c r="AV598" s="1">
        <f>IF($R598=0,0,INT($A598/$R598))</f>
        <v>0</v>
      </c>
      <c r="AW598" s="1">
        <f>$A598-$AV598*$R598</f>
        <v>0</v>
      </c>
    </row>
    <row r="599" ht="24.95" customHeight="1" outlineLevel="3" s="1" customFormat="1">
      <c r="A599" s="15"/>
      <c r="B599" s="16">
        <v>590</v>
      </c>
      <c r="C599" s="16">
        <v>885</v>
      </c>
      <c r="D599" s="16">
        <v>20979</v>
      </c>
      <c r="E599" s="18"/>
      <c r="F599" s="18" t="s">
        <v>2031</v>
      </c>
      <c r="G599" s="18" t="s">
        <v>2032</v>
      </c>
      <c r="H599" s="18" t="s">
        <v>86</v>
      </c>
      <c r="I599" s="18" t="s">
        <v>74</v>
      </c>
      <c r="J599" s="16">
        <v>2026</v>
      </c>
      <c r="K599" s="18" t="s">
        <v>2033</v>
      </c>
      <c r="L599" s="16">
        <v>9785961441970</v>
      </c>
      <c r="M599" s="18" t="s">
        <v>2034</v>
      </c>
      <c r="N599" s="16">
        <v>152</v>
      </c>
      <c r="O599" s="19">
        <v>0.28</v>
      </c>
      <c r="P599" s="16">
        <v>150</v>
      </c>
      <c r="Q599" s="16">
        <v>220</v>
      </c>
      <c r="R599" s="16">
        <v>10</v>
      </c>
      <c r="S599" s="18" t="s">
        <v>43</v>
      </c>
      <c r="T599" s="18"/>
      <c r="U599" s="17">
        <v>1000</v>
      </c>
      <c r="V599" s="18" t="s">
        <v>77</v>
      </c>
      <c r="W599" s="18" t="s">
        <v>91</v>
      </c>
      <c r="X599" s="16">
        <v>10</v>
      </c>
      <c r="Y599" s="43" t="str">
        <f>HYPERLINK("https://api-enni.alpina.ru/FilePrivilegesApproval/163","https://api-enni.alpina.ru/FilePrivilegesApproval/163")</f>
        <v>https://api-enni.alpina.ru/FilePrivilegesApproval/163</v>
      </c>
      <c r="Z599" s="18"/>
      <c r="AS599" s="1">
        <f>IF($A599&lt;&gt;0,1,0)</f>
        <v>0</v>
      </c>
      <c r="AT599" s="1">
        <f>$A599*$B599</f>
        <v>0</v>
      </c>
      <c r="AU599" s="1">
        <f>$A599*$O599</f>
        <v>0</v>
      </c>
      <c r="AV599" s="1">
        <f>IF($R599=0,0,INT($A599/$R599))</f>
        <v>0</v>
      </c>
      <c r="AW599" s="1">
        <f>$A599-$AV599*$R599</f>
        <v>0</v>
      </c>
    </row>
    <row r="600" ht="24.95" customHeight="1" outlineLevel="3" s="1" customFormat="1">
      <c r="A600" s="15"/>
      <c r="B600" s="16">
        <v>590</v>
      </c>
      <c r="C600" s="16">
        <v>885</v>
      </c>
      <c r="D600" s="16">
        <v>31747</v>
      </c>
      <c r="E600" s="18"/>
      <c r="F600" s="18" t="s">
        <v>2035</v>
      </c>
      <c r="G600" s="18" t="s">
        <v>2036</v>
      </c>
      <c r="H600" s="18" t="s">
        <v>86</v>
      </c>
      <c r="I600" s="18" t="s">
        <v>65</v>
      </c>
      <c r="J600" s="16">
        <v>2026</v>
      </c>
      <c r="K600" s="18" t="s">
        <v>2037</v>
      </c>
      <c r="L600" s="16">
        <v>9785006300064</v>
      </c>
      <c r="M600" s="18" t="s">
        <v>2038</v>
      </c>
      <c r="N600" s="16">
        <v>192</v>
      </c>
      <c r="O600" s="19">
        <v>0.33</v>
      </c>
      <c r="P600" s="16">
        <v>150</v>
      </c>
      <c r="Q600" s="16">
        <v>220</v>
      </c>
      <c r="R600" s="16">
        <v>18</v>
      </c>
      <c r="S600" s="18" t="s">
        <v>43</v>
      </c>
      <c r="T600" s="18"/>
      <c r="U600" s="17">
        <v>2000</v>
      </c>
      <c r="V600" s="18" t="s">
        <v>77</v>
      </c>
      <c r="W600" s="18" t="s">
        <v>69</v>
      </c>
      <c r="X600" s="16">
        <v>10</v>
      </c>
      <c r="Y600" s="43" t="str">
        <f>HYPERLINK("https://api-enni.alpina.ru/FilePrivilegesApproval/1085","https://api-enni.alpina.ru/FilePrivilegesApproval/1085")</f>
        <v>https://api-enni.alpina.ru/FilePrivilegesApproval/1085</v>
      </c>
      <c r="Z600" s="18"/>
      <c r="AS600" s="1">
        <f>IF($A600&lt;&gt;0,1,0)</f>
        <v>0</v>
      </c>
      <c r="AT600" s="1">
        <f>$A600*$B600</f>
        <v>0</v>
      </c>
      <c r="AU600" s="1">
        <f>$A600*$O600</f>
        <v>0</v>
      </c>
      <c r="AV600" s="1">
        <f>IF($R600=0,0,INT($A600/$R600))</f>
        <v>0</v>
      </c>
      <c r="AW600" s="1">
        <f>$A600-$AV600*$R600</f>
        <v>0</v>
      </c>
    </row>
    <row r="601" ht="24.95" customHeight="1" outlineLevel="3" s="1" customFormat="1">
      <c r="A601" s="15"/>
      <c r="B601" s="16">
        <v>580</v>
      </c>
      <c r="C601" s="16">
        <v>870</v>
      </c>
      <c r="D601" s="16">
        <v>23823</v>
      </c>
      <c r="E601" s="18"/>
      <c r="F601" s="18" t="s">
        <v>2039</v>
      </c>
      <c r="G601" s="18" t="s">
        <v>2040</v>
      </c>
      <c r="H601" s="18" t="s">
        <v>95</v>
      </c>
      <c r="I601" s="18"/>
      <c r="J601" s="16">
        <v>2024</v>
      </c>
      <c r="K601" s="18" t="s">
        <v>2041</v>
      </c>
      <c r="L601" s="16">
        <v>9785907534322</v>
      </c>
      <c r="M601" s="18" t="s">
        <v>2042</v>
      </c>
      <c r="N601" s="16">
        <v>206</v>
      </c>
      <c r="O601" s="19">
        <v>0.27</v>
      </c>
      <c r="P601" s="16">
        <v>150</v>
      </c>
      <c r="Q601" s="16">
        <v>210</v>
      </c>
      <c r="R601" s="16">
        <v>10</v>
      </c>
      <c r="S601" s="18" t="s">
        <v>43</v>
      </c>
      <c r="T601" s="18"/>
      <c r="U601" s="17">
        <v>1000</v>
      </c>
      <c r="V601" s="18" t="s">
        <v>44</v>
      </c>
      <c r="W601" s="18" t="s">
        <v>91</v>
      </c>
      <c r="X601" s="16">
        <v>10</v>
      </c>
      <c r="Y601" s="43" t="str">
        <f>HYPERLINK("https://api-enni.alpina.ru/FilePrivilegesApproval/223","https://api-enni.alpina.ru/FilePrivilegesApproval/223")</f>
        <v>https://api-enni.alpina.ru/FilePrivilegesApproval/223</v>
      </c>
      <c r="Z601" s="18"/>
      <c r="AS601" s="1">
        <f>IF($A601&lt;&gt;0,1,0)</f>
        <v>0</v>
      </c>
      <c r="AT601" s="1">
        <f>$A601*$B601</f>
        <v>0</v>
      </c>
      <c r="AU601" s="1">
        <f>$A601*$O601</f>
        <v>0</v>
      </c>
      <c r="AV601" s="1">
        <f>IF($R601=0,0,INT($A601/$R601))</f>
        <v>0</v>
      </c>
      <c r="AW601" s="1">
        <f>$A601-$AV601*$R601</f>
        <v>0</v>
      </c>
    </row>
    <row r="602" ht="24.95" customHeight="1" outlineLevel="3" s="1" customFormat="1">
      <c r="A602" s="15"/>
      <c r="B602" s="16">
        <v>590</v>
      </c>
      <c r="C602" s="16">
        <v>885</v>
      </c>
      <c r="D602" s="16">
        <v>32955</v>
      </c>
      <c r="E602" s="18"/>
      <c r="F602" s="18" t="s">
        <v>1934</v>
      </c>
      <c r="G602" s="18" t="s">
        <v>2043</v>
      </c>
      <c r="H602" s="18" t="s">
        <v>86</v>
      </c>
      <c r="I602" s="18"/>
      <c r="J602" s="16">
        <v>2025</v>
      </c>
      <c r="K602" s="18" t="s">
        <v>2044</v>
      </c>
      <c r="L602" s="16">
        <v>9785006303454</v>
      </c>
      <c r="M602" s="18" t="s">
        <v>2045</v>
      </c>
      <c r="N602" s="16">
        <v>200</v>
      </c>
      <c r="O602" s="19">
        <v>0.3</v>
      </c>
      <c r="P602" s="16">
        <v>150</v>
      </c>
      <c r="Q602" s="16">
        <v>220</v>
      </c>
      <c r="R602" s="16">
        <v>18</v>
      </c>
      <c r="S602" s="18" t="s">
        <v>43</v>
      </c>
      <c r="T602" s="18"/>
      <c r="U602" s="17">
        <v>2000</v>
      </c>
      <c r="V602" s="18" t="s">
        <v>77</v>
      </c>
      <c r="W602" s="18" t="s">
        <v>69</v>
      </c>
      <c r="X602" s="16">
        <v>10</v>
      </c>
      <c r="Y602" s="43" t="str">
        <f>HYPERLINK("https://api-enni.alpina.ru/FilePrivilegesApproval/296","https://api-enni.alpina.ru/FilePrivilegesApproval/296")</f>
        <v>https://api-enni.alpina.ru/FilePrivilegesApproval/296</v>
      </c>
      <c r="Z602" s="18"/>
      <c r="AS602" s="1">
        <f>IF($A602&lt;&gt;0,1,0)</f>
        <v>0</v>
      </c>
      <c r="AT602" s="1">
        <f>$A602*$B602</f>
        <v>0</v>
      </c>
      <c r="AU602" s="1">
        <f>$A602*$O602</f>
        <v>0</v>
      </c>
      <c r="AV602" s="1">
        <f>IF($R602=0,0,INT($A602/$R602))</f>
        <v>0</v>
      </c>
      <c r="AW602" s="1">
        <f>$A602-$AV602*$R602</f>
        <v>0</v>
      </c>
    </row>
    <row r="603" ht="24.95" customHeight="1" outlineLevel="3" s="1" customFormat="1">
      <c r="A603" s="15"/>
      <c r="B603" s="16">
        <v>390</v>
      </c>
      <c r="C603" s="16">
        <v>624</v>
      </c>
      <c r="D603" s="16">
        <v>27437</v>
      </c>
      <c r="E603" s="18"/>
      <c r="F603" s="18" t="s">
        <v>2046</v>
      </c>
      <c r="G603" s="18" t="s">
        <v>2047</v>
      </c>
      <c r="H603" s="18" t="s">
        <v>86</v>
      </c>
      <c r="I603" s="18"/>
      <c r="J603" s="16">
        <v>2026</v>
      </c>
      <c r="K603" s="18" t="s">
        <v>2048</v>
      </c>
      <c r="L603" s="16">
        <v>9785961485035</v>
      </c>
      <c r="M603" s="18" t="s">
        <v>2049</v>
      </c>
      <c r="N603" s="16">
        <v>426</v>
      </c>
      <c r="O603" s="19">
        <v>0.27</v>
      </c>
      <c r="P603" s="16">
        <v>120</v>
      </c>
      <c r="Q603" s="16">
        <v>170</v>
      </c>
      <c r="R603" s="16">
        <v>8</v>
      </c>
      <c r="S603" s="18" t="s">
        <v>190</v>
      </c>
      <c r="T603" s="18" t="s">
        <v>451</v>
      </c>
      <c r="U603" s="17">
        <v>3000</v>
      </c>
      <c r="V603" s="18" t="s">
        <v>44</v>
      </c>
      <c r="W603" s="18" t="s">
        <v>184</v>
      </c>
      <c r="X603" s="16">
        <v>10</v>
      </c>
      <c r="Y603" s="43" t="str">
        <f>HYPERLINK("https://api-enni.alpina.ru/FilePrivilegesApproval/200","https://api-enni.alpina.ru/FilePrivilegesApproval/200")</f>
        <v>https://api-enni.alpina.ru/FilePrivilegesApproval/200</v>
      </c>
      <c r="Z603" s="18"/>
      <c r="AS603" s="1">
        <f>IF($A603&lt;&gt;0,1,0)</f>
        <v>0</v>
      </c>
      <c r="AT603" s="1">
        <f>$A603*$B603</f>
        <v>0</v>
      </c>
      <c r="AU603" s="1">
        <f>$A603*$O603</f>
        <v>0</v>
      </c>
      <c r="AV603" s="1">
        <f>IF($R603=0,0,INT($A603/$R603))</f>
        <v>0</v>
      </c>
      <c r="AW603" s="1">
        <f>$A603-$AV603*$R603</f>
        <v>0</v>
      </c>
    </row>
    <row r="604" ht="24.95" customHeight="1" outlineLevel="3" s="1" customFormat="1">
      <c r="A604" s="15"/>
      <c r="B604" s="16">
        <v>530</v>
      </c>
      <c r="C604" s="16">
        <v>822</v>
      </c>
      <c r="D604" s="16">
        <v>20616</v>
      </c>
      <c r="E604" s="18"/>
      <c r="F604" s="18" t="s">
        <v>654</v>
      </c>
      <c r="G604" s="18" t="s">
        <v>2050</v>
      </c>
      <c r="H604" s="18" t="s">
        <v>86</v>
      </c>
      <c r="I604" s="18"/>
      <c r="J604" s="16">
        <v>2021</v>
      </c>
      <c r="K604" s="18" t="s">
        <v>2051</v>
      </c>
      <c r="L604" s="16">
        <v>9785961441413</v>
      </c>
      <c r="M604" s="18" t="s">
        <v>2052</v>
      </c>
      <c r="N604" s="16">
        <v>151</v>
      </c>
      <c r="O604" s="19">
        <v>0.27</v>
      </c>
      <c r="P604" s="16">
        <v>150</v>
      </c>
      <c r="Q604" s="16">
        <v>220</v>
      </c>
      <c r="R604" s="16">
        <v>20</v>
      </c>
      <c r="S604" s="18" t="s">
        <v>43</v>
      </c>
      <c r="T604" s="18"/>
      <c r="U604" s="17">
        <v>1500</v>
      </c>
      <c r="V604" s="18" t="s">
        <v>77</v>
      </c>
      <c r="W604" s="18" t="s">
        <v>55</v>
      </c>
      <c r="X604" s="16">
        <v>10</v>
      </c>
      <c r="Y604" s="43" t="str">
        <f>HYPERLINK("https://api-enni.alpina.ru/FilePrivilegesApproval/106","https://api-enni.alpina.ru/FilePrivilegesApproval/106")</f>
        <v>https://api-enni.alpina.ru/FilePrivilegesApproval/106</v>
      </c>
      <c r="Z604" s="18"/>
      <c r="AS604" s="1">
        <f>IF($A604&lt;&gt;0,1,0)</f>
        <v>0</v>
      </c>
      <c r="AT604" s="1">
        <f>$A604*$B604</f>
        <v>0</v>
      </c>
      <c r="AU604" s="1">
        <f>$A604*$O604</f>
        <v>0</v>
      </c>
      <c r="AV604" s="1">
        <f>IF($R604=0,0,INT($A604/$R604))</f>
        <v>0</v>
      </c>
      <c r="AW604" s="1">
        <f>$A604-$AV604*$R604</f>
        <v>0</v>
      </c>
    </row>
    <row r="605" ht="24.95" customHeight="1" outlineLevel="3" s="1" customFormat="1">
      <c r="A605" s="15"/>
      <c r="B605" s="16">
        <v>790</v>
      </c>
      <c r="C605" s="17">
        <v>1146</v>
      </c>
      <c r="D605" s="16">
        <v>26578</v>
      </c>
      <c r="E605" s="18"/>
      <c r="F605" s="18" t="s">
        <v>1824</v>
      </c>
      <c r="G605" s="18" t="s">
        <v>2053</v>
      </c>
      <c r="H605" s="18" t="s">
        <v>86</v>
      </c>
      <c r="I605" s="18"/>
      <c r="J605" s="16">
        <v>2026</v>
      </c>
      <c r="K605" s="18" t="s">
        <v>2054</v>
      </c>
      <c r="L605" s="16">
        <v>9785961482270</v>
      </c>
      <c r="M605" s="18" t="s">
        <v>2055</v>
      </c>
      <c r="N605" s="16">
        <v>373</v>
      </c>
      <c r="O605" s="19">
        <v>0.55</v>
      </c>
      <c r="P605" s="16">
        <v>150</v>
      </c>
      <c r="Q605" s="16">
        <v>220</v>
      </c>
      <c r="R605" s="16">
        <v>10</v>
      </c>
      <c r="S605" s="18" t="s">
        <v>43</v>
      </c>
      <c r="T605" s="18"/>
      <c r="U605" s="17">
        <v>1000</v>
      </c>
      <c r="V605" s="18" t="s">
        <v>77</v>
      </c>
      <c r="W605" s="18" t="s">
        <v>69</v>
      </c>
      <c r="X605" s="16">
        <v>10</v>
      </c>
      <c r="Y605" s="43" t="str">
        <f>HYPERLINK("https://api-enni.alpina.ru/FilePrivilegesApproval/856","https://api-enni.alpina.ru/FilePrivilegesApproval/856")</f>
        <v>https://api-enni.alpina.ru/FilePrivilegesApproval/856</v>
      </c>
      <c r="Z605" s="18" t="s">
        <v>46</v>
      </c>
      <c r="AS605" s="1">
        <f>IF($A605&lt;&gt;0,1,0)</f>
        <v>0</v>
      </c>
      <c r="AT605" s="1">
        <f>$A605*$B605</f>
        <v>0</v>
      </c>
      <c r="AU605" s="1">
        <f>$A605*$O605</f>
        <v>0</v>
      </c>
      <c r="AV605" s="1">
        <f>IF($R605=0,0,INT($A605/$R605))</f>
        <v>0</v>
      </c>
      <c r="AW605" s="1">
        <f>$A605-$AV605*$R605</f>
        <v>0</v>
      </c>
    </row>
    <row r="606" ht="24.95" customHeight="1" outlineLevel="3" s="1" customFormat="1">
      <c r="A606" s="15"/>
      <c r="B606" s="16">
        <v>790</v>
      </c>
      <c r="C606" s="17">
        <v>1146</v>
      </c>
      <c r="D606" s="16">
        <v>6995</v>
      </c>
      <c r="E606" s="18"/>
      <c r="F606" s="18" t="s">
        <v>2056</v>
      </c>
      <c r="G606" s="18" t="s">
        <v>2057</v>
      </c>
      <c r="H606" s="18" t="s">
        <v>73</v>
      </c>
      <c r="I606" s="18"/>
      <c r="J606" s="16">
        <v>2026</v>
      </c>
      <c r="K606" s="18" t="s">
        <v>2058</v>
      </c>
      <c r="L606" s="16">
        <v>9785916717822</v>
      </c>
      <c r="M606" s="18" t="s">
        <v>2059</v>
      </c>
      <c r="N606" s="16">
        <v>229</v>
      </c>
      <c r="O606" s="19">
        <v>0.38</v>
      </c>
      <c r="P606" s="16">
        <v>146</v>
      </c>
      <c r="Q606" s="16">
        <v>216</v>
      </c>
      <c r="R606" s="16">
        <v>16</v>
      </c>
      <c r="S606" s="18" t="s">
        <v>43</v>
      </c>
      <c r="T606" s="18"/>
      <c r="U606" s="17">
        <v>2000</v>
      </c>
      <c r="V606" s="18" t="s">
        <v>77</v>
      </c>
      <c r="W606" s="18" t="s">
        <v>45</v>
      </c>
      <c r="X606" s="16">
        <v>10</v>
      </c>
      <c r="Y606" s="43" t="str">
        <f>HYPERLINK("https://api-enni.alpina.ru/FilePrivilegesApproval/149","https://api-enni.alpina.ru/FilePrivilegesApproval/149")</f>
        <v>https://api-enni.alpina.ru/FilePrivilegesApproval/149</v>
      </c>
      <c r="Z606" s="18"/>
      <c r="AS606" s="1">
        <f>IF($A606&lt;&gt;0,1,0)</f>
        <v>0</v>
      </c>
      <c r="AT606" s="1">
        <f>$A606*$B606</f>
        <v>0</v>
      </c>
      <c r="AU606" s="1">
        <f>$A606*$O606</f>
        <v>0</v>
      </c>
      <c r="AV606" s="1">
        <f>IF($R606=0,0,INT($A606/$R606))</f>
        <v>0</v>
      </c>
      <c r="AW606" s="1">
        <f>$A606-$AV606*$R606</f>
        <v>0</v>
      </c>
    </row>
    <row r="607" ht="24.95" customHeight="1" outlineLevel="3" s="1" customFormat="1">
      <c r="A607" s="15"/>
      <c r="B607" s="16">
        <v>690</v>
      </c>
      <c r="C607" s="17">
        <v>1035</v>
      </c>
      <c r="D607" s="16">
        <v>33855</v>
      </c>
      <c r="E607" s="18"/>
      <c r="F607" s="18" t="s">
        <v>1165</v>
      </c>
      <c r="G607" s="18" t="s">
        <v>2060</v>
      </c>
      <c r="H607" s="18" t="s">
        <v>86</v>
      </c>
      <c r="I607" s="18"/>
      <c r="J607" s="16">
        <v>2025</v>
      </c>
      <c r="K607" s="18" t="s">
        <v>2061</v>
      </c>
      <c r="L607" s="16">
        <v>9785006305779</v>
      </c>
      <c r="M607" s="18" t="s">
        <v>2062</v>
      </c>
      <c r="N607" s="16">
        <v>252</v>
      </c>
      <c r="O607" s="19">
        <v>0.41</v>
      </c>
      <c r="P607" s="16">
        <v>150</v>
      </c>
      <c r="Q607" s="16">
        <v>220</v>
      </c>
      <c r="R607" s="16">
        <v>14</v>
      </c>
      <c r="S607" s="18" t="s">
        <v>43</v>
      </c>
      <c r="T607" s="18"/>
      <c r="U607" s="17">
        <v>2000</v>
      </c>
      <c r="V607" s="18" t="s">
        <v>77</v>
      </c>
      <c r="W607" s="18" t="s">
        <v>69</v>
      </c>
      <c r="X607" s="16">
        <v>10</v>
      </c>
      <c r="Y607" s="43" t="str">
        <f>HYPERLINK("https://api-enni.alpina.ru/FilePrivilegesApproval/921","https://api-enni.alpina.ru/FilePrivilegesApproval/921")</f>
        <v>https://api-enni.alpina.ru/FilePrivilegesApproval/921</v>
      </c>
      <c r="Z607" s="18"/>
      <c r="AS607" s="1">
        <f>IF($A607&lt;&gt;0,1,0)</f>
        <v>0</v>
      </c>
      <c r="AT607" s="1">
        <f>$A607*$B607</f>
        <v>0</v>
      </c>
      <c r="AU607" s="1">
        <f>$A607*$O607</f>
        <v>0</v>
      </c>
      <c r="AV607" s="1">
        <f>IF($R607=0,0,INT($A607/$R607))</f>
        <v>0</v>
      </c>
      <c r="AW607" s="1">
        <f>$A607-$AV607*$R607</f>
        <v>0</v>
      </c>
    </row>
    <row r="608" ht="24.95" customHeight="1" outlineLevel="3" s="1" customFormat="1">
      <c r="A608" s="15"/>
      <c r="B608" s="16">
        <v>990</v>
      </c>
      <c r="C608" s="17">
        <v>1386</v>
      </c>
      <c r="D608" s="16">
        <v>15970</v>
      </c>
      <c r="E608" s="18"/>
      <c r="F608" s="18" t="s">
        <v>1372</v>
      </c>
      <c r="G608" s="18" t="s">
        <v>2063</v>
      </c>
      <c r="H608" s="18" t="s">
        <v>86</v>
      </c>
      <c r="I608" s="18" t="s">
        <v>74</v>
      </c>
      <c r="J608" s="16">
        <v>2025</v>
      </c>
      <c r="K608" s="18" t="s">
        <v>2064</v>
      </c>
      <c r="L608" s="16">
        <v>9785961447750</v>
      </c>
      <c r="M608" s="18" t="s">
        <v>2065</v>
      </c>
      <c r="N608" s="16">
        <v>552</v>
      </c>
      <c r="O608" s="19">
        <v>0.55</v>
      </c>
      <c r="P608" s="16">
        <v>140</v>
      </c>
      <c r="Q608" s="16">
        <v>210</v>
      </c>
      <c r="R608" s="16">
        <v>4</v>
      </c>
      <c r="S608" s="18" t="s">
        <v>43</v>
      </c>
      <c r="T608" s="18"/>
      <c r="U608" s="17">
        <v>4000</v>
      </c>
      <c r="V608" s="18" t="s">
        <v>44</v>
      </c>
      <c r="W608" s="18" t="s">
        <v>69</v>
      </c>
      <c r="X608" s="16">
        <v>10</v>
      </c>
      <c r="Y608" s="43" t="str">
        <f>HYPERLINK("https://api-enni.alpina.ru/FilePrivilegesApproval/141","https://api-enni.alpina.ru/FilePrivilegesApproval/141")</f>
        <v>https://api-enni.alpina.ru/FilePrivilegesApproval/141</v>
      </c>
      <c r="Z608" s="18"/>
      <c r="AS608" s="1">
        <f>IF($A608&lt;&gt;0,1,0)</f>
        <v>0</v>
      </c>
      <c r="AT608" s="1">
        <f>$A608*$B608</f>
        <v>0</v>
      </c>
      <c r="AU608" s="1">
        <f>$A608*$O608</f>
        <v>0</v>
      </c>
      <c r="AV608" s="1">
        <f>IF($R608=0,0,INT($A608/$R608))</f>
        <v>0</v>
      </c>
      <c r="AW608" s="1">
        <f>$A608-$AV608*$R608</f>
        <v>0</v>
      </c>
    </row>
    <row r="609" ht="21.95" customHeight="1" outlineLevel="3" s="1" customFormat="1">
      <c r="A609" s="15"/>
      <c r="B609" s="16">
        <v>990</v>
      </c>
      <c r="C609" s="17">
        <v>1386</v>
      </c>
      <c r="D609" s="16">
        <v>5626</v>
      </c>
      <c r="E609" s="18"/>
      <c r="F609" s="18" t="s">
        <v>1372</v>
      </c>
      <c r="G609" s="18" t="s">
        <v>2066</v>
      </c>
      <c r="H609" s="18" t="s">
        <v>86</v>
      </c>
      <c r="I609" s="18" t="s">
        <v>74</v>
      </c>
      <c r="J609" s="16">
        <v>2026</v>
      </c>
      <c r="K609" s="18" t="s">
        <v>2067</v>
      </c>
      <c r="L609" s="16">
        <v>9785961418194</v>
      </c>
      <c r="M609" s="18" t="s">
        <v>2068</v>
      </c>
      <c r="N609" s="16">
        <v>550</v>
      </c>
      <c r="O609" s="19">
        <v>0.56</v>
      </c>
      <c r="P609" s="16">
        <v>140</v>
      </c>
      <c r="Q609" s="16">
        <v>210</v>
      </c>
      <c r="R609" s="16">
        <v>4</v>
      </c>
      <c r="S609" s="18" t="s">
        <v>43</v>
      </c>
      <c r="T609" s="18"/>
      <c r="U609" s="17">
        <v>7000</v>
      </c>
      <c r="V609" s="18" t="s">
        <v>44</v>
      </c>
      <c r="W609" s="18" t="s">
        <v>69</v>
      </c>
      <c r="X609" s="16">
        <v>10</v>
      </c>
      <c r="Y609" s="43" t="str">
        <f>HYPERLINK("","")</f>
      </c>
      <c r="Z609" s="18" t="s">
        <v>246</v>
      </c>
      <c r="AS609" s="1">
        <f>IF($A609&lt;&gt;0,1,0)</f>
        <v>0</v>
      </c>
      <c r="AT609" s="1">
        <f>$A609*$B609</f>
        <v>0</v>
      </c>
      <c r="AU609" s="1">
        <f>$A609*$O609</f>
        <v>0</v>
      </c>
      <c r="AV609" s="1">
        <f>IF($R609=0,0,INT($A609/$R609))</f>
        <v>0</v>
      </c>
      <c r="AW609" s="1">
        <f>$A609-$AV609*$R609</f>
        <v>0</v>
      </c>
    </row>
    <row r="610" ht="24.95" customHeight="1" outlineLevel="3" s="1" customFormat="1">
      <c r="A610" s="15"/>
      <c r="B610" s="16">
        <v>740</v>
      </c>
      <c r="C610" s="17">
        <v>1073</v>
      </c>
      <c r="D610" s="16">
        <v>25047</v>
      </c>
      <c r="E610" s="18"/>
      <c r="F610" s="18" t="s">
        <v>1372</v>
      </c>
      <c r="G610" s="18" t="s">
        <v>2069</v>
      </c>
      <c r="H610" s="18" t="s">
        <v>86</v>
      </c>
      <c r="I610" s="18" t="s">
        <v>74</v>
      </c>
      <c r="J610" s="16">
        <v>2025</v>
      </c>
      <c r="K610" s="18" t="s">
        <v>2070</v>
      </c>
      <c r="L610" s="16">
        <v>9785961476729</v>
      </c>
      <c r="M610" s="18" t="s">
        <v>2071</v>
      </c>
      <c r="N610" s="16">
        <v>328</v>
      </c>
      <c r="O610" s="19">
        <v>0.41</v>
      </c>
      <c r="P610" s="16">
        <v>140</v>
      </c>
      <c r="Q610" s="16">
        <v>210</v>
      </c>
      <c r="R610" s="16">
        <v>14</v>
      </c>
      <c r="S610" s="18" t="s">
        <v>43</v>
      </c>
      <c r="T610" s="18"/>
      <c r="U610" s="17">
        <v>3000</v>
      </c>
      <c r="V610" s="18" t="s">
        <v>44</v>
      </c>
      <c r="W610" s="18" t="s">
        <v>45</v>
      </c>
      <c r="X610" s="16">
        <v>10</v>
      </c>
      <c r="Y610" s="43" t="str">
        <f>HYPERLINK("https://api-enni.alpina.ru/FilePrivilegesApproval/227","https://api-enni.alpina.ru/FilePrivilegesApproval/227")</f>
        <v>https://api-enni.alpina.ru/FilePrivilegesApproval/227</v>
      </c>
      <c r="Z610" s="18"/>
      <c r="AS610" s="1">
        <f>IF($A610&lt;&gt;0,1,0)</f>
        <v>0</v>
      </c>
      <c r="AT610" s="1">
        <f>$A610*$B610</f>
        <v>0</v>
      </c>
      <c r="AU610" s="1">
        <f>$A610*$O610</f>
        <v>0</v>
      </c>
      <c r="AV610" s="1">
        <f>IF($R610=0,0,INT($A610/$R610))</f>
        <v>0</v>
      </c>
      <c r="AW610" s="1">
        <f>$A610-$AV610*$R610</f>
        <v>0</v>
      </c>
    </row>
    <row r="611" ht="24.95" customHeight="1" outlineLevel="3" s="1" customFormat="1">
      <c r="A611" s="15"/>
      <c r="B611" s="16">
        <v>390</v>
      </c>
      <c r="C611" s="16">
        <v>624</v>
      </c>
      <c r="D611" s="16">
        <v>33799</v>
      </c>
      <c r="E611" s="18"/>
      <c r="F611" s="18" t="s">
        <v>2072</v>
      </c>
      <c r="G611" s="18" t="s">
        <v>2073</v>
      </c>
      <c r="H611" s="18" t="s">
        <v>86</v>
      </c>
      <c r="I611" s="18"/>
      <c r="J611" s="16">
        <v>2025</v>
      </c>
      <c r="K611" s="18" t="s">
        <v>2074</v>
      </c>
      <c r="L611" s="16">
        <v>9785006305595</v>
      </c>
      <c r="M611" s="18" t="s">
        <v>2075</v>
      </c>
      <c r="N611" s="16">
        <v>176</v>
      </c>
      <c r="O611" s="19">
        <v>0.14</v>
      </c>
      <c r="P611" s="16">
        <v>120</v>
      </c>
      <c r="Q611" s="16">
        <v>170</v>
      </c>
      <c r="R611" s="16">
        <v>24</v>
      </c>
      <c r="S611" s="18" t="s">
        <v>190</v>
      </c>
      <c r="T611" s="18" t="s">
        <v>959</v>
      </c>
      <c r="U611" s="17">
        <v>2000</v>
      </c>
      <c r="V611" s="18" t="s">
        <v>44</v>
      </c>
      <c r="W611" s="18" t="s">
        <v>91</v>
      </c>
      <c r="X611" s="16">
        <v>10</v>
      </c>
      <c r="Y611" s="43" t="str">
        <f>HYPERLINK("https://api-enni.alpina.ru/FilePrivilegesApproval/883","https://api-enni.alpina.ru/FilePrivilegesApproval/883")</f>
        <v>https://api-enni.alpina.ru/FilePrivilegesApproval/883</v>
      </c>
      <c r="Z611" s="18"/>
      <c r="AS611" s="1">
        <f>IF($A611&lt;&gt;0,1,0)</f>
        <v>0</v>
      </c>
      <c r="AT611" s="1">
        <f>$A611*$B611</f>
        <v>0</v>
      </c>
      <c r="AU611" s="1">
        <f>$A611*$O611</f>
        <v>0</v>
      </c>
      <c r="AV611" s="1">
        <f>IF($R611=0,0,INT($A611/$R611))</f>
        <v>0</v>
      </c>
      <c r="AW611" s="1">
        <f>$A611-$AV611*$R611</f>
        <v>0</v>
      </c>
    </row>
    <row r="612" ht="24.95" customHeight="1" outlineLevel="3" s="1" customFormat="1">
      <c r="A612" s="15"/>
      <c r="B612" s="16">
        <v>740</v>
      </c>
      <c r="C612" s="17">
        <v>1073</v>
      </c>
      <c r="D612" s="16">
        <v>23275</v>
      </c>
      <c r="E612" s="18"/>
      <c r="F612" s="18" t="s">
        <v>758</v>
      </c>
      <c r="G612" s="18" t="s">
        <v>903</v>
      </c>
      <c r="H612" s="18" t="s">
        <v>86</v>
      </c>
      <c r="I612" s="18" t="s">
        <v>74</v>
      </c>
      <c r="J612" s="16">
        <v>2025</v>
      </c>
      <c r="K612" s="18" t="s">
        <v>904</v>
      </c>
      <c r="L612" s="16">
        <v>9785961472196</v>
      </c>
      <c r="M612" s="18" t="s">
        <v>905</v>
      </c>
      <c r="N612" s="16">
        <v>192</v>
      </c>
      <c r="O612" s="19">
        <v>0.36</v>
      </c>
      <c r="P612" s="16">
        <v>150</v>
      </c>
      <c r="Q612" s="16">
        <v>210</v>
      </c>
      <c r="R612" s="16">
        <v>16</v>
      </c>
      <c r="S612" s="18" t="s">
        <v>43</v>
      </c>
      <c r="T612" s="18"/>
      <c r="U612" s="17">
        <v>10000</v>
      </c>
      <c r="V612" s="18" t="s">
        <v>77</v>
      </c>
      <c r="W612" s="18" t="s">
        <v>69</v>
      </c>
      <c r="X612" s="16">
        <v>10</v>
      </c>
      <c r="Y612" s="43" t="str">
        <f>HYPERLINK("https://api-enni.alpina.ru/FilePrivilegesApproval/140","https://api-enni.alpina.ru/FilePrivilegesApproval/140")</f>
        <v>https://api-enni.alpina.ru/FilePrivilegesApproval/140</v>
      </c>
      <c r="Z612" s="18"/>
      <c r="AS612" s="1">
        <f>IF($A612&lt;&gt;0,1,0)</f>
        <v>0</v>
      </c>
      <c r="AT612" s="1">
        <f>$A612*$B612</f>
        <v>0</v>
      </c>
      <c r="AU612" s="1">
        <f>$A612*$O612</f>
        <v>0</v>
      </c>
      <c r="AV612" s="1">
        <f>IF($R612=0,0,INT($A612/$R612))</f>
        <v>0</v>
      </c>
      <c r="AW612" s="1">
        <f>$A612-$AV612*$R612</f>
        <v>0</v>
      </c>
    </row>
    <row r="613" ht="24.95" customHeight="1" outlineLevel="3" s="1" customFormat="1">
      <c r="A613" s="15"/>
      <c r="B613" s="16">
        <v>590</v>
      </c>
      <c r="C613" s="16">
        <v>885</v>
      </c>
      <c r="D613" s="16">
        <v>6922</v>
      </c>
      <c r="E613" s="18"/>
      <c r="F613" s="18" t="s">
        <v>758</v>
      </c>
      <c r="G613" s="18" t="s">
        <v>2076</v>
      </c>
      <c r="H613" s="18" t="s">
        <v>86</v>
      </c>
      <c r="I613" s="18" t="s">
        <v>74</v>
      </c>
      <c r="J613" s="16">
        <v>2025</v>
      </c>
      <c r="K613" s="18" t="s">
        <v>2077</v>
      </c>
      <c r="L613" s="16">
        <v>9785961465358</v>
      </c>
      <c r="M613" s="18" t="s">
        <v>2078</v>
      </c>
      <c r="N613" s="16">
        <v>192</v>
      </c>
      <c r="O613" s="19">
        <v>0.28</v>
      </c>
      <c r="P613" s="16">
        <v>140</v>
      </c>
      <c r="Q613" s="16">
        <v>195</v>
      </c>
      <c r="R613" s="16">
        <v>12</v>
      </c>
      <c r="S613" s="18" t="s">
        <v>43</v>
      </c>
      <c r="T613" s="18"/>
      <c r="U613" s="17">
        <v>20000</v>
      </c>
      <c r="V613" s="18" t="s">
        <v>44</v>
      </c>
      <c r="W613" s="18" t="s">
        <v>69</v>
      </c>
      <c r="X613" s="16">
        <v>10</v>
      </c>
      <c r="Y613" s="43" t="str">
        <f>HYPERLINK("https://api-enni.alpina.ru/FilePrivilegesApproval/152","https://api-enni.alpina.ru/FilePrivilegesApproval/152")</f>
        <v>https://api-enni.alpina.ru/FilePrivilegesApproval/152</v>
      </c>
      <c r="Z613" s="18"/>
      <c r="AS613" s="1">
        <f>IF($A613&lt;&gt;0,1,0)</f>
        <v>0</v>
      </c>
      <c r="AT613" s="1">
        <f>$A613*$B613</f>
        <v>0</v>
      </c>
      <c r="AU613" s="1">
        <f>$A613*$O613</f>
        <v>0</v>
      </c>
      <c r="AV613" s="1">
        <f>IF($R613=0,0,INT($A613/$R613))</f>
        <v>0</v>
      </c>
      <c r="AW613" s="1">
        <f>$A613-$AV613*$R613</f>
        <v>0</v>
      </c>
    </row>
    <row r="614" ht="24.95" customHeight="1" outlineLevel="3" s="1" customFormat="1">
      <c r="A614" s="15"/>
      <c r="B614" s="16">
        <v>790</v>
      </c>
      <c r="C614" s="17">
        <v>1146</v>
      </c>
      <c r="D614" s="16">
        <v>36853</v>
      </c>
      <c r="E614" s="18"/>
      <c r="F614" s="18" t="s">
        <v>2079</v>
      </c>
      <c r="G614" s="18" t="s">
        <v>2080</v>
      </c>
      <c r="H614" s="18" t="s">
        <v>95</v>
      </c>
      <c r="I614" s="18"/>
      <c r="J614" s="16">
        <v>2026</v>
      </c>
      <c r="K614" s="18" t="s">
        <v>2081</v>
      </c>
      <c r="L614" s="16">
        <v>9785002060061</v>
      </c>
      <c r="M614" s="18" t="s">
        <v>2082</v>
      </c>
      <c r="N614" s="16">
        <v>272</v>
      </c>
      <c r="O614" s="19">
        <v>0.42</v>
      </c>
      <c r="P614" s="16">
        <v>150</v>
      </c>
      <c r="Q614" s="16">
        <v>220</v>
      </c>
      <c r="R614" s="16">
        <v>10</v>
      </c>
      <c r="S614" s="18" t="s">
        <v>43</v>
      </c>
      <c r="T614" s="18"/>
      <c r="U614" s="17">
        <v>1000</v>
      </c>
      <c r="V614" s="18" t="s">
        <v>77</v>
      </c>
      <c r="W614" s="18" t="s">
        <v>69</v>
      </c>
      <c r="X614" s="16">
        <v>10</v>
      </c>
      <c r="Y614" s="43" t="str">
        <f>HYPERLINK("https://api-enni.alpina.ru/FilePrivilegesApproval/1146","https://api-enni.alpina.ru/FilePrivilegesApproval/1146")</f>
        <v>https://api-enni.alpina.ru/FilePrivilegesApproval/1146</v>
      </c>
      <c r="Z614" s="18" t="s">
        <v>178</v>
      </c>
      <c r="AS614" s="1">
        <f>IF($A614&lt;&gt;0,1,0)</f>
        <v>0</v>
      </c>
      <c r="AT614" s="1">
        <f>$A614*$B614</f>
        <v>0</v>
      </c>
      <c r="AU614" s="1">
        <f>$A614*$O614</f>
        <v>0</v>
      </c>
      <c r="AV614" s="1">
        <f>IF($R614=0,0,INT($A614/$R614))</f>
        <v>0</v>
      </c>
      <c r="AW614" s="1">
        <f>$A614-$AV614*$R614</f>
        <v>0</v>
      </c>
    </row>
    <row r="615" ht="24.95" customHeight="1" outlineLevel="3" s="1" customFormat="1">
      <c r="A615" s="15"/>
      <c r="B615" s="16">
        <v>790</v>
      </c>
      <c r="C615" s="17">
        <v>1146</v>
      </c>
      <c r="D615" s="16">
        <v>8337</v>
      </c>
      <c r="E615" s="18"/>
      <c r="F615" s="18" t="s">
        <v>906</v>
      </c>
      <c r="G615" s="18" t="s">
        <v>907</v>
      </c>
      <c r="H615" s="18" t="s">
        <v>86</v>
      </c>
      <c r="I615" s="18"/>
      <c r="J615" s="16">
        <v>2026</v>
      </c>
      <c r="K615" s="18" t="s">
        <v>908</v>
      </c>
      <c r="L615" s="16">
        <v>9785961469608</v>
      </c>
      <c r="M615" s="18" t="s">
        <v>909</v>
      </c>
      <c r="N615" s="16">
        <v>226</v>
      </c>
      <c r="O615" s="19">
        <v>0.37</v>
      </c>
      <c r="P615" s="16">
        <v>146</v>
      </c>
      <c r="Q615" s="16">
        <v>216</v>
      </c>
      <c r="R615" s="16">
        <v>10</v>
      </c>
      <c r="S615" s="18" t="s">
        <v>43</v>
      </c>
      <c r="T615" s="18"/>
      <c r="U615" s="17">
        <v>1000</v>
      </c>
      <c r="V615" s="18" t="s">
        <v>77</v>
      </c>
      <c r="W615" s="18" t="s">
        <v>184</v>
      </c>
      <c r="X615" s="16">
        <v>10</v>
      </c>
      <c r="Y615" s="43" t="str">
        <f>HYPERLINK("https://api-enni.alpina.ru/FilePrivilegesApproval/153","https://api-enni.alpina.ru/FilePrivilegesApproval/153")</f>
        <v>https://api-enni.alpina.ru/FilePrivilegesApproval/153</v>
      </c>
      <c r="Z615" s="18" t="s">
        <v>46</v>
      </c>
      <c r="AS615" s="1">
        <f>IF($A615&lt;&gt;0,1,0)</f>
        <v>0</v>
      </c>
      <c r="AT615" s="1">
        <f>$A615*$B615</f>
        <v>0</v>
      </c>
      <c r="AU615" s="1">
        <f>$A615*$O615</f>
        <v>0</v>
      </c>
      <c r="AV615" s="1">
        <f>IF($R615=0,0,INT($A615/$R615))</f>
        <v>0</v>
      </c>
      <c r="AW615" s="1">
        <f>$A615-$AV615*$R615</f>
        <v>0</v>
      </c>
    </row>
    <row r="616" ht="24.95" customHeight="1" outlineLevel="3" s="1" customFormat="1">
      <c r="A616" s="15"/>
      <c r="B616" s="16">
        <v>690</v>
      </c>
      <c r="C616" s="17">
        <v>1035</v>
      </c>
      <c r="D616" s="16">
        <v>28865</v>
      </c>
      <c r="E616" s="18"/>
      <c r="F616" s="18" t="s">
        <v>2083</v>
      </c>
      <c r="G616" s="18" t="s">
        <v>2084</v>
      </c>
      <c r="H616" s="18" t="s">
        <v>86</v>
      </c>
      <c r="I616" s="18"/>
      <c r="J616" s="16">
        <v>2025</v>
      </c>
      <c r="K616" s="18" t="s">
        <v>2085</v>
      </c>
      <c r="L616" s="16">
        <v>9785961490398</v>
      </c>
      <c r="M616" s="18" t="s">
        <v>2086</v>
      </c>
      <c r="N616" s="16">
        <v>311</v>
      </c>
      <c r="O616" s="19">
        <v>0.47</v>
      </c>
      <c r="P616" s="16">
        <v>150</v>
      </c>
      <c r="Q616" s="16">
        <v>220</v>
      </c>
      <c r="R616" s="16">
        <v>12</v>
      </c>
      <c r="S616" s="18" t="s">
        <v>43</v>
      </c>
      <c r="T616" s="18"/>
      <c r="U616" s="17">
        <v>3000</v>
      </c>
      <c r="V616" s="18" t="s">
        <v>77</v>
      </c>
      <c r="W616" s="18" t="s">
        <v>69</v>
      </c>
      <c r="X616" s="16">
        <v>10</v>
      </c>
      <c r="Y616" s="43" t="str">
        <f>HYPERLINK("https://api-enni.alpina.ru/FilePrivilegesApproval/883","https://api-enni.alpina.ru/FilePrivilegesApproval/883")</f>
        <v>https://api-enni.alpina.ru/FilePrivilegesApproval/883</v>
      </c>
      <c r="Z616" s="18"/>
      <c r="AS616" s="1">
        <f>IF($A616&lt;&gt;0,1,0)</f>
        <v>0</v>
      </c>
      <c r="AT616" s="1">
        <f>$A616*$B616</f>
        <v>0</v>
      </c>
      <c r="AU616" s="1">
        <f>$A616*$O616</f>
        <v>0</v>
      </c>
      <c r="AV616" s="1">
        <f>IF($R616=0,0,INT($A616/$R616))</f>
        <v>0</v>
      </c>
      <c r="AW616" s="1">
        <f>$A616-$AV616*$R616</f>
        <v>0</v>
      </c>
    </row>
    <row r="617" ht="24.95" customHeight="1" outlineLevel="3" s="1" customFormat="1">
      <c r="A617" s="15"/>
      <c r="B617" s="16">
        <v>440</v>
      </c>
      <c r="C617" s="16">
        <v>682</v>
      </c>
      <c r="D617" s="16">
        <v>33237</v>
      </c>
      <c r="E617" s="18"/>
      <c r="F617" s="18" t="s">
        <v>2087</v>
      </c>
      <c r="G617" s="18" t="s">
        <v>2088</v>
      </c>
      <c r="H617" s="18" t="s">
        <v>86</v>
      </c>
      <c r="I617" s="18" t="s">
        <v>74</v>
      </c>
      <c r="J617" s="16">
        <v>2026</v>
      </c>
      <c r="K617" s="18" t="s">
        <v>2089</v>
      </c>
      <c r="L617" s="16">
        <v>9785006304048</v>
      </c>
      <c r="M617" s="18" t="s">
        <v>2090</v>
      </c>
      <c r="N617" s="16">
        <v>320</v>
      </c>
      <c r="O617" s="19">
        <v>0.21</v>
      </c>
      <c r="P617" s="16">
        <v>120</v>
      </c>
      <c r="Q617" s="16">
        <v>170</v>
      </c>
      <c r="R617" s="16">
        <v>16</v>
      </c>
      <c r="S617" s="18" t="s">
        <v>190</v>
      </c>
      <c r="T617" s="18"/>
      <c r="U617" s="17">
        <v>5000</v>
      </c>
      <c r="V617" s="18" t="s">
        <v>44</v>
      </c>
      <c r="W617" s="18" t="s">
        <v>91</v>
      </c>
      <c r="X617" s="16">
        <v>10</v>
      </c>
      <c r="Y617" s="43" t="str">
        <f>HYPERLINK("https://api-enni.alpina.ru/FilePrivilegesApproval/1085","https://api-enni.alpina.ru/FilePrivilegesApproval/1085")</f>
        <v>https://api-enni.alpina.ru/FilePrivilegesApproval/1085</v>
      </c>
      <c r="Z617" s="18"/>
      <c r="AS617" s="1">
        <f>IF($A617&lt;&gt;0,1,0)</f>
        <v>0</v>
      </c>
      <c r="AT617" s="1">
        <f>$A617*$B617</f>
        <v>0</v>
      </c>
      <c r="AU617" s="1">
        <f>$A617*$O617</f>
        <v>0</v>
      </c>
      <c r="AV617" s="1">
        <f>IF($R617=0,0,INT($A617/$R617))</f>
        <v>0</v>
      </c>
      <c r="AW617" s="1">
        <f>$A617-$AV617*$R617</f>
        <v>0</v>
      </c>
    </row>
    <row r="618" ht="24.95" customHeight="1" outlineLevel="3" s="1" customFormat="1">
      <c r="A618" s="15"/>
      <c r="B618" s="16">
        <v>490</v>
      </c>
      <c r="C618" s="16">
        <v>760</v>
      </c>
      <c r="D618" s="16">
        <v>17599</v>
      </c>
      <c r="E618" s="18"/>
      <c r="F618" s="18" t="s">
        <v>2091</v>
      </c>
      <c r="G618" s="18" t="s">
        <v>2092</v>
      </c>
      <c r="H618" s="18" t="s">
        <v>86</v>
      </c>
      <c r="I618" s="18" t="s">
        <v>74</v>
      </c>
      <c r="J618" s="16">
        <v>2025</v>
      </c>
      <c r="K618" s="18" t="s">
        <v>2093</v>
      </c>
      <c r="L618" s="16">
        <v>9785961435122</v>
      </c>
      <c r="M618" s="18" t="s">
        <v>2094</v>
      </c>
      <c r="N618" s="16">
        <v>192</v>
      </c>
      <c r="O618" s="19">
        <v>0.25</v>
      </c>
      <c r="P618" s="16">
        <v>141</v>
      </c>
      <c r="Q618" s="16">
        <v>210</v>
      </c>
      <c r="R618" s="16">
        <v>20</v>
      </c>
      <c r="S618" s="18" t="s">
        <v>43</v>
      </c>
      <c r="T618" s="18" t="s">
        <v>1266</v>
      </c>
      <c r="U618" s="17">
        <v>10000</v>
      </c>
      <c r="V618" s="18" t="s">
        <v>44</v>
      </c>
      <c r="W618" s="18" t="s">
        <v>55</v>
      </c>
      <c r="X618" s="16">
        <v>10</v>
      </c>
      <c r="Y618" s="43" t="str">
        <f>HYPERLINK("https://api-enni.alpina.ru/FilePrivilegesApproval/141","https://api-enni.alpina.ru/FilePrivilegesApproval/141")</f>
        <v>https://api-enni.alpina.ru/FilePrivilegesApproval/141</v>
      </c>
      <c r="Z618" s="18"/>
      <c r="AS618" s="1">
        <f>IF($A618&lt;&gt;0,1,0)</f>
        <v>0</v>
      </c>
      <c r="AT618" s="1">
        <f>$A618*$B618</f>
        <v>0</v>
      </c>
      <c r="AU618" s="1">
        <f>$A618*$O618</f>
        <v>0</v>
      </c>
      <c r="AV618" s="1">
        <f>IF($R618=0,0,INT($A618/$R618))</f>
        <v>0</v>
      </c>
      <c r="AW618" s="1">
        <f>$A618-$AV618*$R618</f>
        <v>0</v>
      </c>
    </row>
    <row r="619" ht="24.95" customHeight="1" outlineLevel="3" s="1" customFormat="1">
      <c r="A619" s="15"/>
      <c r="B619" s="16">
        <v>490</v>
      </c>
      <c r="C619" s="16">
        <v>760</v>
      </c>
      <c r="D619" s="16">
        <v>23121</v>
      </c>
      <c r="E619" s="18"/>
      <c r="F619" s="18" t="s">
        <v>2091</v>
      </c>
      <c r="G619" s="18" t="s">
        <v>2095</v>
      </c>
      <c r="H619" s="18" t="s">
        <v>86</v>
      </c>
      <c r="I619" s="18" t="s">
        <v>74</v>
      </c>
      <c r="J619" s="16">
        <v>2025</v>
      </c>
      <c r="K619" s="18" t="s">
        <v>2096</v>
      </c>
      <c r="L619" s="16">
        <v>9785961474527</v>
      </c>
      <c r="M619" s="18" t="s">
        <v>2097</v>
      </c>
      <c r="N619" s="16">
        <v>192</v>
      </c>
      <c r="O619" s="19">
        <v>0.25</v>
      </c>
      <c r="P619" s="16">
        <v>140</v>
      </c>
      <c r="Q619" s="16">
        <v>220</v>
      </c>
      <c r="R619" s="16">
        <v>16</v>
      </c>
      <c r="S619" s="18" t="s">
        <v>43</v>
      </c>
      <c r="T619" s="18" t="s">
        <v>1266</v>
      </c>
      <c r="U619" s="17">
        <v>5000</v>
      </c>
      <c r="V619" s="18" t="s">
        <v>44</v>
      </c>
      <c r="W619" s="18" t="s">
        <v>55</v>
      </c>
      <c r="X619" s="16">
        <v>10</v>
      </c>
      <c r="Y619" s="43" t="str">
        <f>HYPERLINK("https://api-enni.alpina.ru/FilePrivilegesApproval/128","https://api-enni.alpina.ru/FilePrivilegesApproval/128")</f>
        <v>https://api-enni.alpina.ru/FilePrivilegesApproval/128</v>
      </c>
      <c r="Z619" s="18"/>
      <c r="AS619" s="1">
        <f>IF($A619&lt;&gt;0,1,0)</f>
        <v>0</v>
      </c>
      <c r="AT619" s="1">
        <f>$A619*$B619</f>
        <v>0</v>
      </c>
      <c r="AU619" s="1">
        <f>$A619*$O619</f>
        <v>0</v>
      </c>
      <c r="AV619" s="1">
        <f>IF($R619=0,0,INT($A619/$R619))</f>
        <v>0</v>
      </c>
      <c r="AW619" s="1">
        <f>$A619-$AV619*$R619</f>
        <v>0</v>
      </c>
    </row>
    <row r="620" ht="24.95" customHeight="1" outlineLevel="3" s="1" customFormat="1">
      <c r="A620" s="15"/>
      <c r="B620" s="16">
        <v>490</v>
      </c>
      <c r="C620" s="16">
        <v>760</v>
      </c>
      <c r="D620" s="16">
        <v>11675</v>
      </c>
      <c r="E620" s="18"/>
      <c r="F620" s="18" t="s">
        <v>2091</v>
      </c>
      <c r="G620" s="18" t="s">
        <v>2098</v>
      </c>
      <c r="H620" s="18" t="s">
        <v>86</v>
      </c>
      <c r="I620" s="18" t="s">
        <v>74</v>
      </c>
      <c r="J620" s="16">
        <v>2025</v>
      </c>
      <c r="K620" s="18" t="s">
        <v>2099</v>
      </c>
      <c r="L620" s="16">
        <v>9785961424584</v>
      </c>
      <c r="M620" s="18" t="s">
        <v>2100</v>
      </c>
      <c r="N620" s="16">
        <v>192</v>
      </c>
      <c r="O620" s="19">
        <v>0.28</v>
      </c>
      <c r="P620" s="16">
        <v>141</v>
      </c>
      <c r="Q620" s="16">
        <v>210</v>
      </c>
      <c r="R620" s="16">
        <v>20</v>
      </c>
      <c r="S620" s="18" t="s">
        <v>43</v>
      </c>
      <c r="T620" s="18" t="s">
        <v>1266</v>
      </c>
      <c r="U620" s="17">
        <v>20000</v>
      </c>
      <c r="V620" s="18" t="s">
        <v>44</v>
      </c>
      <c r="W620" s="18" t="s">
        <v>55</v>
      </c>
      <c r="X620" s="16">
        <v>10</v>
      </c>
      <c r="Y620" s="43" t="str">
        <f>HYPERLINK("https://api-enni.alpina.ru/FilePrivilegesApproval/158","https://api-enni.alpina.ru/FilePrivilegesApproval/158")</f>
        <v>https://api-enni.alpina.ru/FilePrivilegesApproval/158</v>
      </c>
      <c r="Z620" s="18"/>
      <c r="AS620" s="1">
        <f>IF($A620&lt;&gt;0,1,0)</f>
        <v>0</v>
      </c>
      <c r="AT620" s="1">
        <f>$A620*$B620</f>
        <v>0</v>
      </c>
      <c r="AU620" s="1">
        <f>$A620*$O620</f>
        <v>0</v>
      </c>
      <c r="AV620" s="1">
        <f>IF($R620=0,0,INT($A620/$R620))</f>
        <v>0</v>
      </c>
      <c r="AW620" s="1">
        <f>$A620-$AV620*$R620</f>
        <v>0</v>
      </c>
    </row>
    <row r="621" ht="24.95" customHeight="1" outlineLevel="3" s="1" customFormat="1">
      <c r="A621" s="15"/>
      <c r="B621" s="16">
        <v>590</v>
      </c>
      <c r="C621" s="16">
        <v>885</v>
      </c>
      <c r="D621" s="16">
        <v>22620</v>
      </c>
      <c r="E621" s="18"/>
      <c r="F621" s="18" t="s">
        <v>910</v>
      </c>
      <c r="G621" s="18" t="s">
        <v>911</v>
      </c>
      <c r="H621" s="18" t="s">
        <v>86</v>
      </c>
      <c r="I621" s="18"/>
      <c r="J621" s="16">
        <v>2025</v>
      </c>
      <c r="K621" s="18" t="s">
        <v>912</v>
      </c>
      <c r="L621" s="16">
        <v>9785961457766</v>
      </c>
      <c r="M621" s="18" t="s">
        <v>913</v>
      </c>
      <c r="N621" s="16">
        <v>296</v>
      </c>
      <c r="O621" s="19">
        <v>0.46</v>
      </c>
      <c r="P621" s="16">
        <v>150</v>
      </c>
      <c r="Q621" s="16">
        <v>220</v>
      </c>
      <c r="R621" s="16">
        <v>14</v>
      </c>
      <c r="S621" s="18" t="s">
        <v>43</v>
      </c>
      <c r="T621" s="18"/>
      <c r="U621" s="17">
        <v>25000</v>
      </c>
      <c r="V621" s="18" t="s">
        <v>77</v>
      </c>
      <c r="W621" s="18" t="s">
        <v>69</v>
      </c>
      <c r="X621" s="16">
        <v>10</v>
      </c>
      <c r="Y621" s="43" t="str">
        <f>HYPERLINK("https://api-enni.alpina.ru/FilePrivilegesApproval/156","https://api-enni.alpina.ru/FilePrivilegesApproval/156")</f>
        <v>https://api-enni.alpina.ru/FilePrivilegesApproval/156</v>
      </c>
      <c r="Z621" s="18"/>
      <c r="AS621" s="1">
        <f>IF($A621&lt;&gt;0,1,0)</f>
        <v>0</v>
      </c>
      <c r="AT621" s="1">
        <f>$A621*$B621</f>
        <v>0</v>
      </c>
      <c r="AU621" s="1">
        <f>$A621*$O621</f>
        <v>0</v>
      </c>
      <c r="AV621" s="1">
        <f>IF($R621=0,0,INT($A621/$R621))</f>
        <v>0</v>
      </c>
      <c r="AW621" s="1">
        <f>$A621-$AV621*$R621</f>
        <v>0</v>
      </c>
    </row>
    <row r="622" ht="24.95" customHeight="1" outlineLevel="3" s="1" customFormat="1">
      <c r="A622" s="15"/>
      <c r="B622" s="16">
        <v>490</v>
      </c>
      <c r="C622" s="16">
        <v>760</v>
      </c>
      <c r="D622" s="16">
        <v>26817</v>
      </c>
      <c r="E622" s="18"/>
      <c r="F622" s="18" t="s">
        <v>2101</v>
      </c>
      <c r="G622" s="18" t="s">
        <v>2102</v>
      </c>
      <c r="H622" s="18" t="s">
        <v>86</v>
      </c>
      <c r="I622" s="18" t="s">
        <v>74</v>
      </c>
      <c r="J622" s="16">
        <v>2023</v>
      </c>
      <c r="K622" s="18" t="s">
        <v>2103</v>
      </c>
      <c r="L622" s="16">
        <v>9785961483130</v>
      </c>
      <c r="M622" s="18" t="s">
        <v>2104</v>
      </c>
      <c r="N622" s="16">
        <v>328</v>
      </c>
      <c r="O622" s="19">
        <v>0.39</v>
      </c>
      <c r="P622" s="16">
        <v>140</v>
      </c>
      <c r="Q622" s="16">
        <v>210</v>
      </c>
      <c r="R622" s="16">
        <v>14</v>
      </c>
      <c r="S622" s="18" t="s">
        <v>43</v>
      </c>
      <c r="T622" s="18"/>
      <c r="U622" s="17">
        <v>3000</v>
      </c>
      <c r="V622" s="18" t="s">
        <v>44</v>
      </c>
      <c r="W622" s="18" t="s">
        <v>69</v>
      </c>
      <c r="X622" s="16">
        <v>10</v>
      </c>
      <c r="Y622" s="43" t="str">
        <f>HYPERLINK("https://api-enni.alpina.ru/FilePrivilegesApproval/300","https://api-enni.alpina.ru/FilePrivilegesApproval/300")</f>
        <v>https://api-enni.alpina.ru/FilePrivilegesApproval/300</v>
      </c>
      <c r="Z622" s="18"/>
      <c r="AS622" s="1">
        <f>IF($A622&lt;&gt;0,1,0)</f>
        <v>0</v>
      </c>
      <c r="AT622" s="1">
        <f>$A622*$B622</f>
        <v>0</v>
      </c>
      <c r="AU622" s="1">
        <f>$A622*$O622</f>
        <v>0</v>
      </c>
      <c r="AV622" s="1">
        <f>IF($R622=0,0,INT($A622/$R622))</f>
        <v>0</v>
      </c>
      <c r="AW622" s="1">
        <f>$A622-$AV622*$R622</f>
        <v>0</v>
      </c>
    </row>
    <row r="623" ht="24.95" customHeight="1" outlineLevel="3" s="1" customFormat="1">
      <c r="A623" s="15"/>
      <c r="B623" s="16">
        <v>690</v>
      </c>
      <c r="C623" s="17">
        <v>1035</v>
      </c>
      <c r="D623" s="16">
        <v>26445</v>
      </c>
      <c r="E623" s="18"/>
      <c r="F623" s="18" t="s">
        <v>910</v>
      </c>
      <c r="G623" s="18" t="s">
        <v>2105</v>
      </c>
      <c r="H623" s="18" t="s">
        <v>86</v>
      </c>
      <c r="I623" s="18"/>
      <c r="J623" s="16">
        <v>2025</v>
      </c>
      <c r="K623" s="18" t="s">
        <v>2106</v>
      </c>
      <c r="L623" s="16">
        <v>9785961481709</v>
      </c>
      <c r="M623" s="18" t="s">
        <v>2107</v>
      </c>
      <c r="N623" s="16">
        <v>263</v>
      </c>
      <c r="O623" s="19">
        <v>0.41</v>
      </c>
      <c r="P623" s="16">
        <v>150</v>
      </c>
      <c r="Q623" s="16">
        <v>220</v>
      </c>
      <c r="R623" s="16">
        <v>14</v>
      </c>
      <c r="S623" s="18" t="s">
        <v>43</v>
      </c>
      <c r="T623" s="18"/>
      <c r="U623" s="17">
        <v>3000</v>
      </c>
      <c r="V623" s="18" t="s">
        <v>77</v>
      </c>
      <c r="W623" s="18" t="s">
        <v>69</v>
      </c>
      <c r="X623" s="16">
        <v>10</v>
      </c>
      <c r="Y623" s="43" t="str">
        <f>HYPERLINK("https://api-enni.alpina.ru/FilePrivilegesApproval/315","https://api-enni.alpina.ru/FilePrivilegesApproval/315")</f>
        <v>https://api-enni.alpina.ru/FilePrivilegesApproval/315</v>
      </c>
      <c r="Z623" s="18"/>
      <c r="AS623" s="1">
        <f>IF($A623&lt;&gt;0,1,0)</f>
        <v>0</v>
      </c>
      <c r="AT623" s="1">
        <f>$A623*$B623</f>
        <v>0</v>
      </c>
      <c r="AU623" s="1">
        <f>$A623*$O623</f>
        <v>0</v>
      </c>
      <c r="AV623" s="1">
        <f>IF($R623=0,0,INT($A623/$R623))</f>
        <v>0</v>
      </c>
      <c r="AW623" s="1">
        <f>$A623-$AV623*$R623</f>
        <v>0</v>
      </c>
    </row>
    <row r="624" ht="24.95" customHeight="1" outlineLevel="3" s="1" customFormat="1">
      <c r="A624" s="15"/>
      <c r="B624" s="16">
        <v>340</v>
      </c>
      <c r="C624" s="16">
        <v>544</v>
      </c>
      <c r="D624" s="16">
        <v>27319</v>
      </c>
      <c r="E624" s="18"/>
      <c r="F624" s="18" t="s">
        <v>447</v>
      </c>
      <c r="G624" s="18" t="s">
        <v>2108</v>
      </c>
      <c r="H624" s="18" t="s">
        <v>86</v>
      </c>
      <c r="I624" s="18" t="s">
        <v>74</v>
      </c>
      <c r="J624" s="16">
        <v>2025</v>
      </c>
      <c r="K624" s="18" t="s">
        <v>2109</v>
      </c>
      <c r="L624" s="16">
        <v>9785961484625</v>
      </c>
      <c r="M624" s="18" t="s">
        <v>2110</v>
      </c>
      <c r="N624" s="16">
        <v>176</v>
      </c>
      <c r="O624" s="19">
        <v>0.14</v>
      </c>
      <c r="P624" s="16">
        <v>120</v>
      </c>
      <c r="Q624" s="16">
        <v>170</v>
      </c>
      <c r="R624" s="16">
        <v>16</v>
      </c>
      <c r="S624" s="18" t="s">
        <v>190</v>
      </c>
      <c r="T624" s="18" t="s">
        <v>959</v>
      </c>
      <c r="U624" s="17">
        <v>10000</v>
      </c>
      <c r="V624" s="18" t="s">
        <v>44</v>
      </c>
      <c r="W624" s="18" t="s">
        <v>184</v>
      </c>
      <c r="X624" s="16">
        <v>10</v>
      </c>
      <c r="Y624" s="43" t="str">
        <f>HYPERLINK("https://api-enni.alpina.ru/FilePrivilegesApproval/186","https://api-enni.alpina.ru/FilePrivilegesApproval/186")</f>
        <v>https://api-enni.alpina.ru/FilePrivilegesApproval/186</v>
      </c>
      <c r="Z624" s="18"/>
      <c r="AS624" s="1">
        <f>IF($A624&lt;&gt;0,1,0)</f>
        <v>0</v>
      </c>
      <c r="AT624" s="1">
        <f>$A624*$B624</f>
        <v>0</v>
      </c>
      <c r="AU624" s="1">
        <f>$A624*$O624</f>
        <v>0</v>
      </c>
      <c r="AV624" s="1">
        <f>IF($R624=0,0,INT($A624/$R624))</f>
        <v>0</v>
      </c>
      <c r="AW624" s="1">
        <f>$A624-$AV624*$R624</f>
        <v>0</v>
      </c>
    </row>
    <row r="625" ht="24.95" customHeight="1" outlineLevel="3" s="1" customFormat="1">
      <c r="A625" s="15"/>
      <c r="B625" s="16">
        <v>740</v>
      </c>
      <c r="C625" s="17">
        <v>1073</v>
      </c>
      <c r="D625" s="16">
        <v>7529</v>
      </c>
      <c r="E625" s="18"/>
      <c r="F625" s="18" t="s">
        <v>2111</v>
      </c>
      <c r="G625" s="18" t="s">
        <v>2112</v>
      </c>
      <c r="H625" s="18" t="s">
        <v>95</v>
      </c>
      <c r="I625" s="18" t="s">
        <v>74</v>
      </c>
      <c r="J625" s="16">
        <v>2025</v>
      </c>
      <c r="K625" s="18" t="s">
        <v>2113</v>
      </c>
      <c r="L625" s="16">
        <v>9785907394124</v>
      </c>
      <c r="M625" s="18" t="s">
        <v>2114</v>
      </c>
      <c r="N625" s="16">
        <v>240</v>
      </c>
      <c r="O625" s="19">
        <v>0.39</v>
      </c>
      <c r="P625" s="16">
        <v>153</v>
      </c>
      <c r="Q625" s="16">
        <v>216</v>
      </c>
      <c r="R625" s="16">
        <v>10</v>
      </c>
      <c r="S625" s="18" t="s">
        <v>43</v>
      </c>
      <c r="T625" s="18"/>
      <c r="U625" s="17">
        <v>1000</v>
      </c>
      <c r="V625" s="18" t="s">
        <v>77</v>
      </c>
      <c r="W625" s="18" t="s">
        <v>184</v>
      </c>
      <c r="X625" s="16">
        <v>10</v>
      </c>
      <c r="Y625" s="43" t="str">
        <f>HYPERLINK("https://api-enni.alpina.ru/FilePrivilegesApproval/2","https://api-enni.alpina.ru/FilePrivilegesApproval/2")</f>
        <v>https://api-enni.alpina.ru/FilePrivilegesApproval/2</v>
      </c>
      <c r="Z625" s="18"/>
      <c r="AS625" s="1">
        <f>IF($A625&lt;&gt;0,1,0)</f>
        <v>0</v>
      </c>
      <c r="AT625" s="1">
        <f>$A625*$B625</f>
        <v>0</v>
      </c>
      <c r="AU625" s="1">
        <f>$A625*$O625</f>
        <v>0</v>
      </c>
      <c r="AV625" s="1">
        <f>IF($R625=0,0,INT($A625/$R625))</f>
        <v>0</v>
      </c>
      <c r="AW625" s="1">
        <f>$A625-$AV625*$R625</f>
        <v>0</v>
      </c>
    </row>
    <row r="626" ht="24.95" customHeight="1" outlineLevel="3" s="1" customFormat="1">
      <c r="A626" s="15"/>
      <c r="B626" s="16">
        <v>530</v>
      </c>
      <c r="C626" s="16">
        <v>822</v>
      </c>
      <c r="D626" s="16">
        <v>22659</v>
      </c>
      <c r="E626" s="18"/>
      <c r="F626" s="18" t="s">
        <v>2115</v>
      </c>
      <c r="G626" s="18" t="s">
        <v>2116</v>
      </c>
      <c r="H626" s="18" t="s">
        <v>86</v>
      </c>
      <c r="I626" s="18" t="s">
        <v>764</v>
      </c>
      <c r="J626" s="16">
        <v>2021</v>
      </c>
      <c r="K626" s="18" t="s">
        <v>2117</v>
      </c>
      <c r="L626" s="16">
        <v>9785961458923</v>
      </c>
      <c r="M626" s="18" t="s">
        <v>2118</v>
      </c>
      <c r="N626" s="16">
        <v>200</v>
      </c>
      <c r="O626" s="19">
        <v>0.26</v>
      </c>
      <c r="P626" s="16">
        <v>141</v>
      </c>
      <c r="Q626" s="16">
        <v>210</v>
      </c>
      <c r="R626" s="16">
        <v>20</v>
      </c>
      <c r="S626" s="18" t="s">
        <v>43</v>
      </c>
      <c r="T626" s="18"/>
      <c r="U626" s="17">
        <v>2000</v>
      </c>
      <c r="V626" s="18" t="s">
        <v>44</v>
      </c>
      <c r="W626" s="18" t="s">
        <v>91</v>
      </c>
      <c r="X626" s="16">
        <v>10</v>
      </c>
      <c r="Y626" s="43" t="str">
        <f>HYPERLINK("https://api-enni.alpina.ru/FilePrivilegesApproval/119","https://api-enni.alpina.ru/FilePrivilegesApproval/119")</f>
        <v>https://api-enni.alpina.ru/FilePrivilegesApproval/119</v>
      </c>
      <c r="Z626" s="18"/>
      <c r="AS626" s="1">
        <f>IF($A626&lt;&gt;0,1,0)</f>
        <v>0</v>
      </c>
      <c r="AT626" s="1">
        <f>$A626*$B626</f>
        <v>0</v>
      </c>
      <c r="AU626" s="1">
        <f>$A626*$O626</f>
        <v>0</v>
      </c>
      <c r="AV626" s="1">
        <f>IF($R626=0,0,INT($A626/$R626))</f>
        <v>0</v>
      </c>
      <c r="AW626" s="1">
        <f>$A626-$AV626*$R626</f>
        <v>0</v>
      </c>
    </row>
    <row r="627" ht="24.95" customHeight="1" outlineLevel="3" s="1" customFormat="1">
      <c r="A627" s="15"/>
      <c r="B627" s="16">
        <v>490</v>
      </c>
      <c r="C627" s="16">
        <v>760</v>
      </c>
      <c r="D627" s="16">
        <v>27681</v>
      </c>
      <c r="E627" s="18"/>
      <c r="F627" s="18" t="s">
        <v>2119</v>
      </c>
      <c r="G627" s="18" t="s">
        <v>2120</v>
      </c>
      <c r="H627" s="18" t="s">
        <v>86</v>
      </c>
      <c r="I627" s="18" t="s">
        <v>74</v>
      </c>
      <c r="J627" s="16">
        <v>2024</v>
      </c>
      <c r="K627" s="18" t="s">
        <v>2121</v>
      </c>
      <c r="L627" s="16">
        <v>9785961486049</v>
      </c>
      <c r="M627" s="18" t="s">
        <v>2122</v>
      </c>
      <c r="N627" s="16">
        <v>248</v>
      </c>
      <c r="O627" s="19">
        <v>0.31</v>
      </c>
      <c r="P627" s="16">
        <v>140</v>
      </c>
      <c r="Q627" s="16">
        <v>210</v>
      </c>
      <c r="R627" s="16">
        <v>18</v>
      </c>
      <c r="S627" s="18" t="s">
        <v>43</v>
      </c>
      <c r="T627" s="18"/>
      <c r="U627" s="17">
        <v>2500</v>
      </c>
      <c r="V627" s="18" t="s">
        <v>44</v>
      </c>
      <c r="W627" s="18" t="s">
        <v>69</v>
      </c>
      <c r="X627" s="16">
        <v>10</v>
      </c>
      <c r="Y627" s="43" t="str">
        <f>HYPERLINK("https://api-enni.alpina.ru/FilePrivilegesApproval/339","https://api-enni.alpina.ru/FilePrivilegesApproval/339")</f>
        <v>https://api-enni.alpina.ru/FilePrivilegesApproval/339</v>
      </c>
      <c r="Z627" s="18"/>
      <c r="AS627" s="1">
        <f>IF($A627&lt;&gt;0,1,0)</f>
        <v>0</v>
      </c>
      <c r="AT627" s="1">
        <f>$A627*$B627</f>
        <v>0</v>
      </c>
      <c r="AU627" s="1">
        <f>$A627*$O627</f>
        <v>0</v>
      </c>
      <c r="AV627" s="1">
        <f>IF($R627=0,0,INT($A627/$R627))</f>
        <v>0</v>
      </c>
      <c r="AW627" s="1">
        <f>$A627-$AV627*$R627</f>
        <v>0</v>
      </c>
    </row>
    <row r="628" ht="24.95" customHeight="1" outlineLevel="3" s="1" customFormat="1">
      <c r="A628" s="15"/>
      <c r="B628" s="16">
        <v>550</v>
      </c>
      <c r="C628" s="16">
        <v>852</v>
      </c>
      <c r="D628" s="16">
        <v>31678</v>
      </c>
      <c r="E628" s="18"/>
      <c r="F628" s="18" t="s">
        <v>2123</v>
      </c>
      <c r="G628" s="18" t="s">
        <v>2124</v>
      </c>
      <c r="H628" s="18" t="s">
        <v>86</v>
      </c>
      <c r="I628" s="18" t="s">
        <v>74</v>
      </c>
      <c r="J628" s="16">
        <v>2025</v>
      </c>
      <c r="K628" s="18" t="s">
        <v>2125</v>
      </c>
      <c r="L628" s="16">
        <v>9785961499902</v>
      </c>
      <c r="M628" s="18" t="s">
        <v>2126</v>
      </c>
      <c r="N628" s="16">
        <v>232</v>
      </c>
      <c r="O628" s="19">
        <v>0.58</v>
      </c>
      <c r="P628" s="16">
        <v>170</v>
      </c>
      <c r="Q628" s="16">
        <v>240</v>
      </c>
      <c r="R628" s="16">
        <v>8</v>
      </c>
      <c r="S628" s="18" t="s">
        <v>123</v>
      </c>
      <c r="T628" s="18" t="s">
        <v>1196</v>
      </c>
      <c r="U628" s="17">
        <v>3000</v>
      </c>
      <c r="V628" s="18" t="s">
        <v>77</v>
      </c>
      <c r="W628" s="18" t="s">
        <v>91</v>
      </c>
      <c r="X628" s="16">
        <v>10</v>
      </c>
      <c r="Y628" s="43" t="str">
        <f>HYPERLINK("https://api-enni.alpina.ru/FilePrivilegesApproval/831","https://api-enni.alpina.ru/FilePrivilegesApproval/831")</f>
        <v>https://api-enni.alpina.ru/FilePrivilegesApproval/831</v>
      </c>
      <c r="Z628" s="18"/>
      <c r="AS628" s="1">
        <f>IF($A628&lt;&gt;0,1,0)</f>
        <v>0</v>
      </c>
      <c r="AT628" s="1">
        <f>$A628*$B628</f>
        <v>0</v>
      </c>
      <c r="AU628" s="1">
        <f>$A628*$O628</f>
        <v>0</v>
      </c>
      <c r="AV628" s="1">
        <f>IF($R628=0,0,INT($A628/$R628))</f>
        <v>0</v>
      </c>
      <c r="AW628" s="1">
        <f>$A628-$AV628*$R628</f>
        <v>0</v>
      </c>
    </row>
    <row r="629" ht="24.95" customHeight="1" outlineLevel="3" s="1" customFormat="1">
      <c r="A629" s="15"/>
      <c r="B629" s="16">
        <v>490</v>
      </c>
      <c r="C629" s="16">
        <v>760</v>
      </c>
      <c r="D629" s="16">
        <v>4972</v>
      </c>
      <c r="E629" s="18"/>
      <c r="F629" s="18" t="s">
        <v>932</v>
      </c>
      <c r="G629" s="18" t="s">
        <v>933</v>
      </c>
      <c r="H629" s="18" t="s">
        <v>86</v>
      </c>
      <c r="I629" s="18"/>
      <c r="J629" s="16">
        <v>2026</v>
      </c>
      <c r="K629" s="18" t="s">
        <v>934</v>
      </c>
      <c r="L629" s="16">
        <v>9785961470093</v>
      </c>
      <c r="M629" s="18" t="s">
        <v>935</v>
      </c>
      <c r="N629" s="16">
        <v>154</v>
      </c>
      <c r="O629" s="19">
        <v>0.3</v>
      </c>
      <c r="P629" s="16">
        <v>153</v>
      </c>
      <c r="Q629" s="16">
        <v>216</v>
      </c>
      <c r="R629" s="16">
        <v>10</v>
      </c>
      <c r="S629" s="18" t="s">
        <v>43</v>
      </c>
      <c r="T629" s="18"/>
      <c r="U629" s="17">
        <v>1000</v>
      </c>
      <c r="V629" s="18" t="s">
        <v>77</v>
      </c>
      <c r="W629" s="18" t="s">
        <v>184</v>
      </c>
      <c r="X629" s="16">
        <v>10</v>
      </c>
      <c r="Y629" s="43" t="str">
        <f>HYPERLINK("https://api-enni.alpina.ru/FilePrivilegesApproval/2","https://api-enni.alpina.ru/FilePrivilegesApproval/2")</f>
        <v>https://api-enni.alpina.ru/FilePrivilegesApproval/2</v>
      </c>
      <c r="Z629" s="18" t="s">
        <v>119</v>
      </c>
      <c r="AS629" s="1">
        <f>IF($A629&lt;&gt;0,1,0)</f>
        <v>0</v>
      </c>
      <c r="AT629" s="1">
        <f>$A629*$B629</f>
        <v>0</v>
      </c>
      <c r="AU629" s="1">
        <f>$A629*$O629</f>
        <v>0</v>
      </c>
      <c r="AV629" s="1">
        <f>IF($R629=0,0,INT($A629/$R629))</f>
        <v>0</v>
      </c>
      <c r="AW629" s="1">
        <f>$A629-$AV629*$R629</f>
        <v>0</v>
      </c>
    </row>
    <row r="630" ht="24.95" customHeight="1" outlineLevel="3" s="1" customFormat="1">
      <c r="A630" s="15"/>
      <c r="B630" s="16">
        <v>790</v>
      </c>
      <c r="C630" s="17">
        <v>1146</v>
      </c>
      <c r="D630" s="16">
        <v>30743</v>
      </c>
      <c r="E630" s="18"/>
      <c r="F630" s="18" t="s">
        <v>2127</v>
      </c>
      <c r="G630" s="18" t="s">
        <v>2128</v>
      </c>
      <c r="H630" s="18" t="s">
        <v>86</v>
      </c>
      <c r="I630" s="18" t="s">
        <v>40</v>
      </c>
      <c r="J630" s="16">
        <v>2025</v>
      </c>
      <c r="K630" s="18" t="s">
        <v>2129</v>
      </c>
      <c r="L630" s="16">
        <v>9785961496406</v>
      </c>
      <c r="M630" s="18" t="s">
        <v>2130</v>
      </c>
      <c r="N630" s="16">
        <v>316</v>
      </c>
      <c r="O630" s="19">
        <v>0.39</v>
      </c>
      <c r="P630" s="16">
        <v>140</v>
      </c>
      <c r="Q630" s="16">
        <v>210</v>
      </c>
      <c r="R630" s="16">
        <v>16</v>
      </c>
      <c r="S630" s="18" t="s">
        <v>43</v>
      </c>
      <c r="T630" s="18"/>
      <c r="U630" s="17">
        <v>3000</v>
      </c>
      <c r="V630" s="18" t="s">
        <v>44</v>
      </c>
      <c r="W630" s="18" t="s">
        <v>69</v>
      </c>
      <c r="X630" s="16">
        <v>10</v>
      </c>
      <c r="Y630" s="43" t="str">
        <f>HYPERLINK("https://api-enni.alpina.ru/FilePrivilegesApproval/953","https://api-enni.alpina.ru/FilePrivilegesApproval/953")</f>
        <v>https://api-enni.alpina.ru/FilePrivilegesApproval/953</v>
      </c>
      <c r="Z630" s="18"/>
      <c r="AS630" s="1">
        <f>IF($A630&lt;&gt;0,1,0)</f>
        <v>0</v>
      </c>
      <c r="AT630" s="1">
        <f>$A630*$B630</f>
        <v>0</v>
      </c>
      <c r="AU630" s="1">
        <f>$A630*$O630</f>
        <v>0</v>
      </c>
      <c r="AV630" s="1">
        <f>IF($R630=0,0,INT($A630/$R630))</f>
        <v>0</v>
      </c>
      <c r="AW630" s="1">
        <f>$A630-$AV630*$R630</f>
        <v>0</v>
      </c>
    </row>
    <row r="631" ht="24.95" customHeight="1" outlineLevel="3" s="1" customFormat="1">
      <c r="A631" s="15"/>
      <c r="B631" s="16">
        <v>690</v>
      </c>
      <c r="C631" s="17">
        <v>1035</v>
      </c>
      <c r="D631" s="16">
        <v>31551</v>
      </c>
      <c r="E631" s="18"/>
      <c r="F631" s="18" t="s">
        <v>2131</v>
      </c>
      <c r="G631" s="18" t="s">
        <v>2132</v>
      </c>
      <c r="H631" s="18" t="s">
        <v>86</v>
      </c>
      <c r="I631" s="18" t="s">
        <v>74</v>
      </c>
      <c r="J631" s="16">
        <v>2025</v>
      </c>
      <c r="K631" s="18" t="s">
        <v>2133</v>
      </c>
      <c r="L631" s="16">
        <v>9785961499209</v>
      </c>
      <c r="M631" s="18" t="s">
        <v>2134</v>
      </c>
      <c r="N631" s="16">
        <v>301</v>
      </c>
      <c r="O631" s="19">
        <v>0.37</v>
      </c>
      <c r="P631" s="16">
        <v>150</v>
      </c>
      <c r="Q631" s="16">
        <v>220</v>
      </c>
      <c r="R631" s="16">
        <v>16</v>
      </c>
      <c r="S631" s="18" t="s">
        <v>43</v>
      </c>
      <c r="T631" s="18"/>
      <c r="U631" s="17">
        <v>2000</v>
      </c>
      <c r="V631" s="18" t="s">
        <v>44</v>
      </c>
      <c r="W631" s="18" t="s">
        <v>91</v>
      </c>
      <c r="X631" s="16">
        <v>10</v>
      </c>
      <c r="Y631" s="43" t="str">
        <f>HYPERLINK("https://api-enni.alpina.ru/FilePrivilegesApproval/831","https://api-enni.alpina.ru/FilePrivilegesApproval/831")</f>
        <v>https://api-enni.alpina.ru/FilePrivilegesApproval/831</v>
      </c>
      <c r="Z631" s="18"/>
      <c r="AS631" s="1">
        <f>IF($A631&lt;&gt;0,1,0)</f>
        <v>0</v>
      </c>
      <c r="AT631" s="1">
        <f>$A631*$B631</f>
        <v>0</v>
      </c>
      <c r="AU631" s="1">
        <f>$A631*$O631</f>
        <v>0</v>
      </c>
      <c r="AV631" s="1">
        <f>IF($R631=0,0,INT($A631/$R631))</f>
        <v>0</v>
      </c>
      <c r="AW631" s="1">
        <f>$A631-$AV631*$R631</f>
        <v>0</v>
      </c>
    </row>
    <row r="632" ht="24.95" customHeight="1" outlineLevel="3" s="1" customFormat="1">
      <c r="A632" s="15"/>
      <c r="B632" s="16">
        <v>440</v>
      </c>
      <c r="C632" s="16">
        <v>682</v>
      </c>
      <c r="D632" s="16">
        <v>26816</v>
      </c>
      <c r="E632" s="18"/>
      <c r="F632" s="18" t="s">
        <v>2135</v>
      </c>
      <c r="G632" s="18" t="s">
        <v>2136</v>
      </c>
      <c r="H632" s="18" t="s">
        <v>86</v>
      </c>
      <c r="I632" s="18" t="s">
        <v>160</v>
      </c>
      <c r="J632" s="16">
        <v>2024</v>
      </c>
      <c r="K632" s="18" t="s">
        <v>2137</v>
      </c>
      <c r="L632" s="16">
        <v>9785961483123</v>
      </c>
      <c r="M632" s="18" t="s">
        <v>2138</v>
      </c>
      <c r="N632" s="16">
        <v>252</v>
      </c>
      <c r="O632" s="19">
        <v>0.32</v>
      </c>
      <c r="P632" s="16">
        <v>150</v>
      </c>
      <c r="Q632" s="16">
        <v>210</v>
      </c>
      <c r="R632" s="16">
        <v>18</v>
      </c>
      <c r="S632" s="18" t="s">
        <v>43</v>
      </c>
      <c r="T632" s="18"/>
      <c r="U632" s="17">
        <v>2000</v>
      </c>
      <c r="V632" s="18" t="s">
        <v>44</v>
      </c>
      <c r="W632" s="18" t="s">
        <v>69</v>
      </c>
      <c r="X632" s="16">
        <v>10</v>
      </c>
      <c r="Y632" s="43" t="str">
        <f>HYPERLINK("https://api-enni.alpina.ru/FilePrivilegesApproval/231","https://api-enni.alpina.ru/FilePrivilegesApproval/231")</f>
        <v>https://api-enni.alpina.ru/FilePrivilegesApproval/231</v>
      </c>
      <c r="Z632" s="18"/>
      <c r="AS632" s="1">
        <f>IF($A632&lt;&gt;0,1,0)</f>
        <v>0</v>
      </c>
      <c r="AT632" s="1">
        <f>$A632*$B632</f>
        <v>0</v>
      </c>
      <c r="AU632" s="1">
        <f>$A632*$O632</f>
        <v>0</v>
      </c>
      <c r="AV632" s="1">
        <f>IF($R632=0,0,INT($A632/$R632))</f>
        <v>0</v>
      </c>
      <c r="AW632" s="1">
        <f>$A632-$AV632*$R632</f>
        <v>0</v>
      </c>
    </row>
    <row r="633" ht="24.95" customHeight="1" outlineLevel="3" s="1" customFormat="1">
      <c r="A633" s="15"/>
      <c r="B633" s="16">
        <v>790</v>
      </c>
      <c r="C633" s="17">
        <v>1146</v>
      </c>
      <c r="D633" s="16">
        <v>32304</v>
      </c>
      <c r="E633" s="18"/>
      <c r="F633" s="18" t="s">
        <v>936</v>
      </c>
      <c r="G633" s="18" t="s">
        <v>2139</v>
      </c>
      <c r="H633" s="18" t="s">
        <v>86</v>
      </c>
      <c r="I633" s="18" t="s">
        <v>74</v>
      </c>
      <c r="J633" s="16">
        <v>2026</v>
      </c>
      <c r="K633" s="18" t="s">
        <v>2140</v>
      </c>
      <c r="L633" s="16">
        <v>9785006301870</v>
      </c>
      <c r="M633" s="18" t="s">
        <v>2141</v>
      </c>
      <c r="N633" s="16">
        <v>308</v>
      </c>
      <c r="O633" s="19">
        <v>0.48</v>
      </c>
      <c r="P633" s="16">
        <v>150</v>
      </c>
      <c r="Q633" s="16">
        <v>220</v>
      </c>
      <c r="R633" s="16">
        <v>8</v>
      </c>
      <c r="S633" s="18" t="s">
        <v>43</v>
      </c>
      <c r="T633" s="18"/>
      <c r="U633" s="17">
        <v>2000</v>
      </c>
      <c r="V633" s="18" t="s">
        <v>77</v>
      </c>
      <c r="W633" s="18" t="s">
        <v>184</v>
      </c>
      <c r="X633" s="16">
        <v>10</v>
      </c>
      <c r="Y633" s="43" t="str">
        <f>HYPERLINK("https://api-enni.alpina.ru/FilePrivilegesApproval/156","https://api-enni.alpina.ru/FilePrivilegesApproval/156")</f>
        <v>https://api-enni.alpina.ru/FilePrivilegesApproval/156</v>
      </c>
      <c r="Z633" s="18" t="s">
        <v>744</v>
      </c>
      <c r="AS633" s="1">
        <f>IF($A633&lt;&gt;0,1,0)</f>
        <v>0</v>
      </c>
      <c r="AT633" s="1">
        <f>$A633*$B633</f>
        <v>0</v>
      </c>
      <c r="AU633" s="1">
        <f>$A633*$O633</f>
        <v>0</v>
      </c>
      <c r="AV633" s="1">
        <f>IF($R633=0,0,INT($A633/$R633))</f>
        <v>0</v>
      </c>
      <c r="AW633" s="1">
        <f>$A633-$AV633*$R633</f>
        <v>0</v>
      </c>
    </row>
    <row r="634" ht="24.95" customHeight="1" outlineLevel="3" s="1" customFormat="1">
      <c r="A634" s="15"/>
      <c r="B634" s="16">
        <v>498</v>
      </c>
      <c r="C634" s="16">
        <v>772</v>
      </c>
      <c r="D634" s="16">
        <v>27903</v>
      </c>
      <c r="E634" s="18"/>
      <c r="F634" s="18" t="s">
        <v>940</v>
      </c>
      <c r="G634" s="18" t="s">
        <v>2142</v>
      </c>
      <c r="H634" s="18" t="s">
        <v>86</v>
      </c>
      <c r="I634" s="18" t="s">
        <v>74</v>
      </c>
      <c r="J634" s="16">
        <v>2025</v>
      </c>
      <c r="K634" s="18" t="s">
        <v>2143</v>
      </c>
      <c r="L634" s="16">
        <v>9785961486711</v>
      </c>
      <c r="M634" s="18" t="s">
        <v>2144</v>
      </c>
      <c r="N634" s="16">
        <v>288</v>
      </c>
      <c r="O634" s="19">
        <v>0.35</v>
      </c>
      <c r="P634" s="16">
        <v>140</v>
      </c>
      <c r="Q634" s="16">
        <v>210</v>
      </c>
      <c r="R634" s="16">
        <v>14</v>
      </c>
      <c r="S634" s="18" t="s">
        <v>43</v>
      </c>
      <c r="T634" s="18"/>
      <c r="U634" s="17">
        <v>4000</v>
      </c>
      <c r="V634" s="18" t="s">
        <v>44</v>
      </c>
      <c r="W634" s="18" t="s">
        <v>69</v>
      </c>
      <c r="X634" s="16">
        <v>22</v>
      </c>
      <c r="Y634" s="43" t="str">
        <f>HYPERLINK("https://api-enni.alpina.ru/FilePrivilegesApproval/321","https://api-enni.alpina.ru/FilePrivilegesApproval/321")</f>
        <v>https://api-enni.alpina.ru/FilePrivilegesApproval/321</v>
      </c>
      <c r="Z634" s="18"/>
      <c r="AS634" s="1">
        <f>IF($A634&lt;&gt;0,1,0)</f>
        <v>0</v>
      </c>
      <c r="AT634" s="1">
        <f>$A634*$B634</f>
        <v>0</v>
      </c>
      <c r="AU634" s="1">
        <f>$A634*$O634</f>
        <v>0</v>
      </c>
      <c r="AV634" s="1">
        <f>IF($R634=0,0,INT($A634/$R634))</f>
        <v>0</v>
      </c>
      <c r="AW634" s="1">
        <f>$A634-$AV634*$R634</f>
        <v>0</v>
      </c>
    </row>
    <row r="635" ht="24.95" customHeight="1" outlineLevel="3" s="1" customFormat="1">
      <c r="A635" s="15"/>
      <c r="B635" s="16">
        <v>490</v>
      </c>
      <c r="C635" s="16">
        <v>760</v>
      </c>
      <c r="D635" s="16">
        <v>26597</v>
      </c>
      <c r="E635" s="18"/>
      <c r="F635" s="18" t="s">
        <v>2145</v>
      </c>
      <c r="G635" s="18" t="s">
        <v>2146</v>
      </c>
      <c r="H635" s="18" t="s">
        <v>86</v>
      </c>
      <c r="I635" s="18"/>
      <c r="J635" s="16">
        <v>2025</v>
      </c>
      <c r="K635" s="18" t="s">
        <v>2147</v>
      </c>
      <c r="L635" s="16">
        <v>9785961482379</v>
      </c>
      <c r="M635" s="18" t="s">
        <v>2148</v>
      </c>
      <c r="N635" s="16">
        <v>214</v>
      </c>
      <c r="O635" s="19">
        <v>0.37</v>
      </c>
      <c r="P635" s="16">
        <v>150</v>
      </c>
      <c r="Q635" s="16">
        <v>220</v>
      </c>
      <c r="R635" s="16">
        <v>10</v>
      </c>
      <c r="S635" s="18" t="s">
        <v>43</v>
      </c>
      <c r="T635" s="18"/>
      <c r="U635" s="17">
        <v>3000</v>
      </c>
      <c r="V635" s="18" t="s">
        <v>77</v>
      </c>
      <c r="W635" s="18" t="s">
        <v>69</v>
      </c>
      <c r="X635" s="16">
        <v>10</v>
      </c>
      <c r="Y635" s="43" t="str">
        <f>HYPERLINK("https://api-enni.alpina.ru/FilePrivilegesApproval/371","https://api-enni.alpina.ru/FilePrivilegesApproval/371")</f>
        <v>https://api-enni.alpina.ru/FilePrivilegesApproval/371</v>
      </c>
      <c r="Z635" s="18"/>
      <c r="AS635" s="1">
        <f>IF($A635&lt;&gt;0,1,0)</f>
        <v>0</v>
      </c>
      <c r="AT635" s="1">
        <f>$A635*$B635</f>
        <v>0</v>
      </c>
      <c r="AU635" s="1">
        <f>$A635*$O635</f>
        <v>0</v>
      </c>
      <c r="AV635" s="1">
        <f>IF($R635=0,0,INT($A635/$R635))</f>
        <v>0</v>
      </c>
      <c r="AW635" s="1">
        <f>$A635-$AV635*$R635</f>
        <v>0</v>
      </c>
    </row>
    <row r="636" ht="24.95" customHeight="1" outlineLevel="3" s="1" customFormat="1">
      <c r="A636" s="15"/>
      <c r="B636" s="16">
        <v>990</v>
      </c>
      <c r="C636" s="17">
        <v>1386</v>
      </c>
      <c r="D636" s="16">
        <v>23859</v>
      </c>
      <c r="E636" s="18"/>
      <c r="F636" s="18" t="s">
        <v>1372</v>
      </c>
      <c r="G636" s="18" t="s">
        <v>2149</v>
      </c>
      <c r="H636" s="18" t="s">
        <v>86</v>
      </c>
      <c r="I636" s="18" t="s">
        <v>74</v>
      </c>
      <c r="J636" s="16">
        <v>2025</v>
      </c>
      <c r="K636" s="18" t="s">
        <v>2150</v>
      </c>
      <c r="L636" s="16">
        <v>9785961480429</v>
      </c>
      <c r="M636" s="18" t="s">
        <v>2151</v>
      </c>
      <c r="N636" s="16">
        <v>679</v>
      </c>
      <c r="O636" s="19">
        <v>0.79</v>
      </c>
      <c r="P636" s="16">
        <v>140</v>
      </c>
      <c r="Q636" s="16">
        <v>220</v>
      </c>
      <c r="R636" s="16">
        <v>6</v>
      </c>
      <c r="S636" s="18" t="s">
        <v>43</v>
      </c>
      <c r="T636" s="18"/>
      <c r="U636" s="17">
        <v>2000</v>
      </c>
      <c r="V636" s="18" t="s">
        <v>44</v>
      </c>
      <c r="W636" s="18" t="s">
        <v>69</v>
      </c>
      <c r="X636" s="16">
        <v>10</v>
      </c>
      <c r="Y636" s="43" t="str">
        <f>HYPERLINK("https://api-enni.alpina.ru/FilePrivilegesApproval/163","https://api-enni.alpina.ru/FilePrivilegesApproval/163")</f>
        <v>https://api-enni.alpina.ru/FilePrivilegesApproval/163</v>
      </c>
      <c r="Z636" s="18"/>
      <c r="AS636" s="1">
        <f>IF($A636&lt;&gt;0,1,0)</f>
        <v>0</v>
      </c>
      <c r="AT636" s="1">
        <f>$A636*$B636</f>
        <v>0</v>
      </c>
      <c r="AU636" s="1">
        <f>$A636*$O636</f>
        <v>0</v>
      </c>
      <c r="AV636" s="1">
        <f>IF($R636=0,0,INT($A636/$R636))</f>
        <v>0</v>
      </c>
      <c r="AW636" s="1">
        <f>$A636-$AV636*$R636</f>
        <v>0</v>
      </c>
    </row>
    <row r="637" ht="24.95" customHeight="1" outlineLevel="3" s="1" customFormat="1">
      <c r="A637" s="15"/>
      <c r="B637" s="16">
        <v>690</v>
      </c>
      <c r="C637" s="17">
        <v>1035</v>
      </c>
      <c r="D637" s="16">
        <v>28953</v>
      </c>
      <c r="E637" s="18"/>
      <c r="F637" s="18" t="s">
        <v>2152</v>
      </c>
      <c r="G637" s="18" t="s">
        <v>2153</v>
      </c>
      <c r="H637" s="18" t="s">
        <v>86</v>
      </c>
      <c r="I637" s="18" t="s">
        <v>74</v>
      </c>
      <c r="J637" s="16">
        <v>2025</v>
      </c>
      <c r="K637" s="18" t="s">
        <v>2154</v>
      </c>
      <c r="L637" s="16">
        <v>9785961490800</v>
      </c>
      <c r="M637" s="18" t="s">
        <v>2155</v>
      </c>
      <c r="N637" s="16">
        <v>312</v>
      </c>
      <c r="O637" s="19">
        <v>0.47</v>
      </c>
      <c r="P637" s="16">
        <v>150</v>
      </c>
      <c r="Q637" s="16">
        <v>220</v>
      </c>
      <c r="R637" s="16">
        <v>5</v>
      </c>
      <c r="S637" s="18" t="s">
        <v>43</v>
      </c>
      <c r="T637" s="18"/>
      <c r="U637" s="17">
        <v>1000</v>
      </c>
      <c r="V637" s="18" t="s">
        <v>77</v>
      </c>
      <c r="W637" s="18" t="s">
        <v>69</v>
      </c>
      <c r="X637" s="16">
        <v>10</v>
      </c>
      <c r="Y637" s="43" t="str">
        <f>HYPERLINK("https://api-enni.alpina.ru/FilePrivilegesApproval/571","https://api-enni.alpina.ru/FilePrivilegesApproval/571")</f>
        <v>https://api-enni.alpina.ru/FilePrivilegesApproval/571</v>
      </c>
      <c r="Z637" s="18"/>
      <c r="AS637" s="1">
        <f>IF($A637&lt;&gt;0,1,0)</f>
        <v>0</v>
      </c>
      <c r="AT637" s="1">
        <f>$A637*$B637</f>
        <v>0</v>
      </c>
      <c r="AU637" s="1">
        <f>$A637*$O637</f>
        <v>0</v>
      </c>
      <c r="AV637" s="1">
        <f>IF($R637=0,0,INT($A637/$R637))</f>
        <v>0</v>
      </c>
      <c r="AW637" s="1">
        <f>$A637-$AV637*$R637</f>
        <v>0</v>
      </c>
    </row>
    <row r="638" ht="24.95" customHeight="1" outlineLevel="3" s="1" customFormat="1">
      <c r="A638" s="25"/>
      <c r="B638" s="26">
        <v>590</v>
      </c>
      <c r="C638" s="26">
        <v>885</v>
      </c>
      <c r="D638" s="26">
        <v>28293</v>
      </c>
      <c r="E638" s="27"/>
      <c r="F638" s="27" t="s">
        <v>1329</v>
      </c>
      <c r="G638" s="27" t="s">
        <v>2156</v>
      </c>
      <c r="H638" s="27" t="s">
        <v>86</v>
      </c>
      <c r="I638" s="27"/>
      <c r="J638" s="26">
        <v>2026</v>
      </c>
      <c r="K638" s="27" t="s">
        <v>2157</v>
      </c>
      <c r="L638" s="26">
        <v>9785961480269</v>
      </c>
      <c r="M638" s="27" t="s">
        <v>2158</v>
      </c>
      <c r="N638" s="26">
        <v>216</v>
      </c>
      <c r="O638" s="28">
        <v>0.36</v>
      </c>
      <c r="P638" s="26">
        <v>150</v>
      </c>
      <c r="Q638" s="26">
        <v>220</v>
      </c>
      <c r="R638" s="26">
        <v>10</v>
      </c>
      <c r="S638" s="27" t="s">
        <v>43</v>
      </c>
      <c r="T638" s="27"/>
      <c r="U638" s="29">
        <v>1000</v>
      </c>
      <c r="V638" s="27" t="s">
        <v>77</v>
      </c>
      <c r="W638" s="27" t="s">
        <v>69</v>
      </c>
      <c r="X638" s="26">
        <v>10</v>
      </c>
      <c r="Y638" s="45" t="str">
        <f>HYPERLINK("https://api-enni.alpina.ru/FilePrivilegesApproval/300","https://api-enni.alpina.ru/FilePrivilegesApproval/300")</f>
        <v>https://api-enni.alpina.ru/FilePrivilegesApproval/300</v>
      </c>
      <c r="Z638" s="27" t="s">
        <v>717</v>
      </c>
      <c r="AS638" s="1">
        <f>IF($A638&lt;&gt;0,1,0)</f>
        <v>0</v>
      </c>
      <c r="AT638" s="1">
        <f>$A638*$B638</f>
        <v>0</v>
      </c>
      <c r="AU638" s="1">
        <f>$A638*$O638</f>
        <v>0</v>
      </c>
      <c r="AV638" s="1">
        <f>IF($R638=0,0,INT($A638/$R638))</f>
        <v>0</v>
      </c>
      <c r="AW638" s="1">
        <f>$A638-$AV638*$R638</f>
        <v>0</v>
      </c>
    </row>
    <row r="639" ht="24.95" customHeight="1" outlineLevel="3" s="1" customFormat="1">
      <c r="A639" s="15"/>
      <c r="B639" s="16">
        <v>690</v>
      </c>
      <c r="C639" s="17">
        <v>1035</v>
      </c>
      <c r="D639" s="16">
        <v>32181</v>
      </c>
      <c r="E639" s="18"/>
      <c r="F639" s="18" t="s">
        <v>2159</v>
      </c>
      <c r="G639" s="18" t="s">
        <v>2160</v>
      </c>
      <c r="H639" s="18" t="s">
        <v>95</v>
      </c>
      <c r="I639" s="18"/>
      <c r="J639" s="16">
        <v>2024</v>
      </c>
      <c r="K639" s="18" t="s">
        <v>2161</v>
      </c>
      <c r="L639" s="16">
        <v>9785206004397</v>
      </c>
      <c r="M639" s="18" t="s">
        <v>2162</v>
      </c>
      <c r="N639" s="16">
        <v>272</v>
      </c>
      <c r="O639" s="19">
        <v>0.43</v>
      </c>
      <c r="P639" s="16">
        <v>150</v>
      </c>
      <c r="Q639" s="16">
        <v>220</v>
      </c>
      <c r="R639" s="16">
        <v>5</v>
      </c>
      <c r="S639" s="18" t="s">
        <v>43</v>
      </c>
      <c r="T639" s="18"/>
      <c r="U639" s="17">
        <v>1500</v>
      </c>
      <c r="V639" s="18" t="s">
        <v>77</v>
      </c>
      <c r="W639" s="18" t="s">
        <v>69</v>
      </c>
      <c r="X639" s="16">
        <v>10</v>
      </c>
      <c r="Y639" s="43" t="str">
        <f>HYPERLINK("https://api-enni.alpina.ru/FilePrivilegesApproval/834","https://api-enni.alpina.ru/FilePrivilegesApproval/834")</f>
        <v>https://api-enni.alpina.ru/FilePrivilegesApproval/834</v>
      </c>
      <c r="Z639" s="18"/>
      <c r="AS639" s="1">
        <f>IF($A639&lt;&gt;0,1,0)</f>
        <v>0</v>
      </c>
      <c r="AT639" s="1">
        <f>$A639*$B639</f>
        <v>0</v>
      </c>
      <c r="AU639" s="1">
        <f>$A639*$O639</f>
        <v>0</v>
      </c>
      <c r="AV639" s="1">
        <f>IF($R639=0,0,INT($A639/$R639))</f>
        <v>0</v>
      </c>
      <c r="AW639" s="1">
        <f>$A639-$AV639*$R639</f>
        <v>0</v>
      </c>
    </row>
    <row r="640" ht="24.95" customHeight="1" outlineLevel="3" s="1" customFormat="1">
      <c r="A640" s="15"/>
      <c r="B640" s="16">
        <v>540</v>
      </c>
      <c r="C640" s="16">
        <v>837</v>
      </c>
      <c r="D640" s="16">
        <v>30065</v>
      </c>
      <c r="E640" s="18"/>
      <c r="F640" s="18" t="s">
        <v>469</v>
      </c>
      <c r="G640" s="18" t="s">
        <v>2163</v>
      </c>
      <c r="H640" s="18" t="s">
        <v>86</v>
      </c>
      <c r="I640" s="18" t="s">
        <v>74</v>
      </c>
      <c r="J640" s="16">
        <v>2026</v>
      </c>
      <c r="K640" s="18" t="s">
        <v>2164</v>
      </c>
      <c r="L640" s="16">
        <v>9785961494716</v>
      </c>
      <c r="M640" s="18" t="s">
        <v>2165</v>
      </c>
      <c r="N640" s="16">
        <v>160</v>
      </c>
      <c r="O640" s="19">
        <v>0.3</v>
      </c>
      <c r="P640" s="16">
        <v>150</v>
      </c>
      <c r="Q640" s="16">
        <v>220</v>
      </c>
      <c r="R640" s="16">
        <v>20</v>
      </c>
      <c r="S640" s="18" t="s">
        <v>43</v>
      </c>
      <c r="T640" s="18"/>
      <c r="U640" s="17">
        <v>2000</v>
      </c>
      <c r="V640" s="18" t="s">
        <v>77</v>
      </c>
      <c r="W640" s="18" t="s">
        <v>55</v>
      </c>
      <c r="X640" s="16">
        <v>10</v>
      </c>
      <c r="Y640" s="43" t="str">
        <f>HYPERLINK("https://api-enni.alpina.ru/FilePrivilegesApproval/1018","https://api-enni.alpina.ru/FilePrivilegesApproval/1018")</f>
        <v>https://api-enni.alpina.ru/FilePrivilegesApproval/1018</v>
      </c>
      <c r="Z640" s="18"/>
      <c r="AS640" s="1">
        <f>IF($A640&lt;&gt;0,1,0)</f>
        <v>0</v>
      </c>
      <c r="AT640" s="1">
        <f>$A640*$B640</f>
        <v>0</v>
      </c>
      <c r="AU640" s="1">
        <f>$A640*$O640</f>
        <v>0</v>
      </c>
      <c r="AV640" s="1">
        <f>IF($R640=0,0,INT($A640/$R640))</f>
        <v>0</v>
      </c>
      <c r="AW640" s="1">
        <f>$A640-$AV640*$R640</f>
        <v>0</v>
      </c>
    </row>
    <row r="641" ht="24.95" customHeight="1" outlineLevel="3" s="1" customFormat="1">
      <c r="A641" s="15"/>
      <c r="B641" s="16">
        <v>290</v>
      </c>
      <c r="C641" s="16">
        <v>464</v>
      </c>
      <c r="D641" s="16">
        <v>27502</v>
      </c>
      <c r="E641" s="18"/>
      <c r="F641" s="18" t="s">
        <v>2166</v>
      </c>
      <c r="G641" s="18" t="s">
        <v>2167</v>
      </c>
      <c r="H641" s="18" t="s">
        <v>86</v>
      </c>
      <c r="I641" s="18"/>
      <c r="J641" s="16">
        <v>2025</v>
      </c>
      <c r="K641" s="18" t="s">
        <v>2168</v>
      </c>
      <c r="L641" s="16">
        <v>9785961485394</v>
      </c>
      <c r="M641" s="18" t="s">
        <v>2169</v>
      </c>
      <c r="N641" s="16">
        <v>192</v>
      </c>
      <c r="O641" s="19">
        <v>0.13</v>
      </c>
      <c r="P641" s="16">
        <v>120</v>
      </c>
      <c r="Q641" s="16">
        <v>170</v>
      </c>
      <c r="R641" s="16">
        <v>30</v>
      </c>
      <c r="S641" s="18" t="s">
        <v>190</v>
      </c>
      <c r="T641" s="18"/>
      <c r="U641" s="17">
        <v>2000</v>
      </c>
      <c r="V641" s="18" t="s">
        <v>44</v>
      </c>
      <c r="W641" s="18" t="s">
        <v>69</v>
      </c>
      <c r="X641" s="16">
        <v>10</v>
      </c>
      <c r="Y641" s="43" t="str">
        <f>HYPERLINK("https://api-enni.alpina.ru/FilePrivilegesApproval/200","https://api-enni.alpina.ru/FilePrivilegesApproval/200")</f>
        <v>https://api-enni.alpina.ru/FilePrivilegesApproval/200</v>
      </c>
      <c r="Z641" s="18"/>
      <c r="AS641" s="1">
        <f>IF($A641&lt;&gt;0,1,0)</f>
        <v>0</v>
      </c>
      <c r="AT641" s="1">
        <f>$A641*$B641</f>
        <v>0</v>
      </c>
      <c r="AU641" s="1">
        <f>$A641*$O641</f>
        <v>0</v>
      </c>
      <c r="AV641" s="1">
        <f>IF($R641=0,0,INT($A641/$R641))</f>
        <v>0</v>
      </c>
      <c r="AW641" s="1">
        <f>$A641-$AV641*$R641</f>
        <v>0</v>
      </c>
    </row>
    <row r="642" ht="24.95" customHeight="1" outlineLevel="3" s="1" customFormat="1">
      <c r="A642" s="15"/>
      <c r="B642" s="16">
        <v>440</v>
      </c>
      <c r="C642" s="16">
        <v>682</v>
      </c>
      <c r="D642" s="16">
        <v>30016</v>
      </c>
      <c r="E642" s="18"/>
      <c r="F642" s="18" t="s">
        <v>2170</v>
      </c>
      <c r="G642" s="18" t="s">
        <v>2171</v>
      </c>
      <c r="H642" s="18" t="s">
        <v>86</v>
      </c>
      <c r="I642" s="18"/>
      <c r="J642" s="16">
        <v>2024</v>
      </c>
      <c r="K642" s="18" t="s">
        <v>2172</v>
      </c>
      <c r="L642" s="16">
        <v>9785961494563</v>
      </c>
      <c r="M642" s="18" t="s">
        <v>2173</v>
      </c>
      <c r="N642" s="16">
        <v>212</v>
      </c>
      <c r="O642" s="19">
        <v>0.21</v>
      </c>
      <c r="P642" s="16">
        <v>140</v>
      </c>
      <c r="Q642" s="16">
        <v>210</v>
      </c>
      <c r="R642" s="16">
        <v>18</v>
      </c>
      <c r="S642" s="18" t="s">
        <v>43</v>
      </c>
      <c r="T642" s="18"/>
      <c r="U642" s="17">
        <v>3000</v>
      </c>
      <c r="V642" s="18" t="s">
        <v>44</v>
      </c>
      <c r="W642" s="18" t="s">
        <v>45</v>
      </c>
      <c r="X642" s="16">
        <v>10</v>
      </c>
      <c r="Y642" s="43" t="str">
        <f>HYPERLINK("https://api-enni.alpina.ru/FilePrivilegesApproval/512","https://api-enni.alpina.ru/FilePrivilegesApproval/512")</f>
        <v>https://api-enni.alpina.ru/FilePrivilegesApproval/512</v>
      </c>
      <c r="Z642" s="18"/>
      <c r="AS642" s="1">
        <f>IF($A642&lt;&gt;0,1,0)</f>
        <v>0</v>
      </c>
      <c r="AT642" s="1">
        <f>$A642*$B642</f>
        <v>0</v>
      </c>
      <c r="AU642" s="1">
        <f>$A642*$O642</f>
        <v>0</v>
      </c>
      <c r="AV642" s="1">
        <f>IF($R642=0,0,INT($A642/$R642))</f>
        <v>0</v>
      </c>
      <c r="AW642" s="1">
        <f>$A642-$AV642*$R642</f>
        <v>0</v>
      </c>
    </row>
    <row r="643" ht="24.95" customHeight="1" outlineLevel="3" s="1" customFormat="1">
      <c r="A643" s="15"/>
      <c r="B643" s="16">
        <v>640</v>
      </c>
      <c r="C643" s="16">
        <v>960</v>
      </c>
      <c r="D643" s="16">
        <v>30381</v>
      </c>
      <c r="E643" s="18"/>
      <c r="F643" s="18" t="s">
        <v>2174</v>
      </c>
      <c r="G643" s="18" t="s">
        <v>2175</v>
      </c>
      <c r="H643" s="18" t="s">
        <v>86</v>
      </c>
      <c r="I643" s="18" t="s">
        <v>74</v>
      </c>
      <c r="J643" s="16">
        <v>2024</v>
      </c>
      <c r="K643" s="18" t="s">
        <v>2176</v>
      </c>
      <c r="L643" s="16">
        <v>9785961495409</v>
      </c>
      <c r="M643" s="18" t="s">
        <v>2177</v>
      </c>
      <c r="N643" s="16">
        <v>167</v>
      </c>
      <c r="O643" s="19">
        <v>0.21</v>
      </c>
      <c r="P643" s="16">
        <v>140</v>
      </c>
      <c r="Q643" s="16">
        <v>210</v>
      </c>
      <c r="R643" s="16">
        <v>20</v>
      </c>
      <c r="S643" s="18" t="s">
        <v>43</v>
      </c>
      <c r="T643" s="18"/>
      <c r="U643" s="17">
        <v>1500</v>
      </c>
      <c r="V643" s="18" t="s">
        <v>44</v>
      </c>
      <c r="W643" s="18" t="s">
        <v>91</v>
      </c>
      <c r="X643" s="16">
        <v>10</v>
      </c>
      <c r="Y643" s="43" t="str">
        <f>HYPERLINK("https://api-enni.alpina.ru/FilePrivilegesApproval/700","https://api-enni.alpina.ru/FilePrivilegesApproval/700")</f>
        <v>https://api-enni.alpina.ru/FilePrivilegesApproval/700</v>
      </c>
      <c r="Z643" s="18"/>
      <c r="AS643" s="1">
        <f>IF($A643&lt;&gt;0,1,0)</f>
        <v>0</v>
      </c>
      <c r="AT643" s="1">
        <f>$A643*$B643</f>
        <v>0</v>
      </c>
      <c r="AU643" s="1">
        <f>$A643*$O643</f>
        <v>0</v>
      </c>
      <c r="AV643" s="1">
        <f>IF($R643=0,0,INT($A643/$R643))</f>
        <v>0</v>
      </c>
      <c r="AW643" s="1">
        <f>$A643-$AV643*$R643</f>
        <v>0</v>
      </c>
    </row>
    <row r="644" ht="24.95" customHeight="1" outlineLevel="3" s="1" customFormat="1">
      <c r="A644" s="15"/>
      <c r="B644" s="16">
        <v>890</v>
      </c>
      <c r="C644" s="17">
        <v>1246</v>
      </c>
      <c r="D644" s="16">
        <v>35976</v>
      </c>
      <c r="E644" s="18"/>
      <c r="F644" s="18" t="s">
        <v>582</v>
      </c>
      <c r="G644" s="18" t="s">
        <v>2178</v>
      </c>
      <c r="H644" s="18" t="s">
        <v>95</v>
      </c>
      <c r="I644" s="18"/>
      <c r="J644" s="16">
        <v>2026</v>
      </c>
      <c r="K644" s="18" t="s">
        <v>2179</v>
      </c>
      <c r="L644" s="16">
        <v>9785206006148</v>
      </c>
      <c r="M644" s="18" t="s">
        <v>2180</v>
      </c>
      <c r="N644" s="16">
        <v>272</v>
      </c>
      <c r="O644" s="19">
        <v>0.42</v>
      </c>
      <c r="P644" s="16">
        <v>150</v>
      </c>
      <c r="Q644" s="16">
        <v>220</v>
      </c>
      <c r="R644" s="16">
        <v>10</v>
      </c>
      <c r="S644" s="18" t="s">
        <v>43</v>
      </c>
      <c r="T644" s="18"/>
      <c r="U644" s="17">
        <v>2000</v>
      </c>
      <c r="V644" s="18" t="s">
        <v>77</v>
      </c>
      <c r="W644" s="18" t="s">
        <v>69</v>
      </c>
      <c r="X644" s="16">
        <v>10</v>
      </c>
      <c r="Y644" s="43" t="str">
        <f>HYPERLINK("https://api-enni.alpina.ru/FilePrivilegesApproval/1162","https://api-enni.alpina.ru/FilePrivilegesApproval/1162")</f>
        <v>https://api-enni.alpina.ru/FilePrivilegesApproval/1162</v>
      </c>
      <c r="Z644" s="18"/>
      <c r="AS644" s="1">
        <f>IF($A644&lt;&gt;0,1,0)</f>
        <v>0</v>
      </c>
      <c r="AT644" s="1">
        <f>$A644*$B644</f>
        <v>0</v>
      </c>
      <c r="AU644" s="1">
        <f>$A644*$O644</f>
        <v>0</v>
      </c>
      <c r="AV644" s="1">
        <f>IF($R644=0,0,INT($A644/$R644))</f>
        <v>0</v>
      </c>
      <c r="AW644" s="1">
        <f>$A644-$AV644*$R644</f>
        <v>0</v>
      </c>
    </row>
    <row r="645" ht="24.95" customHeight="1" outlineLevel="3" s="1" customFormat="1">
      <c r="A645" s="15"/>
      <c r="B645" s="16">
        <v>990</v>
      </c>
      <c r="C645" s="17">
        <v>1386</v>
      </c>
      <c r="D645" s="16">
        <v>26432</v>
      </c>
      <c r="E645" s="18"/>
      <c r="F645" s="18" t="s">
        <v>2181</v>
      </c>
      <c r="G645" s="18" t="s">
        <v>2182</v>
      </c>
      <c r="H645" s="18" t="s">
        <v>86</v>
      </c>
      <c r="I645" s="18" t="s">
        <v>74</v>
      </c>
      <c r="J645" s="16">
        <v>2024</v>
      </c>
      <c r="K645" s="18" t="s">
        <v>2183</v>
      </c>
      <c r="L645" s="16">
        <v>9785961481655</v>
      </c>
      <c r="M645" s="18" t="s">
        <v>2184</v>
      </c>
      <c r="N645" s="16">
        <v>426</v>
      </c>
      <c r="O645" s="19">
        <v>0.53</v>
      </c>
      <c r="P645" s="16">
        <v>140</v>
      </c>
      <c r="Q645" s="16">
        <v>210</v>
      </c>
      <c r="R645" s="16">
        <v>10</v>
      </c>
      <c r="S645" s="18" t="s">
        <v>43</v>
      </c>
      <c r="T645" s="18"/>
      <c r="U645" s="17">
        <v>2000</v>
      </c>
      <c r="V645" s="18" t="s">
        <v>44</v>
      </c>
      <c r="W645" s="18" t="s">
        <v>69</v>
      </c>
      <c r="X645" s="16">
        <v>10</v>
      </c>
      <c r="Y645" s="43" t="str">
        <f>HYPERLINK("https://api-enni.alpina.ru/FilePrivilegesApproval/535","https://api-enni.alpina.ru/FilePrivilegesApproval/535")</f>
        <v>https://api-enni.alpina.ru/FilePrivilegesApproval/535</v>
      </c>
      <c r="Z645" s="18"/>
      <c r="AS645" s="1">
        <f>IF($A645&lt;&gt;0,1,0)</f>
        <v>0</v>
      </c>
      <c r="AT645" s="1">
        <f>$A645*$B645</f>
        <v>0</v>
      </c>
      <c r="AU645" s="1">
        <f>$A645*$O645</f>
        <v>0</v>
      </c>
      <c r="AV645" s="1">
        <f>IF($R645=0,0,INT($A645/$R645))</f>
        <v>0</v>
      </c>
      <c r="AW645" s="1">
        <f>$A645-$AV645*$R645</f>
        <v>0</v>
      </c>
    </row>
    <row r="646" ht="24.95" customHeight="1" outlineLevel="3" s="1" customFormat="1">
      <c r="A646" s="25"/>
      <c r="B646" s="26">
        <v>640</v>
      </c>
      <c r="C646" s="26">
        <v>960</v>
      </c>
      <c r="D646" s="26">
        <v>18864</v>
      </c>
      <c r="E646" s="27"/>
      <c r="F646" s="27" t="s">
        <v>974</v>
      </c>
      <c r="G646" s="27" t="s">
        <v>2185</v>
      </c>
      <c r="H646" s="27" t="s">
        <v>86</v>
      </c>
      <c r="I646" s="27" t="s">
        <v>74</v>
      </c>
      <c r="J646" s="26">
        <v>2026</v>
      </c>
      <c r="K646" s="27" t="s">
        <v>2186</v>
      </c>
      <c r="L646" s="26">
        <v>9785961475531</v>
      </c>
      <c r="M646" s="27" t="s">
        <v>2187</v>
      </c>
      <c r="N646" s="26">
        <v>300</v>
      </c>
      <c r="O646" s="28">
        <v>0.46</v>
      </c>
      <c r="P646" s="26">
        <v>150</v>
      </c>
      <c r="Q646" s="26">
        <v>220</v>
      </c>
      <c r="R646" s="26">
        <v>10</v>
      </c>
      <c r="S646" s="27" t="s">
        <v>43</v>
      </c>
      <c r="T646" s="27"/>
      <c r="U646" s="29">
        <v>1000</v>
      </c>
      <c r="V646" s="27" t="s">
        <v>77</v>
      </c>
      <c r="W646" s="27" t="s">
        <v>184</v>
      </c>
      <c r="X646" s="26">
        <v>10</v>
      </c>
      <c r="Y646" s="45" t="str">
        <f>HYPERLINK("https://api-enni.alpina.ru/FilePrivilegesApproval/152","https://api-enni.alpina.ru/FilePrivilegesApproval/152")</f>
        <v>https://api-enni.alpina.ru/FilePrivilegesApproval/152</v>
      </c>
      <c r="Z646" s="27"/>
      <c r="AS646" s="1">
        <f>IF($A646&lt;&gt;0,1,0)</f>
        <v>0</v>
      </c>
      <c r="AT646" s="1">
        <f>$A646*$B646</f>
        <v>0</v>
      </c>
      <c r="AU646" s="1">
        <f>$A646*$O646</f>
        <v>0</v>
      </c>
      <c r="AV646" s="1">
        <f>IF($R646=0,0,INT($A646/$R646))</f>
        <v>0</v>
      </c>
      <c r="AW646" s="1">
        <f>$A646-$AV646*$R646</f>
        <v>0</v>
      </c>
    </row>
    <row r="647" ht="24.95" customHeight="1" outlineLevel="3" s="1" customFormat="1">
      <c r="A647" s="15"/>
      <c r="B647" s="16">
        <v>690</v>
      </c>
      <c r="C647" s="17">
        <v>1035</v>
      </c>
      <c r="D647" s="16">
        <v>18863</v>
      </c>
      <c r="E647" s="18"/>
      <c r="F647" s="18" t="s">
        <v>974</v>
      </c>
      <c r="G647" s="18" t="s">
        <v>975</v>
      </c>
      <c r="H647" s="18" t="s">
        <v>86</v>
      </c>
      <c r="I647" s="18" t="s">
        <v>74</v>
      </c>
      <c r="J647" s="16">
        <v>2026</v>
      </c>
      <c r="K647" s="18" t="s">
        <v>976</v>
      </c>
      <c r="L647" s="16">
        <v>9785961475548</v>
      </c>
      <c r="M647" s="18" t="s">
        <v>977</v>
      </c>
      <c r="N647" s="16">
        <v>324</v>
      </c>
      <c r="O647" s="19">
        <v>0.49</v>
      </c>
      <c r="P647" s="16">
        <v>150</v>
      </c>
      <c r="Q647" s="16">
        <v>220</v>
      </c>
      <c r="R647" s="16">
        <v>10</v>
      </c>
      <c r="S647" s="18" t="s">
        <v>43</v>
      </c>
      <c r="T647" s="18"/>
      <c r="U647" s="17">
        <v>1000</v>
      </c>
      <c r="V647" s="18" t="s">
        <v>77</v>
      </c>
      <c r="W647" s="18" t="s">
        <v>184</v>
      </c>
      <c r="X647" s="16">
        <v>10</v>
      </c>
      <c r="Y647" s="43" t="str">
        <f>HYPERLINK("https://api-enni.alpina.ru/FilePrivilegesApproval/152","https://api-enni.alpina.ru/FilePrivilegesApproval/152")</f>
        <v>https://api-enni.alpina.ru/FilePrivilegesApproval/152</v>
      </c>
      <c r="Z647" s="18" t="s">
        <v>119</v>
      </c>
      <c r="AS647" s="1">
        <f>IF($A647&lt;&gt;0,1,0)</f>
        <v>0</v>
      </c>
      <c r="AT647" s="1">
        <f>$A647*$B647</f>
        <v>0</v>
      </c>
      <c r="AU647" s="1">
        <f>$A647*$O647</f>
        <v>0</v>
      </c>
      <c r="AV647" s="1">
        <f>IF($R647=0,0,INT($A647/$R647))</f>
        <v>0</v>
      </c>
      <c r="AW647" s="1">
        <f>$A647-$AV647*$R647</f>
        <v>0</v>
      </c>
    </row>
    <row r="648" ht="24.95" customHeight="1" outlineLevel="3" s="1" customFormat="1">
      <c r="A648" s="15"/>
      <c r="B648" s="16">
        <v>640</v>
      </c>
      <c r="C648" s="16">
        <v>960</v>
      </c>
      <c r="D648" s="16">
        <v>32291</v>
      </c>
      <c r="E648" s="18"/>
      <c r="F648" s="18" t="s">
        <v>978</v>
      </c>
      <c r="G648" s="18" t="s">
        <v>979</v>
      </c>
      <c r="H648" s="18" t="s">
        <v>86</v>
      </c>
      <c r="I648" s="18" t="s">
        <v>74</v>
      </c>
      <c r="J648" s="16">
        <v>2026</v>
      </c>
      <c r="K648" s="18" t="s">
        <v>980</v>
      </c>
      <c r="L648" s="16">
        <v>9785006302167</v>
      </c>
      <c r="M648" s="18" t="s">
        <v>981</v>
      </c>
      <c r="N648" s="16">
        <v>268</v>
      </c>
      <c r="O648" s="19">
        <v>0.43</v>
      </c>
      <c r="P648" s="16">
        <v>150</v>
      </c>
      <c r="Q648" s="16">
        <v>220</v>
      </c>
      <c r="R648" s="16">
        <v>14</v>
      </c>
      <c r="S648" s="18" t="s">
        <v>43</v>
      </c>
      <c r="T648" s="18"/>
      <c r="U648" s="17">
        <v>3000</v>
      </c>
      <c r="V648" s="18" t="s">
        <v>77</v>
      </c>
      <c r="W648" s="18" t="s">
        <v>69</v>
      </c>
      <c r="X648" s="16">
        <v>10</v>
      </c>
      <c r="Y648" s="43" t="str">
        <f>HYPERLINK("https://api-enni.alpina.ru/FilePrivilegesApproval/771","https://api-enni.alpina.ru/FilePrivilegesApproval/771")</f>
        <v>https://api-enni.alpina.ru/FilePrivilegesApproval/771</v>
      </c>
      <c r="Z648" s="18"/>
      <c r="AS648" s="1">
        <f>IF($A648&lt;&gt;0,1,0)</f>
        <v>0</v>
      </c>
      <c r="AT648" s="1">
        <f>$A648*$B648</f>
        <v>0</v>
      </c>
      <c r="AU648" s="1">
        <f>$A648*$O648</f>
        <v>0</v>
      </c>
      <c r="AV648" s="1">
        <f>IF($R648=0,0,INT($A648/$R648))</f>
        <v>0</v>
      </c>
      <c r="AW648" s="1">
        <f>$A648-$AV648*$R648</f>
        <v>0</v>
      </c>
    </row>
    <row r="649" ht="24.95" customHeight="1" outlineLevel="3" s="1" customFormat="1">
      <c r="A649" s="15"/>
      <c r="B649" s="16">
        <v>540</v>
      </c>
      <c r="C649" s="16">
        <v>837</v>
      </c>
      <c r="D649" s="16">
        <v>37413</v>
      </c>
      <c r="E649" s="18"/>
      <c r="F649" s="18" t="s">
        <v>978</v>
      </c>
      <c r="G649" s="18" t="s">
        <v>979</v>
      </c>
      <c r="H649" s="18" t="s">
        <v>86</v>
      </c>
      <c r="I649" s="18" t="s">
        <v>74</v>
      </c>
      <c r="J649" s="16">
        <v>2026</v>
      </c>
      <c r="K649" s="18" t="s">
        <v>2188</v>
      </c>
      <c r="L649" s="16">
        <v>9785006320093</v>
      </c>
      <c r="M649" s="18" t="s">
        <v>2189</v>
      </c>
      <c r="N649" s="16">
        <v>268</v>
      </c>
      <c r="O649" s="19">
        <v>0.34</v>
      </c>
      <c r="P649" s="16">
        <v>140</v>
      </c>
      <c r="Q649" s="16">
        <v>210</v>
      </c>
      <c r="R649" s="16">
        <v>16</v>
      </c>
      <c r="S649" s="18" t="s">
        <v>43</v>
      </c>
      <c r="T649" s="18"/>
      <c r="U649" s="17">
        <v>3000</v>
      </c>
      <c r="V649" s="18" t="s">
        <v>44</v>
      </c>
      <c r="W649" s="18" t="s">
        <v>69</v>
      </c>
      <c r="X649" s="16">
        <v>10</v>
      </c>
      <c r="Y649" s="43" t="str">
        <f>HYPERLINK("https://api-enni.alpina.ru/FilePrivilegesApproval/1195","https://api-enni.alpina.ru/FilePrivilegesApproval/1195")</f>
        <v>https://api-enni.alpina.ru/FilePrivilegesApproval/1195</v>
      </c>
      <c r="Z649" s="18" t="s">
        <v>835</v>
      </c>
      <c r="AS649" s="1">
        <f>IF($A649&lt;&gt;0,1,0)</f>
        <v>0</v>
      </c>
      <c r="AT649" s="1">
        <f>$A649*$B649</f>
        <v>0</v>
      </c>
      <c r="AU649" s="1">
        <f>$A649*$O649</f>
        <v>0</v>
      </c>
      <c r="AV649" s="1">
        <f>IF($R649=0,0,INT($A649/$R649))</f>
        <v>0</v>
      </c>
      <c r="AW649" s="1">
        <f>$A649-$AV649*$R649</f>
        <v>0</v>
      </c>
    </row>
    <row r="650" ht="24.95" customHeight="1" outlineLevel="3" s="1" customFormat="1">
      <c r="A650" s="15"/>
      <c r="B650" s="16">
        <v>690</v>
      </c>
      <c r="C650" s="17">
        <v>1035</v>
      </c>
      <c r="D650" s="16">
        <v>25680</v>
      </c>
      <c r="E650" s="18"/>
      <c r="F650" s="18" t="s">
        <v>982</v>
      </c>
      <c r="G650" s="18" t="s">
        <v>983</v>
      </c>
      <c r="H650" s="18" t="s">
        <v>86</v>
      </c>
      <c r="I650" s="18"/>
      <c r="J650" s="16">
        <v>2025</v>
      </c>
      <c r="K650" s="18" t="s">
        <v>984</v>
      </c>
      <c r="L650" s="16">
        <v>9785961474541</v>
      </c>
      <c r="M650" s="18" t="s">
        <v>985</v>
      </c>
      <c r="N650" s="16">
        <v>208</v>
      </c>
      <c r="O650" s="19">
        <v>0.33</v>
      </c>
      <c r="P650" s="16">
        <v>140</v>
      </c>
      <c r="Q650" s="16">
        <v>210</v>
      </c>
      <c r="R650" s="16">
        <v>10</v>
      </c>
      <c r="S650" s="18" t="s">
        <v>43</v>
      </c>
      <c r="T650" s="18"/>
      <c r="U650" s="17">
        <v>2000</v>
      </c>
      <c r="V650" s="18" t="s">
        <v>44</v>
      </c>
      <c r="W650" s="18" t="s">
        <v>69</v>
      </c>
      <c r="X650" s="16">
        <v>10</v>
      </c>
      <c r="Y650" s="43" t="str">
        <f>HYPERLINK("https://api-enni.alpina.ru/FilePrivilegesApproval/307","https://api-enni.alpina.ru/FilePrivilegesApproval/307")</f>
        <v>https://api-enni.alpina.ru/FilePrivilegesApproval/307</v>
      </c>
      <c r="Z650" s="18"/>
      <c r="AS650" s="1">
        <f>IF($A650&lt;&gt;0,1,0)</f>
        <v>0</v>
      </c>
      <c r="AT650" s="1">
        <f>$A650*$B650</f>
        <v>0</v>
      </c>
      <c r="AU650" s="1">
        <f>$A650*$O650</f>
        <v>0</v>
      </c>
      <c r="AV650" s="1">
        <f>IF($R650=0,0,INT($A650/$R650))</f>
        <v>0</v>
      </c>
      <c r="AW650" s="1">
        <f>$A650-$AV650*$R650</f>
        <v>0</v>
      </c>
    </row>
    <row r="651" ht="24.95" customHeight="1" outlineLevel="3" s="1" customFormat="1">
      <c r="A651" s="15"/>
      <c r="B651" s="16">
        <v>790</v>
      </c>
      <c r="C651" s="17">
        <v>1146</v>
      </c>
      <c r="D651" s="16">
        <v>29995</v>
      </c>
      <c r="E651" s="18"/>
      <c r="F651" s="18" t="s">
        <v>982</v>
      </c>
      <c r="G651" s="18" t="s">
        <v>983</v>
      </c>
      <c r="H651" s="18" t="s">
        <v>86</v>
      </c>
      <c r="I651" s="18"/>
      <c r="J651" s="16">
        <v>2025</v>
      </c>
      <c r="K651" s="18" t="s">
        <v>2190</v>
      </c>
      <c r="L651" s="16">
        <v>9785961494532</v>
      </c>
      <c r="M651" s="18" t="s">
        <v>2191</v>
      </c>
      <c r="N651" s="16">
        <v>208</v>
      </c>
      <c r="O651" s="19">
        <v>0.41</v>
      </c>
      <c r="P651" s="16">
        <v>150</v>
      </c>
      <c r="Q651" s="16">
        <v>220</v>
      </c>
      <c r="R651" s="16">
        <v>16</v>
      </c>
      <c r="S651" s="18" t="s">
        <v>43</v>
      </c>
      <c r="T651" s="18"/>
      <c r="U651" s="17">
        <v>2000</v>
      </c>
      <c r="V651" s="18" t="s">
        <v>77</v>
      </c>
      <c r="W651" s="18" t="s">
        <v>69</v>
      </c>
      <c r="X651" s="16">
        <v>10</v>
      </c>
      <c r="Y651" s="43" t="str">
        <f>HYPERLINK("https://api-enni.alpina.ru/FilePrivilegesApproval/307","https://api-enni.alpina.ru/FilePrivilegesApproval/307")</f>
        <v>https://api-enni.alpina.ru/FilePrivilegesApproval/307</v>
      </c>
      <c r="Z651" s="18"/>
      <c r="AS651" s="1">
        <f>IF($A651&lt;&gt;0,1,0)</f>
        <v>0</v>
      </c>
      <c r="AT651" s="1">
        <f>$A651*$B651</f>
        <v>0</v>
      </c>
      <c r="AU651" s="1">
        <f>$A651*$O651</f>
        <v>0</v>
      </c>
      <c r="AV651" s="1">
        <f>IF($R651=0,0,INT($A651/$R651))</f>
        <v>0</v>
      </c>
      <c r="AW651" s="1">
        <f>$A651-$AV651*$R651</f>
        <v>0</v>
      </c>
    </row>
    <row r="652" ht="24.95" customHeight="1" outlineLevel="3" s="1" customFormat="1">
      <c r="A652" s="15"/>
      <c r="B652" s="16">
        <v>650</v>
      </c>
      <c r="C652" s="16">
        <v>975</v>
      </c>
      <c r="D652" s="16">
        <v>35329</v>
      </c>
      <c r="E652" s="18"/>
      <c r="F652" s="18" t="s">
        <v>2192</v>
      </c>
      <c r="G652" s="18" t="s">
        <v>2193</v>
      </c>
      <c r="H652" s="18" t="s">
        <v>86</v>
      </c>
      <c r="I652" s="18" t="s">
        <v>74</v>
      </c>
      <c r="J652" s="16">
        <v>2026</v>
      </c>
      <c r="K652" s="18" t="s">
        <v>2194</v>
      </c>
      <c r="L652" s="16">
        <v>9785006309982</v>
      </c>
      <c r="M652" s="18" t="s">
        <v>2195</v>
      </c>
      <c r="N652" s="16">
        <v>317</v>
      </c>
      <c r="O652" s="19">
        <v>0.48</v>
      </c>
      <c r="P652" s="16">
        <v>150</v>
      </c>
      <c r="Q652" s="16">
        <v>220</v>
      </c>
      <c r="R652" s="16">
        <v>12</v>
      </c>
      <c r="S652" s="18" t="s">
        <v>43</v>
      </c>
      <c r="T652" s="18"/>
      <c r="U652" s="17">
        <v>3000</v>
      </c>
      <c r="V652" s="18" t="s">
        <v>77</v>
      </c>
      <c r="W652" s="18" t="s">
        <v>69</v>
      </c>
      <c r="X652" s="16">
        <v>10</v>
      </c>
      <c r="Y652" s="43" t="str">
        <f>HYPERLINK("https://api-enni.alpina.ru/FilePrivilegesApproval/1152","https://api-enni.alpina.ru/FilePrivilegesApproval/1152")</f>
        <v>https://api-enni.alpina.ru/FilePrivilegesApproval/1152</v>
      </c>
      <c r="Z652" s="18" t="s">
        <v>773</v>
      </c>
      <c r="AS652" s="1">
        <f>IF($A652&lt;&gt;0,1,0)</f>
        <v>0</v>
      </c>
      <c r="AT652" s="1">
        <f>$A652*$B652</f>
        <v>0</v>
      </c>
      <c r="AU652" s="1">
        <f>$A652*$O652</f>
        <v>0</v>
      </c>
      <c r="AV652" s="1">
        <f>IF($R652=0,0,INT($A652/$R652))</f>
        <v>0</v>
      </c>
      <c r="AW652" s="1">
        <f>$A652-$AV652*$R652</f>
        <v>0</v>
      </c>
    </row>
    <row r="653" ht="24.95" customHeight="1" outlineLevel="3" s="1" customFormat="1">
      <c r="A653" s="15"/>
      <c r="B653" s="16">
        <v>790</v>
      </c>
      <c r="C653" s="17">
        <v>1146</v>
      </c>
      <c r="D653" s="16">
        <v>36419</v>
      </c>
      <c r="E653" s="18"/>
      <c r="F653" s="18" t="s">
        <v>1649</v>
      </c>
      <c r="G653" s="18" t="s">
        <v>2196</v>
      </c>
      <c r="H653" s="18" t="s">
        <v>86</v>
      </c>
      <c r="I653" s="18" t="s">
        <v>74</v>
      </c>
      <c r="J653" s="16">
        <v>2025</v>
      </c>
      <c r="K653" s="18" t="s">
        <v>2197</v>
      </c>
      <c r="L653" s="16">
        <v>9785006316966</v>
      </c>
      <c r="M653" s="18" t="s">
        <v>2198</v>
      </c>
      <c r="N653" s="16">
        <v>444</v>
      </c>
      <c r="O653" s="19">
        <v>0.62</v>
      </c>
      <c r="P653" s="16">
        <v>150</v>
      </c>
      <c r="Q653" s="16">
        <v>220</v>
      </c>
      <c r="R653" s="16">
        <v>5</v>
      </c>
      <c r="S653" s="18" t="s">
        <v>43</v>
      </c>
      <c r="T653" s="18"/>
      <c r="U653" s="17">
        <v>1000</v>
      </c>
      <c r="V653" s="18" t="s">
        <v>77</v>
      </c>
      <c r="W653" s="18" t="s">
        <v>184</v>
      </c>
      <c r="X653" s="16">
        <v>10</v>
      </c>
      <c r="Y653" s="43" t="str">
        <f>HYPERLINK("https://api-enni.alpina.ru/FilePrivilegesApproval/1108","https://api-enni.alpina.ru/FilePrivilegesApproval/1108")</f>
        <v>https://api-enni.alpina.ru/FilePrivilegesApproval/1108</v>
      </c>
      <c r="Z653" s="18"/>
      <c r="AS653" s="1">
        <f>IF($A653&lt;&gt;0,1,0)</f>
        <v>0</v>
      </c>
      <c r="AT653" s="1">
        <f>$A653*$B653</f>
        <v>0</v>
      </c>
      <c r="AU653" s="1">
        <f>$A653*$O653</f>
        <v>0</v>
      </c>
      <c r="AV653" s="1">
        <f>IF($R653=0,0,INT($A653/$R653))</f>
        <v>0</v>
      </c>
      <c r="AW653" s="1">
        <f>$A653-$AV653*$R653</f>
        <v>0</v>
      </c>
    </row>
    <row r="654" ht="24.95" customHeight="1" outlineLevel="3" s="1" customFormat="1">
      <c r="A654" s="15"/>
      <c r="B654" s="16">
        <v>690</v>
      </c>
      <c r="C654" s="17">
        <v>1035</v>
      </c>
      <c r="D654" s="16">
        <v>28772</v>
      </c>
      <c r="E654" s="18"/>
      <c r="F654" s="18" t="s">
        <v>2199</v>
      </c>
      <c r="G654" s="18" t="s">
        <v>2200</v>
      </c>
      <c r="H654" s="18" t="s">
        <v>86</v>
      </c>
      <c r="I654" s="18" t="s">
        <v>87</v>
      </c>
      <c r="J654" s="16">
        <v>2026</v>
      </c>
      <c r="K654" s="18" t="s">
        <v>2201</v>
      </c>
      <c r="L654" s="16">
        <v>9785961490008</v>
      </c>
      <c r="M654" s="18" t="s">
        <v>2202</v>
      </c>
      <c r="N654" s="16">
        <v>304</v>
      </c>
      <c r="O654" s="19">
        <v>0.46</v>
      </c>
      <c r="P654" s="16">
        <v>150</v>
      </c>
      <c r="Q654" s="16">
        <v>220</v>
      </c>
      <c r="R654" s="16">
        <v>14</v>
      </c>
      <c r="S654" s="18" t="s">
        <v>43</v>
      </c>
      <c r="T654" s="18"/>
      <c r="U654" s="17">
        <v>2000</v>
      </c>
      <c r="V654" s="18" t="s">
        <v>77</v>
      </c>
      <c r="W654" s="18" t="s">
        <v>69</v>
      </c>
      <c r="X654" s="16">
        <v>10</v>
      </c>
      <c r="Y654" s="43" t="str">
        <f>HYPERLINK("https://api-enni.alpina.ru/FilePrivilegesApproval/1009","https://api-enni.alpina.ru/FilePrivilegesApproval/1009")</f>
        <v>https://api-enni.alpina.ru/FilePrivilegesApproval/1009</v>
      </c>
      <c r="Z654" s="18"/>
      <c r="AS654" s="1">
        <f>IF($A654&lt;&gt;0,1,0)</f>
        <v>0</v>
      </c>
      <c r="AT654" s="1">
        <f>$A654*$B654</f>
        <v>0</v>
      </c>
      <c r="AU654" s="1">
        <f>$A654*$O654</f>
        <v>0</v>
      </c>
      <c r="AV654" s="1">
        <f>IF($R654=0,0,INT($A654/$R654))</f>
        <v>0</v>
      </c>
      <c r="AW654" s="1">
        <f>$A654-$AV654*$R654</f>
        <v>0</v>
      </c>
    </row>
    <row r="655" ht="24.95" customHeight="1" outlineLevel="3" s="1" customFormat="1">
      <c r="A655" s="15"/>
      <c r="B655" s="16">
        <v>590</v>
      </c>
      <c r="C655" s="16">
        <v>885</v>
      </c>
      <c r="D655" s="16">
        <v>31363</v>
      </c>
      <c r="E655" s="18"/>
      <c r="F655" s="18" t="s">
        <v>2203</v>
      </c>
      <c r="G655" s="18" t="s">
        <v>2204</v>
      </c>
      <c r="H655" s="18" t="s">
        <v>86</v>
      </c>
      <c r="I655" s="18" t="s">
        <v>74</v>
      </c>
      <c r="J655" s="16">
        <v>2025</v>
      </c>
      <c r="K655" s="18" t="s">
        <v>2205</v>
      </c>
      <c r="L655" s="16">
        <v>9785961498349</v>
      </c>
      <c r="M655" s="18" t="s">
        <v>2206</v>
      </c>
      <c r="N655" s="16">
        <v>204</v>
      </c>
      <c r="O655" s="19">
        <v>0.29</v>
      </c>
      <c r="P655" s="16">
        <v>140</v>
      </c>
      <c r="Q655" s="16">
        <v>210</v>
      </c>
      <c r="R655" s="16">
        <v>20</v>
      </c>
      <c r="S655" s="18" t="s">
        <v>90</v>
      </c>
      <c r="T655" s="18"/>
      <c r="U655" s="17">
        <v>2000</v>
      </c>
      <c r="V655" s="18" t="s">
        <v>77</v>
      </c>
      <c r="W655" s="18" t="s">
        <v>69</v>
      </c>
      <c r="X655" s="16">
        <v>10</v>
      </c>
      <c r="Y655" s="43" t="str">
        <f>HYPERLINK("https://api-enni.alpina.ru/FilePrivilegesApproval/883","https://api-enni.alpina.ru/FilePrivilegesApproval/883")</f>
        <v>https://api-enni.alpina.ru/FilePrivilegesApproval/883</v>
      </c>
      <c r="Z655" s="18"/>
      <c r="AS655" s="1">
        <f>IF($A655&lt;&gt;0,1,0)</f>
        <v>0</v>
      </c>
      <c r="AT655" s="1">
        <f>$A655*$B655</f>
        <v>0</v>
      </c>
      <c r="AU655" s="1">
        <f>$A655*$O655</f>
        <v>0</v>
      </c>
      <c r="AV655" s="1">
        <f>IF($R655=0,0,INT($A655/$R655))</f>
        <v>0</v>
      </c>
      <c r="AW655" s="1">
        <f>$A655-$AV655*$R655</f>
        <v>0</v>
      </c>
    </row>
    <row r="656" ht="24.95" customHeight="1" outlineLevel="3" s="1" customFormat="1">
      <c r="A656" s="15"/>
      <c r="B656" s="16">
        <v>790</v>
      </c>
      <c r="C656" s="17">
        <v>1146</v>
      </c>
      <c r="D656" s="16">
        <v>25341</v>
      </c>
      <c r="E656" s="18"/>
      <c r="F656" s="18" t="s">
        <v>2207</v>
      </c>
      <c r="G656" s="18" t="s">
        <v>2208</v>
      </c>
      <c r="H656" s="18" t="s">
        <v>86</v>
      </c>
      <c r="I656" s="18"/>
      <c r="J656" s="16">
        <v>2026</v>
      </c>
      <c r="K656" s="18" t="s">
        <v>2209</v>
      </c>
      <c r="L656" s="16">
        <v>9785961477573</v>
      </c>
      <c r="M656" s="18" t="s">
        <v>2210</v>
      </c>
      <c r="N656" s="16">
        <v>304</v>
      </c>
      <c r="O656" s="19">
        <v>0.38</v>
      </c>
      <c r="P656" s="16">
        <v>140</v>
      </c>
      <c r="Q656" s="16">
        <v>210</v>
      </c>
      <c r="R656" s="16">
        <v>8</v>
      </c>
      <c r="S656" s="18" t="s">
        <v>43</v>
      </c>
      <c r="T656" s="18"/>
      <c r="U656" s="17">
        <v>1000</v>
      </c>
      <c r="V656" s="18" t="s">
        <v>44</v>
      </c>
      <c r="W656" s="18" t="s">
        <v>45</v>
      </c>
      <c r="X656" s="16">
        <v>10</v>
      </c>
      <c r="Y656" s="43" t="str">
        <f>HYPERLINK("https://api-enni.alpina.ru/FilePrivilegesApproval/291","https://api-enni.alpina.ru/FilePrivilegesApproval/291")</f>
        <v>https://api-enni.alpina.ru/FilePrivilegesApproval/291</v>
      </c>
      <c r="Z656" s="18"/>
      <c r="AS656" s="1">
        <f>IF($A656&lt;&gt;0,1,0)</f>
        <v>0</v>
      </c>
      <c r="AT656" s="1">
        <f>$A656*$B656</f>
        <v>0</v>
      </c>
      <c r="AU656" s="1">
        <f>$A656*$O656</f>
        <v>0</v>
      </c>
      <c r="AV656" s="1">
        <f>IF($R656=0,0,INT($A656/$R656))</f>
        <v>0</v>
      </c>
      <c r="AW656" s="1">
        <f>$A656-$AV656*$R656</f>
        <v>0</v>
      </c>
    </row>
    <row r="657" ht="24.95" customHeight="1" outlineLevel="3" s="1" customFormat="1">
      <c r="A657" s="15"/>
      <c r="B657" s="16">
        <v>690</v>
      </c>
      <c r="C657" s="17">
        <v>1035</v>
      </c>
      <c r="D657" s="16">
        <v>25312</v>
      </c>
      <c r="E657" s="18"/>
      <c r="F657" s="18" t="s">
        <v>2211</v>
      </c>
      <c r="G657" s="18" t="s">
        <v>2212</v>
      </c>
      <c r="H657" s="18" t="s">
        <v>86</v>
      </c>
      <c r="I657" s="18" t="s">
        <v>74</v>
      </c>
      <c r="J657" s="16">
        <v>2025</v>
      </c>
      <c r="K657" s="18" t="s">
        <v>2213</v>
      </c>
      <c r="L657" s="16">
        <v>9785961477467</v>
      </c>
      <c r="M657" s="18" t="s">
        <v>2214</v>
      </c>
      <c r="N657" s="16">
        <v>342</v>
      </c>
      <c r="O657" s="19">
        <v>0.42</v>
      </c>
      <c r="P657" s="16">
        <v>150</v>
      </c>
      <c r="Q657" s="16">
        <v>210</v>
      </c>
      <c r="R657" s="16">
        <v>10</v>
      </c>
      <c r="S657" s="18" t="s">
        <v>43</v>
      </c>
      <c r="T657" s="18"/>
      <c r="U657" s="17">
        <v>1000</v>
      </c>
      <c r="V657" s="18" t="s">
        <v>44</v>
      </c>
      <c r="W657" s="18" t="s">
        <v>69</v>
      </c>
      <c r="X657" s="16">
        <v>10</v>
      </c>
      <c r="Y657" s="43" t="str">
        <f>HYPERLINK("https://api-enni.alpina.ru/FilePrivilegesApproval/300","https://api-enni.alpina.ru/FilePrivilegesApproval/300")</f>
        <v>https://api-enni.alpina.ru/FilePrivilegesApproval/300</v>
      </c>
      <c r="Z657" s="18"/>
      <c r="AS657" s="1">
        <f>IF($A657&lt;&gt;0,1,0)</f>
        <v>0</v>
      </c>
      <c r="AT657" s="1">
        <f>$A657*$B657</f>
        <v>0</v>
      </c>
      <c r="AU657" s="1">
        <f>$A657*$O657</f>
        <v>0</v>
      </c>
      <c r="AV657" s="1">
        <f>IF($R657=0,0,INT($A657/$R657))</f>
        <v>0</v>
      </c>
      <c r="AW657" s="1">
        <f>$A657-$AV657*$R657</f>
        <v>0</v>
      </c>
    </row>
    <row r="658" ht="24.95" customHeight="1" outlineLevel="3" s="1" customFormat="1">
      <c r="A658" s="25"/>
      <c r="B658" s="26">
        <v>890</v>
      </c>
      <c r="C658" s="29">
        <v>1246</v>
      </c>
      <c r="D658" s="26">
        <v>26639</v>
      </c>
      <c r="E658" s="27"/>
      <c r="F658" s="27" t="s">
        <v>2215</v>
      </c>
      <c r="G658" s="27" t="s">
        <v>2216</v>
      </c>
      <c r="H658" s="27" t="s">
        <v>86</v>
      </c>
      <c r="I658" s="27" t="s">
        <v>1696</v>
      </c>
      <c r="J658" s="26">
        <v>2025</v>
      </c>
      <c r="K658" s="27" t="s">
        <v>2217</v>
      </c>
      <c r="L658" s="26">
        <v>9785961482478</v>
      </c>
      <c r="M658" s="27" t="s">
        <v>2218</v>
      </c>
      <c r="N658" s="26">
        <v>602</v>
      </c>
      <c r="O658" s="28">
        <v>0.72</v>
      </c>
      <c r="P658" s="26">
        <v>140</v>
      </c>
      <c r="Q658" s="26">
        <v>210</v>
      </c>
      <c r="R658" s="26">
        <v>5</v>
      </c>
      <c r="S658" s="27" t="s">
        <v>43</v>
      </c>
      <c r="T658" s="27"/>
      <c r="U658" s="29">
        <v>1000</v>
      </c>
      <c r="V658" s="27" t="s">
        <v>44</v>
      </c>
      <c r="W658" s="27" t="s">
        <v>69</v>
      </c>
      <c r="X658" s="26">
        <v>10</v>
      </c>
      <c r="Y658" s="45" t="str">
        <f>HYPERLINK("https://api-enni.alpina.ru/FilePrivilegesApproval/746","https://api-enni.alpina.ru/FilePrivilegesApproval/746")</f>
        <v>https://api-enni.alpina.ru/FilePrivilegesApproval/746</v>
      </c>
      <c r="Z658" s="27"/>
      <c r="AS658" s="1">
        <f>IF($A658&lt;&gt;0,1,0)</f>
        <v>0</v>
      </c>
      <c r="AT658" s="1">
        <f>$A658*$B658</f>
        <v>0</v>
      </c>
      <c r="AU658" s="1">
        <f>$A658*$O658</f>
        <v>0</v>
      </c>
      <c r="AV658" s="1">
        <f>IF($R658=0,0,INT($A658/$R658))</f>
        <v>0</v>
      </c>
      <c r="AW658" s="1">
        <f>$A658-$AV658*$R658</f>
        <v>0</v>
      </c>
    </row>
    <row r="659" ht="24.95" customHeight="1" outlineLevel="3" s="1" customFormat="1">
      <c r="A659" s="15"/>
      <c r="B659" s="16">
        <v>590</v>
      </c>
      <c r="C659" s="16">
        <v>885</v>
      </c>
      <c r="D659" s="16">
        <v>31361</v>
      </c>
      <c r="E659" s="18"/>
      <c r="F659" s="18" t="s">
        <v>2219</v>
      </c>
      <c r="G659" s="18" t="s">
        <v>2220</v>
      </c>
      <c r="H659" s="18" t="s">
        <v>86</v>
      </c>
      <c r="I659" s="18"/>
      <c r="J659" s="16">
        <v>2025</v>
      </c>
      <c r="K659" s="18" t="s">
        <v>2221</v>
      </c>
      <c r="L659" s="16">
        <v>9785961498325</v>
      </c>
      <c r="M659" s="18" t="s">
        <v>2222</v>
      </c>
      <c r="N659" s="16">
        <v>230</v>
      </c>
      <c r="O659" s="19">
        <v>0.29</v>
      </c>
      <c r="P659" s="16">
        <v>140</v>
      </c>
      <c r="Q659" s="16">
        <v>210</v>
      </c>
      <c r="R659" s="16">
        <v>20</v>
      </c>
      <c r="S659" s="18" t="s">
        <v>43</v>
      </c>
      <c r="T659" s="18"/>
      <c r="U659" s="17">
        <v>5000</v>
      </c>
      <c r="V659" s="18" t="s">
        <v>44</v>
      </c>
      <c r="W659" s="18" t="s">
        <v>69</v>
      </c>
      <c r="X659" s="16">
        <v>10</v>
      </c>
      <c r="Y659" s="43" t="str">
        <f>HYPERLINK("","")</f>
      </c>
      <c r="Z659" s="18"/>
      <c r="AS659" s="1">
        <f>IF($A659&lt;&gt;0,1,0)</f>
        <v>0</v>
      </c>
      <c r="AT659" s="1">
        <f>$A659*$B659</f>
        <v>0</v>
      </c>
      <c r="AU659" s="1">
        <f>$A659*$O659</f>
        <v>0</v>
      </c>
      <c r="AV659" s="1">
        <f>IF($R659=0,0,INT($A659/$R659))</f>
        <v>0</v>
      </c>
      <c r="AW659" s="1">
        <f>$A659-$AV659*$R659</f>
        <v>0</v>
      </c>
    </row>
    <row r="660" ht="24.95" customHeight="1" outlineLevel="3" s="1" customFormat="1">
      <c r="A660" s="15"/>
      <c r="B660" s="16">
        <v>640</v>
      </c>
      <c r="C660" s="16">
        <v>960</v>
      </c>
      <c r="D660" s="16">
        <v>28827</v>
      </c>
      <c r="E660" s="18"/>
      <c r="F660" s="18" t="s">
        <v>1165</v>
      </c>
      <c r="G660" s="18" t="s">
        <v>2223</v>
      </c>
      <c r="H660" s="18" t="s">
        <v>86</v>
      </c>
      <c r="I660" s="18"/>
      <c r="J660" s="16">
        <v>2025</v>
      </c>
      <c r="K660" s="18" t="s">
        <v>2224</v>
      </c>
      <c r="L660" s="16">
        <v>9785961490183</v>
      </c>
      <c r="M660" s="18" t="s">
        <v>2225</v>
      </c>
      <c r="N660" s="16">
        <v>252</v>
      </c>
      <c r="O660" s="19">
        <v>0.41</v>
      </c>
      <c r="P660" s="16">
        <v>150</v>
      </c>
      <c r="Q660" s="16">
        <v>220</v>
      </c>
      <c r="R660" s="16">
        <v>14</v>
      </c>
      <c r="S660" s="18" t="s">
        <v>43</v>
      </c>
      <c r="T660" s="18"/>
      <c r="U660" s="17">
        <v>2000</v>
      </c>
      <c r="V660" s="18" t="s">
        <v>77</v>
      </c>
      <c r="W660" s="18" t="s">
        <v>69</v>
      </c>
      <c r="X660" s="16">
        <v>10</v>
      </c>
      <c r="Y660" s="43" t="str">
        <f>HYPERLINK("https://api-enni.alpina.ru/FilePrivilegesApproval/396","https://api-enni.alpina.ru/FilePrivilegesApproval/396")</f>
        <v>https://api-enni.alpina.ru/FilePrivilegesApproval/396</v>
      </c>
      <c r="Z660" s="18"/>
      <c r="AS660" s="1">
        <f>IF($A660&lt;&gt;0,1,0)</f>
        <v>0</v>
      </c>
      <c r="AT660" s="1">
        <f>$A660*$B660</f>
        <v>0</v>
      </c>
      <c r="AU660" s="1">
        <f>$A660*$O660</f>
        <v>0</v>
      </c>
      <c r="AV660" s="1">
        <f>IF($R660=0,0,INT($A660/$R660))</f>
        <v>0</v>
      </c>
      <c r="AW660" s="1">
        <f>$A660-$AV660*$R660</f>
        <v>0</v>
      </c>
    </row>
    <row r="661" ht="24.95" customHeight="1" outlineLevel="3" s="1" customFormat="1">
      <c r="A661" s="15"/>
      <c r="B661" s="16">
        <v>590</v>
      </c>
      <c r="C661" s="16">
        <v>885</v>
      </c>
      <c r="D661" s="16">
        <v>28023</v>
      </c>
      <c r="E661" s="18"/>
      <c r="F661" s="18" t="s">
        <v>2226</v>
      </c>
      <c r="G661" s="18" t="s">
        <v>2227</v>
      </c>
      <c r="H661" s="18" t="s">
        <v>86</v>
      </c>
      <c r="I661" s="18"/>
      <c r="J661" s="16">
        <v>2024</v>
      </c>
      <c r="K661" s="18" t="s">
        <v>2228</v>
      </c>
      <c r="L661" s="16">
        <v>9785961487046</v>
      </c>
      <c r="M661" s="18" t="s">
        <v>2229</v>
      </c>
      <c r="N661" s="16">
        <v>235</v>
      </c>
      <c r="O661" s="19">
        <v>0.4</v>
      </c>
      <c r="P661" s="16">
        <v>150</v>
      </c>
      <c r="Q661" s="16">
        <v>220</v>
      </c>
      <c r="R661" s="16">
        <v>16</v>
      </c>
      <c r="S661" s="18" t="s">
        <v>43</v>
      </c>
      <c r="T661" s="18"/>
      <c r="U661" s="17">
        <v>2000</v>
      </c>
      <c r="V661" s="18" t="s">
        <v>77</v>
      </c>
      <c r="W661" s="18" t="s">
        <v>91</v>
      </c>
      <c r="X661" s="16">
        <v>10</v>
      </c>
      <c r="Y661" s="43" t="str">
        <f>HYPERLINK("https://api-enni.alpina.ru/FilePrivilegesApproval/379","https://api-enni.alpina.ru/FilePrivilegesApproval/379")</f>
        <v>https://api-enni.alpina.ru/FilePrivilegesApproval/379</v>
      </c>
      <c r="Z661" s="18"/>
      <c r="AS661" s="1">
        <f>IF($A661&lt;&gt;0,1,0)</f>
        <v>0</v>
      </c>
      <c r="AT661" s="1">
        <f>$A661*$B661</f>
        <v>0</v>
      </c>
      <c r="AU661" s="1">
        <f>$A661*$O661</f>
        <v>0</v>
      </c>
      <c r="AV661" s="1">
        <f>IF($R661=0,0,INT($A661/$R661))</f>
        <v>0</v>
      </c>
      <c r="AW661" s="1">
        <f>$A661-$AV661*$R661</f>
        <v>0</v>
      </c>
    </row>
    <row r="662" ht="24.95" customHeight="1" outlineLevel="3" s="1" customFormat="1">
      <c r="A662" s="15"/>
      <c r="B662" s="16">
        <v>540</v>
      </c>
      <c r="C662" s="16">
        <v>837</v>
      </c>
      <c r="D662" s="16">
        <v>24894</v>
      </c>
      <c r="E662" s="18"/>
      <c r="F662" s="18" t="s">
        <v>2230</v>
      </c>
      <c r="G662" s="18" t="s">
        <v>2231</v>
      </c>
      <c r="H662" s="18" t="s">
        <v>86</v>
      </c>
      <c r="I662" s="18" t="s">
        <v>74</v>
      </c>
      <c r="J662" s="16">
        <v>2023</v>
      </c>
      <c r="K662" s="18" t="s">
        <v>2232</v>
      </c>
      <c r="L662" s="16">
        <v>9785961480009</v>
      </c>
      <c r="M662" s="18" t="s">
        <v>2233</v>
      </c>
      <c r="N662" s="16">
        <v>128</v>
      </c>
      <c r="O662" s="19">
        <v>0.35</v>
      </c>
      <c r="P662" s="16">
        <v>170</v>
      </c>
      <c r="Q662" s="16">
        <v>230</v>
      </c>
      <c r="R662" s="16">
        <v>12</v>
      </c>
      <c r="S662" s="18" t="s">
        <v>52</v>
      </c>
      <c r="T662" s="18"/>
      <c r="U662" s="17">
        <v>2000</v>
      </c>
      <c r="V662" s="18" t="s">
        <v>77</v>
      </c>
      <c r="W662" s="18" t="s">
        <v>184</v>
      </c>
      <c r="X662" s="16">
        <v>10</v>
      </c>
      <c r="Y662" s="43" t="str">
        <f>HYPERLINK("https://api-enni.alpina.ru/FilePrivilegesApproval/163","https://api-enni.alpina.ru/FilePrivilegesApproval/163")</f>
        <v>https://api-enni.alpina.ru/FilePrivilegesApproval/163</v>
      </c>
      <c r="Z662" s="18"/>
      <c r="AS662" s="1">
        <f>IF($A662&lt;&gt;0,1,0)</f>
        <v>0</v>
      </c>
      <c r="AT662" s="1">
        <f>$A662*$B662</f>
        <v>0</v>
      </c>
      <c r="AU662" s="1">
        <f>$A662*$O662</f>
        <v>0</v>
      </c>
      <c r="AV662" s="1">
        <f>IF($R662=0,0,INT($A662/$R662))</f>
        <v>0</v>
      </c>
      <c r="AW662" s="1">
        <f>$A662-$AV662*$R662</f>
        <v>0</v>
      </c>
    </row>
    <row r="663" ht="24.95" customHeight="1" outlineLevel="3" s="1" customFormat="1">
      <c r="A663" s="15"/>
      <c r="B663" s="16">
        <v>440</v>
      </c>
      <c r="C663" s="16">
        <v>682</v>
      </c>
      <c r="D663" s="16">
        <v>28294</v>
      </c>
      <c r="E663" s="18"/>
      <c r="F663" s="18" t="s">
        <v>2234</v>
      </c>
      <c r="G663" s="18" t="s">
        <v>2235</v>
      </c>
      <c r="H663" s="18" t="s">
        <v>86</v>
      </c>
      <c r="I663" s="18" t="s">
        <v>65</v>
      </c>
      <c r="J663" s="16">
        <v>2025</v>
      </c>
      <c r="K663" s="18" t="s">
        <v>2236</v>
      </c>
      <c r="L663" s="16">
        <v>9785961480276</v>
      </c>
      <c r="M663" s="18" t="s">
        <v>2237</v>
      </c>
      <c r="N663" s="16">
        <v>206</v>
      </c>
      <c r="O663" s="19">
        <v>0.18</v>
      </c>
      <c r="P663" s="16">
        <v>140</v>
      </c>
      <c r="Q663" s="16">
        <v>210</v>
      </c>
      <c r="R663" s="16">
        <v>16</v>
      </c>
      <c r="S663" s="18" t="s">
        <v>43</v>
      </c>
      <c r="T663" s="18"/>
      <c r="U663" s="17">
        <v>2000</v>
      </c>
      <c r="V663" s="18" t="s">
        <v>44</v>
      </c>
      <c r="W663" s="18" t="s">
        <v>91</v>
      </c>
      <c r="X663" s="16">
        <v>10</v>
      </c>
      <c r="Y663" s="43" t="str">
        <f>HYPERLINK("https://api-enni.alpina.ru/FilePrivilegesApproval/388","https://api-enni.alpina.ru/FilePrivilegesApproval/388")</f>
        <v>https://api-enni.alpina.ru/FilePrivilegesApproval/388</v>
      </c>
      <c r="Z663" s="18"/>
      <c r="AS663" s="1">
        <f>IF($A663&lt;&gt;0,1,0)</f>
        <v>0</v>
      </c>
      <c r="AT663" s="1">
        <f>$A663*$B663</f>
        <v>0</v>
      </c>
      <c r="AU663" s="1">
        <f>$A663*$O663</f>
        <v>0</v>
      </c>
      <c r="AV663" s="1">
        <f>IF($R663=0,0,INT($A663/$R663))</f>
        <v>0</v>
      </c>
      <c r="AW663" s="1">
        <f>$A663-$AV663*$R663</f>
        <v>0</v>
      </c>
    </row>
    <row r="664" ht="24.95" customHeight="1" outlineLevel="3" s="1" customFormat="1">
      <c r="A664" s="25"/>
      <c r="B664" s="26">
        <v>540</v>
      </c>
      <c r="C664" s="26">
        <v>837</v>
      </c>
      <c r="D664" s="26">
        <v>26485</v>
      </c>
      <c r="E664" s="27"/>
      <c r="F664" s="27" t="s">
        <v>2238</v>
      </c>
      <c r="G664" s="27" t="s">
        <v>2239</v>
      </c>
      <c r="H664" s="27" t="s">
        <v>86</v>
      </c>
      <c r="I664" s="27" t="s">
        <v>74</v>
      </c>
      <c r="J664" s="26">
        <v>2024</v>
      </c>
      <c r="K664" s="27" t="s">
        <v>2240</v>
      </c>
      <c r="L664" s="26">
        <v>9785961481945</v>
      </c>
      <c r="M664" s="27" t="s">
        <v>2241</v>
      </c>
      <c r="N664" s="26">
        <v>320</v>
      </c>
      <c r="O664" s="28">
        <v>0.49</v>
      </c>
      <c r="P664" s="26">
        <v>150</v>
      </c>
      <c r="Q664" s="26">
        <v>220</v>
      </c>
      <c r="R664" s="26">
        <v>12</v>
      </c>
      <c r="S664" s="27" t="s">
        <v>43</v>
      </c>
      <c r="T664" s="27"/>
      <c r="U664" s="29">
        <v>2500</v>
      </c>
      <c r="V664" s="27" t="s">
        <v>77</v>
      </c>
      <c r="W664" s="27" t="s">
        <v>69</v>
      </c>
      <c r="X664" s="26">
        <v>10</v>
      </c>
      <c r="Y664" s="45" t="str">
        <f>HYPERLINK("https://api-enni.alpina.ru/FilePrivilegesApproval/363","https://api-enni.alpina.ru/FilePrivilegesApproval/363")</f>
        <v>https://api-enni.alpina.ru/FilePrivilegesApproval/363</v>
      </c>
      <c r="Z664" s="27"/>
      <c r="AS664" s="1">
        <f>IF($A664&lt;&gt;0,1,0)</f>
        <v>0</v>
      </c>
      <c r="AT664" s="1">
        <f>$A664*$B664</f>
        <v>0</v>
      </c>
      <c r="AU664" s="1">
        <f>$A664*$O664</f>
        <v>0</v>
      </c>
      <c r="AV664" s="1">
        <f>IF($R664=0,0,INT($A664/$R664))</f>
        <v>0</v>
      </c>
      <c r="AW664" s="1">
        <f>$A664-$AV664*$R664</f>
        <v>0</v>
      </c>
    </row>
    <row r="665" ht="24.95" customHeight="1" outlineLevel="3" s="1" customFormat="1">
      <c r="A665" s="25"/>
      <c r="B665" s="26">
        <v>640</v>
      </c>
      <c r="C665" s="26">
        <v>960</v>
      </c>
      <c r="D665" s="26">
        <v>27803</v>
      </c>
      <c r="E665" s="27"/>
      <c r="F665" s="27" t="s">
        <v>1555</v>
      </c>
      <c r="G665" s="27" t="s">
        <v>2242</v>
      </c>
      <c r="H665" s="27" t="s">
        <v>86</v>
      </c>
      <c r="I665" s="27"/>
      <c r="J665" s="26">
        <v>2025</v>
      </c>
      <c r="K665" s="27" t="s">
        <v>2243</v>
      </c>
      <c r="L665" s="26">
        <v>9785961486438</v>
      </c>
      <c r="M665" s="27" t="s">
        <v>2244</v>
      </c>
      <c r="N665" s="26">
        <v>216</v>
      </c>
      <c r="O665" s="28">
        <v>0.27</v>
      </c>
      <c r="P665" s="26">
        <v>140</v>
      </c>
      <c r="Q665" s="26">
        <v>210</v>
      </c>
      <c r="R665" s="26">
        <v>10</v>
      </c>
      <c r="S665" s="27" t="s">
        <v>43</v>
      </c>
      <c r="T665" s="27"/>
      <c r="U665" s="29">
        <v>1000</v>
      </c>
      <c r="V665" s="27" t="s">
        <v>44</v>
      </c>
      <c r="W665" s="27" t="s">
        <v>69</v>
      </c>
      <c r="X665" s="26">
        <v>10</v>
      </c>
      <c r="Y665" s="45" t="str">
        <f>HYPERLINK("https://api-enni.alpina.ru/FilePrivilegesApproval/214","https://api-enni.alpina.ru/FilePrivilegesApproval/214")</f>
        <v>https://api-enni.alpina.ru/FilePrivilegesApproval/214</v>
      </c>
      <c r="Z665" s="27"/>
      <c r="AS665" s="1">
        <f>IF($A665&lt;&gt;0,1,0)</f>
        <v>0</v>
      </c>
      <c r="AT665" s="1">
        <f>$A665*$B665</f>
        <v>0</v>
      </c>
      <c r="AU665" s="1">
        <f>$A665*$O665</f>
        <v>0</v>
      </c>
      <c r="AV665" s="1">
        <f>IF($R665=0,0,INT($A665/$R665))</f>
        <v>0</v>
      </c>
      <c r="AW665" s="1">
        <f>$A665-$AV665*$R665</f>
        <v>0</v>
      </c>
    </row>
    <row r="666" ht="24.95" customHeight="1" outlineLevel="3" s="1" customFormat="1">
      <c r="A666" s="15"/>
      <c r="B666" s="16">
        <v>540</v>
      </c>
      <c r="C666" s="16">
        <v>837</v>
      </c>
      <c r="D666" s="16">
        <v>28959</v>
      </c>
      <c r="E666" s="18"/>
      <c r="F666" s="18" t="s">
        <v>2245</v>
      </c>
      <c r="G666" s="18" t="s">
        <v>2246</v>
      </c>
      <c r="H666" s="18" t="s">
        <v>86</v>
      </c>
      <c r="I666" s="18" t="s">
        <v>40</v>
      </c>
      <c r="J666" s="16">
        <v>2025</v>
      </c>
      <c r="K666" s="18" t="s">
        <v>2247</v>
      </c>
      <c r="L666" s="16">
        <v>9785961490848</v>
      </c>
      <c r="M666" s="18" t="s">
        <v>2248</v>
      </c>
      <c r="N666" s="16">
        <v>268</v>
      </c>
      <c r="O666" s="19">
        <v>0.35</v>
      </c>
      <c r="P666" s="16">
        <v>140</v>
      </c>
      <c r="Q666" s="16">
        <v>210</v>
      </c>
      <c r="R666" s="16">
        <v>10</v>
      </c>
      <c r="S666" s="18" t="s">
        <v>43</v>
      </c>
      <c r="T666" s="18"/>
      <c r="U666" s="17">
        <v>1000</v>
      </c>
      <c r="V666" s="18" t="s">
        <v>44</v>
      </c>
      <c r="W666" s="18" t="s">
        <v>91</v>
      </c>
      <c r="X666" s="16">
        <v>10</v>
      </c>
      <c r="Y666" s="43" t="str">
        <f>HYPERLINK("https://api-enni.alpina.ru/FilePrivilegesApproval/500","https://api-enni.alpina.ru/FilePrivilegesApproval/500")</f>
        <v>https://api-enni.alpina.ru/FilePrivilegesApproval/500</v>
      </c>
      <c r="Z666" s="18"/>
      <c r="AS666" s="1">
        <f>IF($A666&lt;&gt;0,1,0)</f>
        <v>0</v>
      </c>
      <c r="AT666" s="1">
        <f>$A666*$B666</f>
        <v>0</v>
      </c>
      <c r="AU666" s="1">
        <f>$A666*$O666</f>
        <v>0</v>
      </c>
      <c r="AV666" s="1">
        <f>IF($R666=0,0,INT($A666/$R666))</f>
        <v>0</v>
      </c>
      <c r="AW666" s="1">
        <f>$A666-$AV666*$R666</f>
        <v>0</v>
      </c>
    </row>
    <row r="667" ht="24.95" customHeight="1" outlineLevel="3" s="1" customFormat="1">
      <c r="A667" s="15"/>
      <c r="B667" s="16">
        <v>840</v>
      </c>
      <c r="C667" s="17">
        <v>1218</v>
      </c>
      <c r="D667" s="16">
        <v>8035</v>
      </c>
      <c r="E667" s="18"/>
      <c r="F667" s="18" t="s">
        <v>561</v>
      </c>
      <c r="G667" s="18" t="s">
        <v>1000</v>
      </c>
      <c r="H667" s="18" t="s">
        <v>86</v>
      </c>
      <c r="I667" s="18"/>
      <c r="J667" s="16">
        <v>2025</v>
      </c>
      <c r="K667" s="18" t="s">
        <v>1001</v>
      </c>
      <c r="L667" s="16">
        <v>9785961465419</v>
      </c>
      <c r="M667" s="18" t="s">
        <v>1002</v>
      </c>
      <c r="N667" s="16">
        <v>376</v>
      </c>
      <c r="O667" s="19">
        <v>0.57</v>
      </c>
      <c r="P667" s="16">
        <v>140</v>
      </c>
      <c r="Q667" s="16">
        <v>210</v>
      </c>
      <c r="R667" s="16">
        <v>6</v>
      </c>
      <c r="S667" s="18" t="s">
        <v>43</v>
      </c>
      <c r="T667" s="18"/>
      <c r="U667" s="17">
        <v>6000</v>
      </c>
      <c r="V667" s="18" t="s">
        <v>44</v>
      </c>
      <c r="W667" s="18" t="s">
        <v>91</v>
      </c>
      <c r="X667" s="16">
        <v>10</v>
      </c>
      <c r="Y667" s="43" t="str">
        <f>HYPERLINK("https://api-enni.alpina.ru/FilePrivilegesApproval/152","https://api-enni.alpina.ru/FilePrivilegesApproval/152")</f>
        <v>https://api-enni.alpina.ru/FilePrivilegesApproval/152</v>
      </c>
      <c r="Z667" s="18"/>
      <c r="AS667" s="1">
        <f>IF($A667&lt;&gt;0,1,0)</f>
        <v>0</v>
      </c>
      <c r="AT667" s="1">
        <f>$A667*$B667</f>
        <v>0</v>
      </c>
      <c r="AU667" s="1">
        <f>$A667*$O667</f>
        <v>0</v>
      </c>
      <c r="AV667" s="1">
        <f>IF($R667=0,0,INT($A667/$R667))</f>
        <v>0</v>
      </c>
      <c r="AW667" s="1">
        <f>$A667-$AV667*$R667</f>
        <v>0</v>
      </c>
    </row>
    <row r="668" ht="24.95" customHeight="1" outlineLevel="3" s="1" customFormat="1">
      <c r="A668" s="15"/>
      <c r="B668" s="16">
        <v>650</v>
      </c>
      <c r="C668" s="16">
        <v>975</v>
      </c>
      <c r="D668" s="16">
        <v>30817</v>
      </c>
      <c r="E668" s="18"/>
      <c r="F668" s="18" t="s">
        <v>1575</v>
      </c>
      <c r="G668" s="18" t="s">
        <v>2249</v>
      </c>
      <c r="H668" s="18" t="s">
        <v>86</v>
      </c>
      <c r="I668" s="18" t="s">
        <v>65</v>
      </c>
      <c r="J668" s="16">
        <v>2025</v>
      </c>
      <c r="K668" s="18" t="s">
        <v>2250</v>
      </c>
      <c r="L668" s="16">
        <v>9785961496673</v>
      </c>
      <c r="M668" s="18" t="s">
        <v>2251</v>
      </c>
      <c r="N668" s="16">
        <v>244</v>
      </c>
      <c r="O668" s="19">
        <v>0.31</v>
      </c>
      <c r="P668" s="16">
        <v>150</v>
      </c>
      <c r="Q668" s="16">
        <v>220</v>
      </c>
      <c r="R668" s="16">
        <v>10</v>
      </c>
      <c r="S668" s="18" t="s">
        <v>43</v>
      </c>
      <c r="T668" s="18"/>
      <c r="U668" s="17">
        <v>1500</v>
      </c>
      <c r="V668" s="18" t="s">
        <v>44</v>
      </c>
      <c r="W668" s="18" t="s">
        <v>91</v>
      </c>
      <c r="X668" s="16">
        <v>10</v>
      </c>
      <c r="Y668" s="43" t="str">
        <f>HYPERLINK("https://api-enni.alpina.ru/FilePrivilegesApproval/883","https://api-enni.alpina.ru/FilePrivilegesApproval/883")</f>
        <v>https://api-enni.alpina.ru/FilePrivilegesApproval/883</v>
      </c>
      <c r="Z668" s="18"/>
      <c r="AS668" s="1">
        <f>IF($A668&lt;&gt;0,1,0)</f>
        <v>0</v>
      </c>
      <c r="AT668" s="1">
        <f>$A668*$B668</f>
        <v>0</v>
      </c>
      <c r="AU668" s="1">
        <f>$A668*$O668</f>
        <v>0</v>
      </c>
      <c r="AV668" s="1">
        <f>IF($R668=0,0,INT($A668/$R668))</f>
        <v>0</v>
      </c>
      <c r="AW668" s="1">
        <f>$A668-$AV668*$R668</f>
        <v>0</v>
      </c>
    </row>
    <row r="669" ht="21.95" customHeight="1" outlineLevel="3" s="1" customFormat="1">
      <c r="A669" s="15"/>
      <c r="B669" s="16">
        <v>790</v>
      </c>
      <c r="C669" s="17">
        <v>1146</v>
      </c>
      <c r="D669" s="16">
        <v>37736</v>
      </c>
      <c r="E669" s="18"/>
      <c r="F669" s="18" t="s">
        <v>398</v>
      </c>
      <c r="G669" s="18" t="s">
        <v>399</v>
      </c>
      <c r="H669" s="18" t="s">
        <v>95</v>
      </c>
      <c r="I669" s="18"/>
      <c r="J669" s="16">
        <v>2026</v>
      </c>
      <c r="K669" s="18" t="s">
        <v>400</v>
      </c>
      <c r="L669" s="16">
        <v>9785002060566</v>
      </c>
      <c r="M669" s="18" t="s">
        <v>401</v>
      </c>
      <c r="N669" s="16">
        <v>144</v>
      </c>
      <c r="O669" s="19">
        <v>0.28</v>
      </c>
      <c r="P669" s="16">
        <v>150</v>
      </c>
      <c r="Q669" s="16">
        <v>220</v>
      </c>
      <c r="R669" s="16">
        <v>10</v>
      </c>
      <c r="S669" s="18" t="s">
        <v>43</v>
      </c>
      <c r="T669" s="18"/>
      <c r="U669" s="17">
        <v>1000</v>
      </c>
      <c r="V669" s="18" t="s">
        <v>77</v>
      </c>
      <c r="W669" s="18" t="s">
        <v>69</v>
      </c>
      <c r="X669" s="16">
        <v>10</v>
      </c>
      <c r="Y669" s="43" t="str">
        <f>HYPERLINK("","")</f>
      </c>
      <c r="Z669" s="18" t="s">
        <v>119</v>
      </c>
      <c r="AS669" s="1">
        <f>IF($A669&lt;&gt;0,1,0)</f>
        <v>0</v>
      </c>
      <c r="AT669" s="1">
        <f>$A669*$B669</f>
        <v>0</v>
      </c>
      <c r="AU669" s="1">
        <f>$A669*$O669</f>
        <v>0</v>
      </c>
      <c r="AV669" s="1">
        <f>IF($R669=0,0,INT($A669/$R669))</f>
        <v>0</v>
      </c>
      <c r="AW669" s="1">
        <f>$A669-$AV669*$R669</f>
        <v>0</v>
      </c>
    </row>
    <row r="670" ht="24.95" customHeight="1" outlineLevel="3" s="1" customFormat="1">
      <c r="A670" s="15"/>
      <c r="B670" s="16">
        <v>540</v>
      </c>
      <c r="C670" s="16">
        <v>837</v>
      </c>
      <c r="D670" s="16">
        <v>27790</v>
      </c>
      <c r="E670" s="18"/>
      <c r="F670" s="18" t="s">
        <v>2252</v>
      </c>
      <c r="G670" s="18" t="s">
        <v>2253</v>
      </c>
      <c r="H670" s="18" t="s">
        <v>86</v>
      </c>
      <c r="I670" s="18"/>
      <c r="J670" s="16">
        <v>2025</v>
      </c>
      <c r="K670" s="18" t="s">
        <v>2254</v>
      </c>
      <c r="L670" s="16">
        <v>9785961486407</v>
      </c>
      <c r="M670" s="18" t="s">
        <v>2255</v>
      </c>
      <c r="N670" s="16">
        <v>200</v>
      </c>
      <c r="O670" s="19">
        <v>0.26</v>
      </c>
      <c r="P670" s="16">
        <v>140</v>
      </c>
      <c r="Q670" s="16">
        <v>210</v>
      </c>
      <c r="R670" s="16">
        <v>20</v>
      </c>
      <c r="S670" s="18" t="s">
        <v>43</v>
      </c>
      <c r="T670" s="18"/>
      <c r="U670" s="17">
        <v>2000</v>
      </c>
      <c r="V670" s="18" t="s">
        <v>44</v>
      </c>
      <c r="W670" s="18" t="s">
        <v>91</v>
      </c>
      <c r="X670" s="16">
        <v>10</v>
      </c>
      <c r="Y670" s="43" t="str">
        <f>HYPERLINK("https://api-enni.alpina.ru/FilePrivilegesApproval/284","https://api-enni.alpina.ru/FilePrivilegesApproval/284")</f>
        <v>https://api-enni.alpina.ru/FilePrivilegesApproval/284</v>
      </c>
      <c r="Z670" s="18"/>
      <c r="AS670" s="1">
        <f>IF($A670&lt;&gt;0,1,0)</f>
        <v>0</v>
      </c>
      <c r="AT670" s="1">
        <f>$A670*$B670</f>
        <v>0</v>
      </c>
      <c r="AU670" s="1">
        <f>$A670*$O670</f>
        <v>0</v>
      </c>
      <c r="AV670" s="1">
        <f>IF($R670=0,0,INT($A670/$R670))</f>
        <v>0</v>
      </c>
      <c r="AW670" s="1">
        <f>$A670-$AV670*$R670</f>
        <v>0</v>
      </c>
    </row>
    <row r="671" ht="24.95" customHeight="1" outlineLevel="3" s="1" customFormat="1">
      <c r="A671" s="15"/>
      <c r="B671" s="16">
        <v>590</v>
      </c>
      <c r="C671" s="16">
        <v>885</v>
      </c>
      <c r="D671" s="16">
        <v>26599</v>
      </c>
      <c r="E671" s="18"/>
      <c r="F671" s="18" t="s">
        <v>2256</v>
      </c>
      <c r="G671" s="18" t="s">
        <v>2257</v>
      </c>
      <c r="H671" s="18" t="s">
        <v>86</v>
      </c>
      <c r="I671" s="18"/>
      <c r="J671" s="16">
        <v>2023</v>
      </c>
      <c r="K671" s="18" t="s">
        <v>2258</v>
      </c>
      <c r="L671" s="16">
        <v>9785961482393</v>
      </c>
      <c r="M671" s="18" t="s">
        <v>2259</v>
      </c>
      <c r="N671" s="16">
        <v>200</v>
      </c>
      <c r="O671" s="19">
        <v>0.34</v>
      </c>
      <c r="P671" s="16">
        <v>150</v>
      </c>
      <c r="Q671" s="16">
        <v>220</v>
      </c>
      <c r="R671" s="16">
        <v>16</v>
      </c>
      <c r="S671" s="18" t="s">
        <v>43</v>
      </c>
      <c r="T671" s="18"/>
      <c r="U671" s="17">
        <v>2000</v>
      </c>
      <c r="V671" s="18" t="s">
        <v>77</v>
      </c>
      <c r="W671" s="18" t="s">
        <v>69</v>
      </c>
      <c r="X671" s="16">
        <v>10</v>
      </c>
      <c r="Y671" s="43" t="str">
        <f>HYPERLINK("https://api-enni.alpina.ru/FilePrivilegesApproval/177","https://api-enni.alpina.ru/FilePrivilegesApproval/177")</f>
        <v>https://api-enni.alpina.ru/FilePrivilegesApproval/177</v>
      </c>
      <c r="Z671" s="18"/>
      <c r="AS671" s="1">
        <f>IF($A671&lt;&gt;0,1,0)</f>
        <v>0</v>
      </c>
      <c r="AT671" s="1">
        <f>$A671*$B671</f>
        <v>0</v>
      </c>
      <c r="AU671" s="1">
        <f>$A671*$O671</f>
        <v>0</v>
      </c>
      <c r="AV671" s="1">
        <f>IF($R671=0,0,INT($A671/$R671))</f>
        <v>0</v>
      </c>
      <c r="AW671" s="1">
        <f>$A671-$AV671*$R671</f>
        <v>0</v>
      </c>
    </row>
    <row r="672" ht="24.95" customHeight="1" outlineLevel="3" s="1" customFormat="1">
      <c r="A672" s="15"/>
      <c r="B672" s="16">
        <v>640</v>
      </c>
      <c r="C672" s="16">
        <v>960</v>
      </c>
      <c r="D672" s="16">
        <v>30297</v>
      </c>
      <c r="E672" s="18"/>
      <c r="F672" s="18" t="s">
        <v>2260</v>
      </c>
      <c r="G672" s="18" t="s">
        <v>2261</v>
      </c>
      <c r="H672" s="18" t="s">
        <v>86</v>
      </c>
      <c r="I672" s="18" t="s">
        <v>74</v>
      </c>
      <c r="J672" s="16">
        <v>2025</v>
      </c>
      <c r="K672" s="18" t="s">
        <v>2262</v>
      </c>
      <c r="L672" s="16">
        <v>9785961495508</v>
      </c>
      <c r="M672" s="18" t="s">
        <v>2263</v>
      </c>
      <c r="N672" s="16">
        <v>112</v>
      </c>
      <c r="O672" s="19">
        <v>0.27</v>
      </c>
      <c r="P672" s="16">
        <v>160</v>
      </c>
      <c r="Q672" s="16">
        <v>190</v>
      </c>
      <c r="R672" s="16">
        <v>12</v>
      </c>
      <c r="S672" s="18" t="s">
        <v>52</v>
      </c>
      <c r="T672" s="18"/>
      <c r="U672" s="17">
        <v>3000</v>
      </c>
      <c r="V672" s="18" t="s">
        <v>77</v>
      </c>
      <c r="W672" s="18" t="s">
        <v>184</v>
      </c>
      <c r="X672" s="16">
        <v>10</v>
      </c>
      <c r="Y672" s="43" t="str">
        <f>HYPERLINK("https://api-enni.alpina.ru/FilePrivilegesApproval/156","https://api-enni.alpina.ru/FilePrivilegesApproval/156")</f>
        <v>https://api-enni.alpina.ru/FilePrivilegesApproval/156</v>
      </c>
      <c r="Z672" s="18"/>
      <c r="AS672" s="1">
        <f>IF($A672&lt;&gt;0,1,0)</f>
        <v>0</v>
      </c>
      <c r="AT672" s="1">
        <f>$A672*$B672</f>
        <v>0</v>
      </c>
      <c r="AU672" s="1">
        <f>$A672*$O672</f>
        <v>0</v>
      </c>
      <c r="AV672" s="1">
        <f>IF($R672=0,0,INT($A672/$R672))</f>
        <v>0</v>
      </c>
      <c r="AW672" s="1">
        <f>$A672-$AV672*$R672</f>
        <v>0</v>
      </c>
    </row>
    <row r="673" ht="11.1" customHeight="1" outlineLevel="2">
      <c r="A673" s="41" t="s">
        <v>2264</v>
      </c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24"/>
    </row>
    <row r="674" ht="24.95" customHeight="1" outlineLevel="3" s="1" customFormat="1">
      <c r="A674" s="15"/>
      <c r="B674" s="16">
        <v>340</v>
      </c>
      <c r="C674" s="16">
        <v>544</v>
      </c>
      <c r="D674" s="16">
        <v>8744</v>
      </c>
      <c r="E674" s="18"/>
      <c r="F674" s="18" t="s">
        <v>1294</v>
      </c>
      <c r="G674" s="18" t="s">
        <v>2265</v>
      </c>
      <c r="H674" s="18" t="s">
        <v>86</v>
      </c>
      <c r="I674" s="18" t="s">
        <v>764</v>
      </c>
      <c r="J674" s="16">
        <v>2023</v>
      </c>
      <c r="K674" s="18" t="s">
        <v>2266</v>
      </c>
      <c r="L674" s="16">
        <v>9785961470000</v>
      </c>
      <c r="M674" s="18" t="s">
        <v>2267</v>
      </c>
      <c r="N674" s="16">
        <v>176</v>
      </c>
      <c r="O674" s="19">
        <v>0.12</v>
      </c>
      <c r="P674" s="16">
        <v>120</v>
      </c>
      <c r="Q674" s="16">
        <v>170</v>
      </c>
      <c r="R674" s="16">
        <v>14</v>
      </c>
      <c r="S674" s="18" t="s">
        <v>190</v>
      </c>
      <c r="T674" s="18" t="s">
        <v>959</v>
      </c>
      <c r="U674" s="17">
        <v>15000</v>
      </c>
      <c r="V674" s="18" t="s">
        <v>44</v>
      </c>
      <c r="W674" s="18" t="s">
        <v>184</v>
      </c>
      <c r="X674" s="16">
        <v>10</v>
      </c>
      <c r="Y674" s="43" t="str">
        <f>HYPERLINK("https://api-enni.alpina.ru/FilePrivilegesApproval/2","https://api-enni.alpina.ru/FilePrivilegesApproval/2")</f>
        <v>https://api-enni.alpina.ru/FilePrivilegesApproval/2</v>
      </c>
      <c r="Z674" s="18"/>
      <c r="AS674" s="1">
        <f>IF($A674&lt;&gt;0,1,0)</f>
        <v>0</v>
      </c>
      <c r="AT674" s="1">
        <f>$A674*$B674</f>
        <v>0</v>
      </c>
      <c r="AU674" s="1">
        <f>$A674*$O674</f>
        <v>0</v>
      </c>
      <c r="AV674" s="1">
        <f>IF($R674=0,0,INT($A674/$R674))</f>
        <v>0</v>
      </c>
      <c r="AW674" s="1">
        <f>$A674-$AV674*$R674</f>
        <v>0</v>
      </c>
    </row>
    <row r="675" ht="24.95" customHeight="1" outlineLevel="3" s="1" customFormat="1">
      <c r="A675" s="25"/>
      <c r="B675" s="26">
        <v>340</v>
      </c>
      <c r="C675" s="26">
        <v>544</v>
      </c>
      <c r="D675" s="26">
        <v>8619</v>
      </c>
      <c r="E675" s="27"/>
      <c r="F675" s="27" t="s">
        <v>1649</v>
      </c>
      <c r="G675" s="27" t="s">
        <v>2268</v>
      </c>
      <c r="H675" s="27" t="s">
        <v>86</v>
      </c>
      <c r="I675" s="27" t="s">
        <v>74</v>
      </c>
      <c r="J675" s="26">
        <v>2023</v>
      </c>
      <c r="K675" s="27" t="s">
        <v>2269</v>
      </c>
      <c r="L675" s="26">
        <v>9785961471533</v>
      </c>
      <c r="M675" s="27" t="s">
        <v>2270</v>
      </c>
      <c r="N675" s="26">
        <v>368</v>
      </c>
      <c r="O675" s="28">
        <v>0.24</v>
      </c>
      <c r="P675" s="26">
        <v>115</v>
      </c>
      <c r="Q675" s="26">
        <v>165</v>
      </c>
      <c r="R675" s="26">
        <v>9</v>
      </c>
      <c r="S675" s="27" t="s">
        <v>190</v>
      </c>
      <c r="T675" s="27" t="s">
        <v>959</v>
      </c>
      <c r="U675" s="29">
        <v>2000</v>
      </c>
      <c r="V675" s="27" t="s">
        <v>44</v>
      </c>
      <c r="W675" s="27" t="s">
        <v>184</v>
      </c>
      <c r="X675" s="26">
        <v>10</v>
      </c>
      <c r="Y675" s="45" t="str">
        <f>HYPERLINK("https://api-enni.alpina.ru/FilePrivilegesApproval/2","https://api-enni.alpina.ru/FilePrivilegesApproval/2")</f>
        <v>https://api-enni.alpina.ru/FilePrivilegesApproval/2</v>
      </c>
      <c r="Z675" s="27"/>
      <c r="AS675" s="1">
        <f>IF($A675&lt;&gt;0,1,0)</f>
        <v>0</v>
      </c>
      <c r="AT675" s="1">
        <f>$A675*$B675</f>
        <v>0</v>
      </c>
      <c r="AU675" s="1">
        <f>$A675*$O675</f>
        <v>0</v>
      </c>
      <c r="AV675" s="1">
        <f>IF($R675=0,0,INT($A675/$R675))</f>
        <v>0</v>
      </c>
      <c r="AW675" s="1">
        <f>$A675-$AV675*$R675</f>
        <v>0</v>
      </c>
    </row>
    <row r="676" ht="24.95" customHeight="1" outlineLevel="3" s="1" customFormat="1">
      <c r="A676" s="15"/>
      <c r="B676" s="16">
        <v>390</v>
      </c>
      <c r="C676" s="16">
        <v>624</v>
      </c>
      <c r="D676" s="16">
        <v>8877</v>
      </c>
      <c r="E676" s="18"/>
      <c r="F676" s="18" t="s">
        <v>496</v>
      </c>
      <c r="G676" s="18" t="s">
        <v>2271</v>
      </c>
      <c r="H676" s="18" t="s">
        <v>86</v>
      </c>
      <c r="I676" s="18" t="s">
        <v>74</v>
      </c>
      <c r="J676" s="16">
        <v>2025</v>
      </c>
      <c r="K676" s="18" t="s">
        <v>2272</v>
      </c>
      <c r="L676" s="16">
        <v>9785961470697</v>
      </c>
      <c r="M676" s="18" t="s">
        <v>2273</v>
      </c>
      <c r="N676" s="16">
        <v>272</v>
      </c>
      <c r="O676" s="19">
        <v>0.18</v>
      </c>
      <c r="P676" s="16">
        <v>120</v>
      </c>
      <c r="Q676" s="16">
        <v>170</v>
      </c>
      <c r="R676" s="16">
        <v>20</v>
      </c>
      <c r="S676" s="18" t="s">
        <v>190</v>
      </c>
      <c r="T676" s="18" t="s">
        <v>959</v>
      </c>
      <c r="U676" s="17">
        <v>2000</v>
      </c>
      <c r="V676" s="18" t="s">
        <v>44</v>
      </c>
      <c r="W676" s="18" t="s">
        <v>91</v>
      </c>
      <c r="X676" s="16">
        <v>10</v>
      </c>
      <c r="Y676" s="43" t="str">
        <f>HYPERLINK("https://api-enni.alpina.ru/FilePrivilegesApproval/156","https://api-enni.alpina.ru/FilePrivilegesApproval/156")</f>
        <v>https://api-enni.alpina.ru/FilePrivilegesApproval/156</v>
      </c>
      <c r="Z676" s="18"/>
      <c r="AS676" s="1">
        <f>IF($A676&lt;&gt;0,1,0)</f>
        <v>0</v>
      </c>
      <c r="AT676" s="1">
        <f>$A676*$B676</f>
        <v>0</v>
      </c>
      <c r="AU676" s="1">
        <f>$A676*$O676</f>
        <v>0</v>
      </c>
      <c r="AV676" s="1">
        <f>IF($R676=0,0,INT($A676/$R676))</f>
        <v>0</v>
      </c>
      <c r="AW676" s="1">
        <f>$A676-$AV676*$R676</f>
        <v>0</v>
      </c>
    </row>
    <row r="677" ht="24.95" customHeight="1" outlineLevel="3" s="1" customFormat="1">
      <c r="A677" s="15"/>
      <c r="B677" s="16">
        <v>390</v>
      </c>
      <c r="C677" s="16">
        <v>624</v>
      </c>
      <c r="D677" s="16">
        <v>28724</v>
      </c>
      <c r="E677" s="18"/>
      <c r="F677" s="18" t="s">
        <v>1890</v>
      </c>
      <c r="G677" s="18" t="s">
        <v>2274</v>
      </c>
      <c r="H677" s="18" t="s">
        <v>86</v>
      </c>
      <c r="I677" s="18"/>
      <c r="J677" s="16">
        <v>2025</v>
      </c>
      <c r="K677" s="18" t="s">
        <v>2275</v>
      </c>
      <c r="L677" s="16">
        <v>9785961489842</v>
      </c>
      <c r="M677" s="18" t="s">
        <v>2276</v>
      </c>
      <c r="N677" s="16">
        <v>416</v>
      </c>
      <c r="O677" s="19">
        <v>0.27</v>
      </c>
      <c r="P677" s="16">
        <v>170</v>
      </c>
      <c r="Q677" s="16">
        <v>120</v>
      </c>
      <c r="R677" s="16">
        <v>16</v>
      </c>
      <c r="S677" s="18" t="s">
        <v>190</v>
      </c>
      <c r="T677" s="18" t="s">
        <v>959</v>
      </c>
      <c r="U677" s="17">
        <v>2000</v>
      </c>
      <c r="V677" s="18" t="s">
        <v>44</v>
      </c>
      <c r="W677" s="18" t="s">
        <v>69</v>
      </c>
      <c r="X677" s="16">
        <v>10</v>
      </c>
      <c r="Y677" s="43" t="str">
        <f>HYPERLINK("https://api-enni.alpina.ru/FilePrivilegesApproval/296","https://api-enni.alpina.ru/FilePrivilegesApproval/296")</f>
        <v>https://api-enni.alpina.ru/FilePrivilegesApproval/296</v>
      </c>
      <c r="Z677" s="18"/>
      <c r="AS677" s="1">
        <f>IF($A677&lt;&gt;0,1,0)</f>
        <v>0</v>
      </c>
      <c r="AT677" s="1">
        <f>$A677*$B677</f>
        <v>0</v>
      </c>
      <c r="AU677" s="1">
        <f>$A677*$O677</f>
        <v>0</v>
      </c>
      <c r="AV677" s="1">
        <f>IF($R677=0,0,INT($A677/$R677))</f>
        <v>0</v>
      </c>
      <c r="AW677" s="1">
        <f>$A677-$AV677*$R677</f>
        <v>0</v>
      </c>
    </row>
    <row r="678" ht="24.95" customHeight="1" outlineLevel="3" s="1" customFormat="1">
      <c r="A678" s="15"/>
      <c r="B678" s="16">
        <v>390</v>
      </c>
      <c r="C678" s="16">
        <v>624</v>
      </c>
      <c r="D678" s="16">
        <v>25979</v>
      </c>
      <c r="E678" s="18"/>
      <c r="F678" s="18" t="s">
        <v>2277</v>
      </c>
      <c r="G678" s="18" t="s">
        <v>2278</v>
      </c>
      <c r="H678" s="18" t="s">
        <v>86</v>
      </c>
      <c r="I678" s="18" t="s">
        <v>40</v>
      </c>
      <c r="J678" s="16">
        <v>2026</v>
      </c>
      <c r="K678" s="18" t="s">
        <v>2279</v>
      </c>
      <c r="L678" s="16">
        <v>9785961483741</v>
      </c>
      <c r="M678" s="18" t="s">
        <v>2280</v>
      </c>
      <c r="N678" s="16">
        <v>176</v>
      </c>
      <c r="O678" s="19">
        <v>0.14</v>
      </c>
      <c r="P678" s="16">
        <v>120</v>
      </c>
      <c r="Q678" s="16">
        <v>170</v>
      </c>
      <c r="R678" s="16">
        <v>30</v>
      </c>
      <c r="S678" s="18" t="s">
        <v>190</v>
      </c>
      <c r="T678" s="18" t="s">
        <v>959</v>
      </c>
      <c r="U678" s="17">
        <v>2000</v>
      </c>
      <c r="V678" s="18" t="s">
        <v>44</v>
      </c>
      <c r="W678" s="18" t="s">
        <v>184</v>
      </c>
      <c r="X678" s="16">
        <v>10</v>
      </c>
      <c r="Y678" s="43" t="str">
        <f>HYPERLINK("","")</f>
      </c>
      <c r="Z678" s="18" t="s">
        <v>98</v>
      </c>
      <c r="AS678" s="1">
        <f>IF($A678&lt;&gt;0,1,0)</f>
        <v>0</v>
      </c>
      <c r="AT678" s="1">
        <f>$A678*$B678</f>
        <v>0</v>
      </c>
      <c r="AU678" s="1">
        <f>$A678*$O678</f>
        <v>0</v>
      </c>
      <c r="AV678" s="1">
        <f>IF($R678=0,0,INT($A678/$R678))</f>
        <v>0</v>
      </c>
      <c r="AW678" s="1">
        <f>$A678-$AV678*$R678</f>
        <v>0</v>
      </c>
    </row>
    <row r="679" ht="24.95" customHeight="1" outlineLevel="3" s="1" customFormat="1">
      <c r="A679" s="15"/>
      <c r="B679" s="16">
        <v>390</v>
      </c>
      <c r="C679" s="16">
        <v>624</v>
      </c>
      <c r="D679" s="16">
        <v>8595</v>
      </c>
      <c r="E679" s="18"/>
      <c r="F679" s="18" t="s">
        <v>1233</v>
      </c>
      <c r="G679" s="18" t="s">
        <v>2281</v>
      </c>
      <c r="H679" s="18" t="s">
        <v>86</v>
      </c>
      <c r="I679" s="18" t="s">
        <v>74</v>
      </c>
      <c r="J679" s="16">
        <v>2025</v>
      </c>
      <c r="K679" s="18" t="s">
        <v>2282</v>
      </c>
      <c r="L679" s="16">
        <v>9785961468557</v>
      </c>
      <c r="M679" s="18" t="s">
        <v>2283</v>
      </c>
      <c r="N679" s="16">
        <v>544</v>
      </c>
      <c r="O679" s="19">
        <v>0.33</v>
      </c>
      <c r="P679" s="16">
        <v>120</v>
      </c>
      <c r="Q679" s="16">
        <v>170</v>
      </c>
      <c r="R679" s="16">
        <v>6</v>
      </c>
      <c r="S679" s="18" t="s">
        <v>190</v>
      </c>
      <c r="T679" s="18" t="s">
        <v>959</v>
      </c>
      <c r="U679" s="17">
        <v>7000</v>
      </c>
      <c r="V679" s="18" t="s">
        <v>44</v>
      </c>
      <c r="W679" s="18" t="s">
        <v>184</v>
      </c>
      <c r="X679" s="16">
        <v>10</v>
      </c>
      <c r="Y679" s="43" t="str">
        <f>HYPERLINK("https://api-enni.alpina.ru/FilePrivilegesApproval/152","https://api-enni.alpina.ru/FilePrivilegesApproval/152")</f>
        <v>https://api-enni.alpina.ru/FilePrivilegesApproval/152</v>
      </c>
      <c r="Z679" s="18"/>
      <c r="AS679" s="1">
        <f>IF($A679&lt;&gt;0,1,0)</f>
        <v>0</v>
      </c>
      <c r="AT679" s="1">
        <f>$A679*$B679</f>
        <v>0</v>
      </c>
      <c r="AU679" s="1">
        <f>$A679*$O679</f>
        <v>0</v>
      </c>
      <c r="AV679" s="1">
        <f>IF($R679=0,0,INT($A679/$R679))</f>
        <v>0</v>
      </c>
      <c r="AW679" s="1">
        <f>$A679-$AV679*$R679</f>
        <v>0</v>
      </c>
    </row>
    <row r="680" ht="24.95" customHeight="1" outlineLevel="3" s="1" customFormat="1">
      <c r="A680" s="15"/>
      <c r="B680" s="16">
        <v>440</v>
      </c>
      <c r="C680" s="16">
        <v>682</v>
      </c>
      <c r="D680" s="16">
        <v>26438</v>
      </c>
      <c r="E680" s="18"/>
      <c r="F680" s="18" t="s">
        <v>869</v>
      </c>
      <c r="G680" s="18" t="s">
        <v>2284</v>
      </c>
      <c r="H680" s="18" t="s">
        <v>73</v>
      </c>
      <c r="I680" s="18" t="s">
        <v>87</v>
      </c>
      <c r="J680" s="16">
        <v>2025</v>
      </c>
      <c r="K680" s="18" t="s">
        <v>2285</v>
      </c>
      <c r="L680" s="16">
        <v>9785001397687</v>
      </c>
      <c r="M680" s="18" t="s">
        <v>2286</v>
      </c>
      <c r="N680" s="16">
        <v>448</v>
      </c>
      <c r="O680" s="19">
        <v>0.29</v>
      </c>
      <c r="P680" s="16">
        <v>120</v>
      </c>
      <c r="Q680" s="16">
        <v>170</v>
      </c>
      <c r="R680" s="16">
        <v>8</v>
      </c>
      <c r="S680" s="18" t="s">
        <v>190</v>
      </c>
      <c r="T680" s="18" t="s">
        <v>959</v>
      </c>
      <c r="U680" s="17">
        <v>3000</v>
      </c>
      <c r="V680" s="18" t="s">
        <v>44</v>
      </c>
      <c r="W680" s="18" t="s">
        <v>45</v>
      </c>
      <c r="X680" s="16">
        <v>10</v>
      </c>
      <c r="Y680" s="43" t="str">
        <f>HYPERLINK("https://api-enni.alpina.ru/FilePrivilegesApproval/5","https://api-enni.alpina.ru/FilePrivilegesApproval/5")</f>
        <v>https://api-enni.alpina.ru/FilePrivilegesApproval/5</v>
      </c>
      <c r="Z680" s="18" t="s">
        <v>717</v>
      </c>
      <c r="AS680" s="1">
        <f>IF($A680&lt;&gt;0,1,0)</f>
        <v>0</v>
      </c>
      <c r="AT680" s="1">
        <f>$A680*$B680</f>
        <v>0</v>
      </c>
      <c r="AU680" s="1">
        <f>$A680*$O680</f>
        <v>0</v>
      </c>
      <c r="AV680" s="1">
        <f>IF($R680=0,0,INT($A680/$R680))</f>
        <v>0</v>
      </c>
      <c r="AW680" s="1">
        <f>$A680-$AV680*$R680</f>
        <v>0</v>
      </c>
    </row>
    <row r="681" ht="24.95" customHeight="1" outlineLevel="3" s="1" customFormat="1">
      <c r="A681" s="15"/>
      <c r="B681" s="16">
        <v>340</v>
      </c>
      <c r="C681" s="16">
        <v>544</v>
      </c>
      <c r="D681" s="16">
        <v>8612</v>
      </c>
      <c r="E681" s="18"/>
      <c r="F681" s="18" t="s">
        <v>2287</v>
      </c>
      <c r="G681" s="18" t="s">
        <v>2288</v>
      </c>
      <c r="H681" s="18" t="s">
        <v>86</v>
      </c>
      <c r="I681" s="18" t="s">
        <v>74</v>
      </c>
      <c r="J681" s="16">
        <v>2025</v>
      </c>
      <c r="K681" s="18" t="s">
        <v>2289</v>
      </c>
      <c r="L681" s="16">
        <v>9785961470710</v>
      </c>
      <c r="M681" s="18" t="s">
        <v>2290</v>
      </c>
      <c r="N681" s="16">
        <v>128</v>
      </c>
      <c r="O681" s="19">
        <v>0.09</v>
      </c>
      <c r="P681" s="16">
        <v>170</v>
      </c>
      <c r="Q681" s="16">
        <v>120</v>
      </c>
      <c r="R681" s="16">
        <v>20</v>
      </c>
      <c r="S681" s="18" t="s">
        <v>190</v>
      </c>
      <c r="T681" s="18" t="s">
        <v>959</v>
      </c>
      <c r="U681" s="17">
        <v>2000</v>
      </c>
      <c r="V681" s="18" t="s">
        <v>44</v>
      </c>
      <c r="W681" s="18" t="s">
        <v>184</v>
      </c>
      <c r="X681" s="16">
        <v>10</v>
      </c>
      <c r="Y681" s="43" t="str">
        <f>HYPERLINK("https://api-enni.alpina.ru/FilePrivilegesApproval/2","https://api-enni.alpina.ru/FilePrivilegesApproval/2")</f>
        <v>https://api-enni.alpina.ru/FilePrivilegesApproval/2</v>
      </c>
      <c r="Z681" s="18"/>
      <c r="AS681" s="1">
        <f>IF($A681&lt;&gt;0,1,0)</f>
        <v>0</v>
      </c>
      <c r="AT681" s="1">
        <f>$A681*$B681</f>
        <v>0</v>
      </c>
      <c r="AU681" s="1">
        <f>$A681*$O681</f>
        <v>0</v>
      </c>
      <c r="AV681" s="1">
        <f>IF($R681=0,0,INT($A681/$R681))</f>
        <v>0</v>
      </c>
      <c r="AW681" s="1">
        <f>$A681-$AV681*$R681</f>
        <v>0</v>
      </c>
    </row>
    <row r="682" ht="24.95" customHeight="1" outlineLevel="3" s="1" customFormat="1">
      <c r="A682" s="15"/>
      <c r="B682" s="16">
        <v>340</v>
      </c>
      <c r="C682" s="16">
        <v>544</v>
      </c>
      <c r="D682" s="16">
        <v>11310</v>
      </c>
      <c r="E682" s="18"/>
      <c r="F682" s="18" t="s">
        <v>2291</v>
      </c>
      <c r="G682" s="18" t="s">
        <v>2292</v>
      </c>
      <c r="H682" s="18" t="s">
        <v>86</v>
      </c>
      <c r="I682" s="18" t="s">
        <v>87</v>
      </c>
      <c r="J682" s="16">
        <v>2025</v>
      </c>
      <c r="K682" s="18" t="s">
        <v>2293</v>
      </c>
      <c r="L682" s="16">
        <v>9785961417616</v>
      </c>
      <c r="M682" s="18" t="s">
        <v>2294</v>
      </c>
      <c r="N682" s="16">
        <v>268</v>
      </c>
      <c r="O682" s="19">
        <v>0.18</v>
      </c>
      <c r="P682" s="16">
        <v>115</v>
      </c>
      <c r="Q682" s="16">
        <v>165</v>
      </c>
      <c r="R682" s="16">
        <v>12</v>
      </c>
      <c r="S682" s="18" t="s">
        <v>190</v>
      </c>
      <c r="T682" s="18" t="s">
        <v>959</v>
      </c>
      <c r="U682" s="17">
        <v>5000</v>
      </c>
      <c r="V682" s="18" t="s">
        <v>44</v>
      </c>
      <c r="W682" s="18" t="s">
        <v>69</v>
      </c>
      <c r="X682" s="16">
        <v>10</v>
      </c>
      <c r="Y682" s="43" t="str">
        <f>HYPERLINK("https://api-enni.alpina.ru/FilePrivilegesApproval/2","https://api-enni.alpina.ru/FilePrivilegesApproval/2")</f>
        <v>https://api-enni.alpina.ru/FilePrivilegesApproval/2</v>
      </c>
      <c r="Z682" s="18"/>
      <c r="AS682" s="1">
        <f>IF($A682&lt;&gt;0,1,0)</f>
        <v>0</v>
      </c>
      <c r="AT682" s="1">
        <f>$A682*$B682</f>
        <v>0</v>
      </c>
      <c r="AU682" s="1">
        <f>$A682*$O682</f>
        <v>0</v>
      </c>
      <c r="AV682" s="1">
        <f>IF($R682=0,0,INT($A682/$R682))</f>
        <v>0</v>
      </c>
      <c r="AW682" s="1">
        <f>$A682-$AV682*$R682</f>
        <v>0</v>
      </c>
    </row>
    <row r="683" ht="24.95" customHeight="1" outlineLevel="3" s="1" customFormat="1">
      <c r="A683" s="25"/>
      <c r="B683" s="26">
        <v>390</v>
      </c>
      <c r="C683" s="26">
        <v>624</v>
      </c>
      <c r="D683" s="26">
        <v>8614</v>
      </c>
      <c r="E683" s="27"/>
      <c r="F683" s="27" t="s">
        <v>2295</v>
      </c>
      <c r="G683" s="27" t="s">
        <v>2296</v>
      </c>
      <c r="H683" s="27" t="s">
        <v>86</v>
      </c>
      <c r="I683" s="27" t="s">
        <v>764</v>
      </c>
      <c r="J683" s="26">
        <v>2023</v>
      </c>
      <c r="K683" s="27" t="s">
        <v>2297</v>
      </c>
      <c r="L683" s="26">
        <v>9785961470727</v>
      </c>
      <c r="M683" s="27" t="s">
        <v>2298</v>
      </c>
      <c r="N683" s="26">
        <v>416</v>
      </c>
      <c r="O683" s="28">
        <v>0.27</v>
      </c>
      <c r="P683" s="26">
        <v>115</v>
      </c>
      <c r="Q683" s="26">
        <v>165</v>
      </c>
      <c r="R683" s="26">
        <v>24</v>
      </c>
      <c r="S683" s="27" t="s">
        <v>190</v>
      </c>
      <c r="T683" s="27" t="s">
        <v>959</v>
      </c>
      <c r="U683" s="29">
        <v>2000</v>
      </c>
      <c r="V683" s="27" t="s">
        <v>44</v>
      </c>
      <c r="W683" s="27" t="s">
        <v>184</v>
      </c>
      <c r="X683" s="26">
        <v>10</v>
      </c>
      <c r="Y683" s="45" t="str">
        <f>HYPERLINK("https://api-enni.alpina.ru/FilePrivilegesApproval/156","https://api-enni.alpina.ru/FilePrivilegesApproval/156")</f>
        <v>https://api-enni.alpina.ru/FilePrivilegesApproval/156</v>
      </c>
      <c r="Z683" s="27"/>
      <c r="AS683" s="1">
        <f>IF($A683&lt;&gt;0,1,0)</f>
        <v>0</v>
      </c>
      <c r="AT683" s="1">
        <f>$A683*$B683</f>
        <v>0</v>
      </c>
      <c r="AU683" s="1">
        <f>$A683*$O683</f>
        <v>0</v>
      </c>
      <c r="AV683" s="1">
        <f>IF($R683=0,0,INT($A683/$R683))</f>
        <v>0</v>
      </c>
      <c r="AW683" s="1">
        <f>$A683-$AV683*$R683</f>
        <v>0</v>
      </c>
    </row>
    <row r="684" ht="24.95" customHeight="1" outlineLevel="3" s="1" customFormat="1">
      <c r="A684" s="15"/>
      <c r="B684" s="16">
        <v>440</v>
      </c>
      <c r="C684" s="16">
        <v>682</v>
      </c>
      <c r="D684" s="16">
        <v>11658</v>
      </c>
      <c r="E684" s="18"/>
      <c r="F684" s="18" t="s">
        <v>2299</v>
      </c>
      <c r="G684" s="18" t="s">
        <v>2300</v>
      </c>
      <c r="H684" s="18" t="s">
        <v>86</v>
      </c>
      <c r="I684" s="18" t="s">
        <v>74</v>
      </c>
      <c r="J684" s="16">
        <v>2026</v>
      </c>
      <c r="K684" s="18" t="s">
        <v>2301</v>
      </c>
      <c r="L684" s="16">
        <v>9785961421484</v>
      </c>
      <c r="M684" s="18" t="s">
        <v>2302</v>
      </c>
      <c r="N684" s="16">
        <v>586</v>
      </c>
      <c r="O684" s="19">
        <v>0.38</v>
      </c>
      <c r="P684" s="16">
        <v>115</v>
      </c>
      <c r="Q684" s="16">
        <v>165</v>
      </c>
      <c r="R684" s="16">
        <v>6</v>
      </c>
      <c r="S684" s="18" t="s">
        <v>190</v>
      </c>
      <c r="T684" s="18" t="s">
        <v>959</v>
      </c>
      <c r="U684" s="17">
        <v>2000</v>
      </c>
      <c r="V684" s="18" t="s">
        <v>44</v>
      </c>
      <c r="W684" s="18" t="s">
        <v>91</v>
      </c>
      <c r="X684" s="16">
        <v>10</v>
      </c>
      <c r="Y684" s="43" t="str">
        <f>HYPERLINK("https://api-enni.alpina.ru/FilePrivilegesApproval/156","https://api-enni.alpina.ru/FilePrivilegesApproval/156")</f>
        <v>https://api-enni.alpina.ru/FilePrivilegesApproval/156</v>
      </c>
      <c r="Z684" s="18" t="s">
        <v>1313</v>
      </c>
      <c r="AS684" s="1">
        <f>IF($A684&lt;&gt;0,1,0)</f>
        <v>0</v>
      </c>
      <c r="AT684" s="1">
        <f>$A684*$B684</f>
        <v>0</v>
      </c>
      <c r="AU684" s="1">
        <f>$A684*$O684</f>
        <v>0</v>
      </c>
      <c r="AV684" s="1">
        <f>IF($R684=0,0,INT($A684/$R684))</f>
        <v>0</v>
      </c>
      <c r="AW684" s="1">
        <f>$A684-$AV684*$R684</f>
        <v>0</v>
      </c>
    </row>
    <row r="685" ht="24.95" customHeight="1" outlineLevel="3" s="1" customFormat="1">
      <c r="A685" s="15"/>
      <c r="B685" s="16">
        <v>490</v>
      </c>
      <c r="C685" s="16">
        <v>760</v>
      </c>
      <c r="D685" s="16">
        <v>27648</v>
      </c>
      <c r="E685" s="18"/>
      <c r="F685" s="18" t="s">
        <v>1638</v>
      </c>
      <c r="G685" s="18" t="s">
        <v>2303</v>
      </c>
      <c r="H685" s="18" t="s">
        <v>73</v>
      </c>
      <c r="I685" s="18" t="s">
        <v>74</v>
      </c>
      <c r="J685" s="16">
        <v>2023</v>
      </c>
      <c r="K685" s="18" t="s">
        <v>2304</v>
      </c>
      <c r="L685" s="16">
        <v>9785001399384</v>
      </c>
      <c r="M685" s="18" t="s">
        <v>2305</v>
      </c>
      <c r="N685" s="16">
        <v>384</v>
      </c>
      <c r="O685" s="19">
        <v>0.25</v>
      </c>
      <c r="P685" s="16">
        <v>120</v>
      </c>
      <c r="Q685" s="16">
        <v>170</v>
      </c>
      <c r="R685" s="16">
        <v>10</v>
      </c>
      <c r="S685" s="18" t="s">
        <v>190</v>
      </c>
      <c r="T685" s="18" t="s">
        <v>959</v>
      </c>
      <c r="U685" s="17">
        <v>3000</v>
      </c>
      <c r="V685" s="18" t="s">
        <v>44</v>
      </c>
      <c r="W685" s="18" t="s">
        <v>69</v>
      </c>
      <c r="X685" s="16">
        <v>10</v>
      </c>
      <c r="Y685" s="43" t="str">
        <f>HYPERLINK("https://api-enni.alpina.ru/FilePrivilegesApproval/150","https://api-enni.alpina.ru/FilePrivilegesApproval/150")</f>
        <v>https://api-enni.alpina.ru/FilePrivilegesApproval/150</v>
      </c>
      <c r="Z685" s="18"/>
      <c r="AS685" s="1">
        <f>IF($A685&lt;&gt;0,1,0)</f>
        <v>0</v>
      </c>
      <c r="AT685" s="1">
        <f>$A685*$B685</f>
        <v>0</v>
      </c>
      <c r="AU685" s="1">
        <f>$A685*$O685</f>
        <v>0</v>
      </c>
      <c r="AV685" s="1">
        <f>IF($R685=0,0,INT($A685/$R685))</f>
        <v>0</v>
      </c>
      <c r="AW685" s="1">
        <f>$A685-$AV685*$R685</f>
        <v>0</v>
      </c>
    </row>
    <row r="686" ht="24.95" customHeight="1" outlineLevel="3" s="1" customFormat="1">
      <c r="A686" s="15"/>
      <c r="B686" s="16">
        <v>340</v>
      </c>
      <c r="C686" s="16">
        <v>544</v>
      </c>
      <c r="D686" s="16">
        <v>11395</v>
      </c>
      <c r="E686" s="18"/>
      <c r="F686" s="18" t="s">
        <v>2306</v>
      </c>
      <c r="G686" s="18" t="s">
        <v>2307</v>
      </c>
      <c r="H686" s="18" t="s">
        <v>86</v>
      </c>
      <c r="I686" s="18" t="s">
        <v>74</v>
      </c>
      <c r="J686" s="16">
        <v>2025</v>
      </c>
      <c r="K686" s="18" t="s">
        <v>2308</v>
      </c>
      <c r="L686" s="16">
        <v>9785961413687</v>
      </c>
      <c r="M686" s="18" t="s">
        <v>2309</v>
      </c>
      <c r="N686" s="16">
        <v>346</v>
      </c>
      <c r="O686" s="19">
        <v>0.23</v>
      </c>
      <c r="P686" s="16">
        <v>115</v>
      </c>
      <c r="Q686" s="16">
        <v>17</v>
      </c>
      <c r="R686" s="16">
        <v>10</v>
      </c>
      <c r="S686" s="18" t="s">
        <v>190</v>
      </c>
      <c r="T686" s="18" t="s">
        <v>959</v>
      </c>
      <c r="U686" s="17">
        <v>2000</v>
      </c>
      <c r="V686" s="18" t="s">
        <v>44</v>
      </c>
      <c r="W686" s="18" t="s">
        <v>184</v>
      </c>
      <c r="X686" s="16">
        <v>10</v>
      </c>
      <c r="Y686" s="43" t="str">
        <f>HYPERLINK("https://api-enni.alpina.ru/FilePrivilegesApproval/156","https://api-enni.alpina.ru/FilePrivilegesApproval/156")</f>
        <v>https://api-enni.alpina.ru/FilePrivilegesApproval/156</v>
      </c>
      <c r="Z686" s="18"/>
      <c r="AS686" s="1">
        <f>IF($A686&lt;&gt;0,1,0)</f>
        <v>0</v>
      </c>
      <c r="AT686" s="1">
        <f>$A686*$B686</f>
        <v>0</v>
      </c>
      <c r="AU686" s="1">
        <f>$A686*$O686</f>
        <v>0</v>
      </c>
      <c r="AV686" s="1">
        <f>IF($R686=0,0,INT($A686/$R686))</f>
        <v>0</v>
      </c>
      <c r="AW686" s="1">
        <f>$A686-$AV686*$R686</f>
        <v>0</v>
      </c>
    </row>
    <row r="687" ht="24.95" customHeight="1" outlineLevel="3" s="1" customFormat="1">
      <c r="A687" s="15"/>
      <c r="B687" s="16">
        <v>390</v>
      </c>
      <c r="C687" s="16">
        <v>624</v>
      </c>
      <c r="D687" s="16">
        <v>12090</v>
      </c>
      <c r="E687" s="18"/>
      <c r="F687" s="18" t="s">
        <v>1649</v>
      </c>
      <c r="G687" s="18" t="s">
        <v>2310</v>
      </c>
      <c r="H687" s="18" t="s">
        <v>86</v>
      </c>
      <c r="I687" s="18" t="s">
        <v>74</v>
      </c>
      <c r="J687" s="16">
        <v>2025</v>
      </c>
      <c r="K687" s="18" t="s">
        <v>2311</v>
      </c>
      <c r="L687" s="16">
        <v>9785961422870</v>
      </c>
      <c r="M687" s="18" t="s">
        <v>2312</v>
      </c>
      <c r="N687" s="16">
        <v>343</v>
      </c>
      <c r="O687" s="19">
        <v>0.23</v>
      </c>
      <c r="P687" s="16">
        <v>120</v>
      </c>
      <c r="Q687" s="16">
        <v>170</v>
      </c>
      <c r="R687" s="16">
        <v>10</v>
      </c>
      <c r="S687" s="18" t="s">
        <v>190</v>
      </c>
      <c r="T687" s="18" t="s">
        <v>959</v>
      </c>
      <c r="U687" s="17">
        <v>2000</v>
      </c>
      <c r="V687" s="18" t="s">
        <v>44</v>
      </c>
      <c r="W687" s="18" t="s">
        <v>184</v>
      </c>
      <c r="X687" s="16">
        <v>10</v>
      </c>
      <c r="Y687" s="43" t="str">
        <f>HYPERLINK("https://api-enni.alpina.ru/FilePrivilegesApproval/140","https://api-enni.alpina.ru/FilePrivilegesApproval/140")</f>
        <v>https://api-enni.alpina.ru/FilePrivilegesApproval/140</v>
      </c>
      <c r="Z687" s="18"/>
      <c r="AS687" s="1">
        <f>IF($A687&lt;&gt;0,1,0)</f>
        <v>0</v>
      </c>
      <c r="AT687" s="1">
        <f>$A687*$B687</f>
        <v>0</v>
      </c>
      <c r="AU687" s="1">
        <f>$A687*$O687</f>
        <v>0</v>
      </c>
      <c r="AV687" s="1">
        <f>IF($R687=0,0,INT($A687/$R687))</f>
        <v>0</v>
      </c>
      <c r="AW687" s="1">
        <f>$A687-$AV687*$R687</f>
        <v>0</v>
      </c>
    </row>
    <row r="688" ht="24.95" customHeight="1" outlineLevel="3" s="1" customFormat="1">
      <c r="A688" s="15"/>
      <c r="B688" s="16">
        <v>440</v>
      </c>
      <c r="C688" s="16">
        <v>682</v>
      </c>
      <c r="D688" s="16">
        <v>11212</v>
      </c>
      <c r="E688" s="18"/>
      <c r="F688" s="18" t="s">
        <v>2313</v>
      </c>
      <c r="G688" s="18" t="s">
        <v>2314</v>
      </c>
      <c r="H688" s="18" t="s">
        <v>73</v>
      </c>
      <c r="I688" s="18" t="s">
        <v>74</v>
      </c>
      <c r="J688" s="16">
        <v>2025</v>
      </c>
      <c r="K688" s="18" t="s">
        <v>2315</v>
      </c>
      <c r="L688" s="16">
        <v>9785001390343</v>
      </c>
      <c r="M688" s="18" t="s">
        <v>2316</v>
      </c>
      <c r="N688" s="16">
        <v>316</v>
      </c>
      <c r="O688" s="19">
        <v>0.21</v>
      </c>
      <c r="P688" s="16">
        <v>115</v>
      </c>
      <c r="Q688" s="16">
        <v>165</v>
      </c>
      <c r="R688" s="16">
        <v>20</v>
      </c>
      <c r="S688" s="18" t="s">
        <v>190</v>
      </c>
      <c r="T688" s="18" t="s">
        <v>959</v>
      </c>
      <c r="U688" s="17">
        <v>2000</v>
      </c>
      <c r="V688" s="18" t="s">
        <v>44</v>
      </c>
      <c r="W688" s="18" t="s">
        <v>69</v>
      </c>
      <c r="X688" s="16">
        <v>10</v>
      </c>
      <c r="Y688" s="43" t="str">
        <f>HYPERLINK("https://api-enni.alpina.ru/FilePrivilegesApproval/146","https://api-enni.alpina.ru/FilePrivilegesApproval/146")</f>
        <v>https://api-enni.alpina.ru/FilePrivilegesApproval/146</v>
      </c>
      <c r="Z688" s="18"/>
      <c r="AS688" s="1">
        <f>IF($A688&lt;&gt;0,1,0)</f>
        <v>0</v>
      </c>
      <c r="AT688" s="1">
        <f>$A688*$B688</f>
        <v>0</v>
      </c>
      <c r="AU688" s="1">
        <f>$A688*$O688</f>
        <v>0</v>
      </c>
      <c r="AV688" s="1">
        <f>IF($R688=0,0,INT($A688/$R688))</f>
        <v>0</v>
      </c>
      <c r="AW688" s="1">
        <f>$A688-$AV688*$R688</f>
        <v>0</v>
      </c>
    </row>
    <row r="689" ht="24.95" customHeight="1" outlineLevel="3" s="1" customFormat="1">
      <c r="A689" s="15"/>
      <c r="B689" s="16">
        <v>340</v>
      </c>
      <c r="C689" s="16">
        <v>544</v>
      </c>
      <c r="D689" s="16">
        <v>19121</v>
      </c>
      <c r="E689" s="18"/>
      <c r="F689" s="18" t="s">
        <v>2317</v>
      </c>
      <c r="G689" s="18" t="s">
        <v>2318</v>
      </c>
      <c r="H689" s="18" t="s">
        <v>86</v>
      </c>
      <c r="I689" s="18" t="s">
        <v>74</v>
      </c>
      <c r="J689" s="16">
        <v>2024</v>
      </c>
      <c r="K689" s="18" t="s">
        <v>2319</v>
      </c>
      <c r="L689" s="16">
        <v>9785961438512</v>
      </c>
      <c r="M689" s="18" t="s">
        <v>2320</v>
      </c>
      <c r="N689" s="16">
        <v>330</v>
      </c>
      <c r="O689" s="19">
        <v>0.23</v>
      </c>
      <c r="P689" s="16">
        <v>115</v>
      </c>
      <c r="Q689" s="16">
        <v>165</v>
      </c>
      <c r="R689" s="16">
        <v>8</v>
      </c>
      <c r="S689" s="18" t="s">
        <v>190</v>
      </c>
      <c r="T689" s="18" t="s">
        <v>959</v>
      </c>
      <c r="U689" s="17">
        <v>10000</v>
      </c>
      <c r="V689" s="18" t="s">
        <v>44</v>
      </c>
      <c r="W689" s="18" t="s">
        <v>184</v>
      </c>
      <c r="X689" s="16">
        <v>10</v>
      </c>
      <c r="Y689" s="43" t="str">
        <f>HYPERLINK("https://api-enni.alpina.ru/FilePrivilegesApproval/158","https://api-enni.alpina.ru/FilePrivilegesApproval/158")</f>
        <v>https://api-enni.alpina.ru/FilePrivilegesApproval/158</v>
      </c>
      <c r="Z689" s="18"/>
      <c r="AS689" s="1">
        <f>IF($A689&lt;&gt;0,1,0)</f>
        <v>0</v>
      </c>
      <c r="AT689" s="1">
        <f>$A689*$B689</f>
        <v>0</v>
      </c>
      <c r="AU689" s="1">
        <f>$A689*$O689</f>
        <v>0</v>
      </c>
      <c r="AV689" s="1">
        <f>IF($R689=0,0,INT($A689/$R689))</f>
        <v>0</v>
      </c>
      <c r="AW689" s="1">
        <f>$A689-$AV689*$R689</f>
        <v>0</v>
      </c>
    </row>
    <row r="690" ht="24.95" customHeight="1" outlineLevel="3" s="1" customFormat="1">
      <c r="A690" s="15"/>
      <c r="B690" s="16">
        <v>340</v>
      </c>
      <c r="C690" s="16">
        <v>544</v>
      </c>
      <c r="D690" s="16">
        <v>9039</v>
      </c>
      <c r="E690" s="18"/>
      <c r="F690" s="18" t="s">
        <v>496</v>
      </c>
      <c r="G690" s="18" t="s">
        <v>2321</v>
      </c>
      <c r="H690" s="18" t="s">
        <v>86</v>
      </c>
      <c r="I690" s="18" t="s">
        <v>74</v>
      </c>
      <c r="J690" s="16">
        <v>2024</v>
      </c>
      <c r="K690" s="18" t="s">
        <v>2322</v>
      </c>
      <c r="L690" s="16">
        <v>9785961471205</v>
      </c>
      <c r="M690" s="18" t="s">
        <v>2323</v>
      </c>
      <c r="N690" s="16">
        <v>272</v>
      </c>
      <c r="O690" s="19">
        <v>0.18</v>
      </c>
      <c r="P690" s="16">
        <v>120</v>
      </c>
      <c r="Q690" s="16">
        <v>170</v>
      </c>
      <c r="R690" s="16">
        <v>20</v>
      </c>
      <c r="S690" s="18" t="s">
        <v>190</v>
      </c>
      <c r="T690" s="18" t="s">
        <v>959</v>
      </c>
      <c r="U690" s="17">
        <v>2000</v>
      </c>
      <c r="V690" s="18" t="s">
        <v>44</v>
      </c>
      <c r="W690" s="18" t="s">
        <v>184</v>
      </c>
      <c r="X690" s="16">
        <v>10</v>
      </c>
      <c r="Y690" s="43" t="str">
        <f>HYPERLINK("https://api-enni.alpina.ru/FilePrivilegesApproval/2","https://api-enni.alpina.ru/FilePrivilegesApproval/2")</f>
        <v>https://api-enni.alpina.ru/FilePrivilegesApproval/2</v>
      </c>
      <c r="Z690" s="18"/>
      <c r="AS690" s="1">
        <f>IF($A690&lt;&gt;0,1,0)</f>
        <v>0</v>
      </c>
      <c r="AT690" s="1">
        <f>$A690*$B690</f>
        <v>0</v>
      </c>
      <c r="AU690" s="1">
        <f>$A690*$O690</f>
        <v>0</v>
      </c>
      <c r="AV690" s="1">
        <f>IF($R690=0,0,INT($A690/$R690))</f>
        <v>0</v>
      </c>
      <c r="AW690" s="1">
        <f>$A690-$AV690*$R690</f>
        <v>0</v>
      </c>
    </row>
    <row r="691" ht="24.95" customHeight="1" outlineLevel="3" s="1" customFormat="1">
      <c r="A691" s="15"/>
      <c r="B691" s="16">
        <v>790</v>
      </c>
      <c r="C691" s="17">
        <v>1146</v>
      </c>
      <c r="D691" s="16">
        <v>35668</v>
      </c>
      <c r="E691" s="18"/>
      <c r="F691" s="18" t="s">
        <v>2324</v>
      </c>
      <c r="G691" s="18" t="s">
        <v>2325</v>
      </c>
      <c r="H691" s="18" t="s">
        <v>86</v>
      </c>
      <c r="I691" s="18" t="s">
        <v>74</v>
      </c>
      <c r="J691" s="16">
        <v>2026</v>
      </c>
      <c r="K691" s="18" t="s">
        <v>2326</v>
      </c>
      <c r="L691" s="16">
        <v>9785006312647</v>
      </c>
      <c r="M691" s="18" t="s">
        <v>2327</v>
      </c>
      <c r="N691" s="16">
        <v>312</v>
      </c>
      <c r="O691" s="19">
        <v>0.41</v>
      </c>
      <c r="P691" s="16">
        <v>150</v>
      </c>
      <c r="Q691" s="16">
        <v>220</v>
      </c>
      <c r="R691" s="16">
        <v>10</v>
      </c>
      <c r="S691" s="18" t="s">
        <v>43</v>
      </c>
      <c r="T691" s="18"/>
      <c r="U691" s="17">
        <v>1000</v>
      </c>
      <c r="V691" s="18" t="s">
        <v>77</v>
      </c>
      <c r="W691" s="18" t="s">
        <v>69</v>
      </c>
      <c r="X691" s="16">
        <v>10</v>
      </c>
      <c r="Y691" s="43" t="str">
        <f>HYPERLINK("https://api-enni.alpina.ru/FilePrivilegesApproval/1052","https://api-enni.alpina.ru/FilePrivilegesApproval/1052")</f>
        <v>https://api-enni.alpina.ru/FilePrivilegesApproval/1052</v>
      </c>
      <c r="Z691" s="18" t="s">
        <v>410</v>
      </c>
      <c r="AS691" s="1">
        <f>IF($A691&lt;&gt;0,1,0)</f>
        <v>0</v>
      </c>
      <c r="AT691" s="1">
        <f>$A691*$B691</f>
        <v>0</v>
      </c>
      <c r="AU691" s="1">
        <f>$A691*$O691</f>
        <v>0</v>
      </c>
      <c r="AV691" s="1">
        <f>IF($R691=0,0,INT($A691/$R691))</f>
        <v>0</v>
      </c>
      <c r="AW691" s="1">
        <f>$A691-$AV691*$R691</f>
        <v>0</v>
      </c>
    </row>
    <row r="692" ht="24.95" customHeight="1" outlineLevel="3" s="1" customFormat="1">
      <c r="A692" s="15"/>
      <c r="B692" s="16">
        <v>340</v>
      </c>
      <c r="C692" s="16">
        <v>544</v>
      </c>
      <c r="D692" s="16">
        <v>8616</v>
      </c>
      <c r="E692" s="18"/>
      <c r="F692" s="18" t="s">
        <v>1649</v>
      </c>
      <c r="G692" s="18" t="s">
        <v>2328</v>
      </c>
      <c r="H692" s="18" t="s">
        <v>86</v>
      </c>
      <c r="I692" s="18" t="s">
        <v>74</v>
      </c>
      <c r="J692" s="16">
        <v>2025</v>
      </c>
      <c r="K692" s="18" t="s">
        <v>2329</v>
      </c>
      <c r="L692" s="16">
        <v>9785961468946</v>
      </c>
      <c r="M692" s="18" t="s">
        <v>2330</v>
      </c>
      <c r="N692" s="16">
        <v>320</v>
      </c>
      <c r="O692" s="19">
        <v>0.21</v>
      </c>
      <c r="P692" s="16">
        <v>115</v>
      </c>
      <c r="Q692" s="16">
        <v>165</v>
      </c>
      <c r="R692" s="16">
        <v>12</v>
      </c>
      <c r="S692" s="18" t="s">
        <v>190</v>
      </c>
      <c r="T692" s="18" t="s">
        <v>959</v>
      </c>
      <c r="U692" s="17">
        <v>2000</v>
      </c>
      <c r="V692" s="18" t="s">
        <v>44</v>
      </c>
      <c r="W692" s="18" t="s">
        <v>184</v>
      </c>
      <c r="X692" s="16">
        <v>10</v>
      </c>
      <c r="Y692" s="43" t="str">
        <f>HYPERLINK("https://api-enni.alpina.ru/FilePrivilegesApproval/152","https://api-enni.alpina.ru/FilePrivilegesApproval/152")</f>
        <v>https://api-enni.alpina.ru/FilePrivilegesApproval/152</v>
      </c>
      <c r="Z692" s="18"/>
      <c r="AS692" s="1">
        <f>IF($A692&lt;&gt;0,1,0)</f>
        <v>0</v>
      </c>
      <c r="AT692" s="1">
        <f>$A692*$B692</f>
        <v>0</v>
      </c>
      <c r="AU692" s="1">
        <f>$A692*$O692</f>
        <v>0</v>
      </c>
      <c r="AV692" s="1">
        <f>IF($R692=0,0,INT($A692/$R692))</f>
        <v>0</v>
      </c>
      <c r="AW692" s="1">
        <f>$A692-$AV692*$R692</f>
        <v>0</v>
      </c>
    </row>
    <row r="693" ht="24.95" customHeight="1" outlineLevel="3" s="1" customFormat="1">
      <c r="A693" s="25"/>
      <c r="B693" s="26">
        <v>540</v>
      </c>
      <c r="C693" s="26">
        <v>885</v>
      </c>
      <c r="D693" s="26">
        <v>5926</v>
      </c>
      <c r="E693" s="27"/>
      <c r="F693" s="27" t="s">
        <v>2331</v>
      </c>
      <c r="G693" s="27" t="s">
        <v>2332</v>
      </c>
      <c r="H693" s="27" t="s">
        <v>86</v>
      </c>
      <c r="I693" s="27" t="s">
        <v>74</v>
      </c>
      <c r="J693" s="26">
        <v>2025</v>
      </c>
      <c r="K693" s="27" t="s">
        <v>2333</v>
      </c>
      <c r="L693" s="26">
        <v>9785961460582</v>
      </c>
      <c r="M693" s="27" t="s">
        <v>2334</v>
      </c>
      <c r="N693" s="26">
        <v>320</v>
      </c>
      <c r="O693" s="28">
        <v>0.5</v>
      </c>
      <c r="P693" s="26">
        <v>146</v>
      </c>
      <c r="Q693" s="26">
        <v>216</v>
      </c>
      <c r="R693" s="26">
        <v>6</v>
      </c>
      <c r="S693" s="27" t="s">
        <v>43</v>
      </c>
      <c r="T693" s="27"/>
      <c r="U693" s="29">
        <v>1000</v>
      </c>
      <c r="V693" s="27" t="s">
        <v>77</v>
      </c>
      <c r="W693" s="27" t="s">
        <v>184</v>
      </c>
      <c r="X693" s="26">
        <v>10</v>
      </c>
      <c r="Y693" s="45" t="str">
        <f>HYPERLINK("https://api-enni.alpina.ru/FilePrivilegesApproval/2","https://api-enni.alpina.ru/FilePrivilegesApproval/2")</f>
        <v>https://api-enni.alpina.ru/FilePrivilegesApproval/2</v>
      </c>
      <c r="Z693" s="27"/>
      <c r="AS693" s="1">
        <f>IF($A693&lt;&gt;0,1,0)</f>
        <v>0</v>
      </c>
      <c r="AT693" s="1">
        <f>$A693*$B693</f>
        <v>0</v>
      </c>
      <c r="AU693" s="1">
        <f>$A693*$O693</f>
        <v>0</v>
      </c>
      <c r="AV693" s="1">
        <f>IF($R693=0,0,INT($A693/$R693))</f>
        <v>0</v>
      </c>
      <c r="AW693" s="1">
        <f>$A693-$AV693*$R693</f>
        <v>0</v>
      </c>
    </row>
    <row r="694" ht="24.95" customHeight="1" outlineLevel="3" s="1" customFormat="1">
      <c r="A694" s="15"/>
      <c r="B694" s="16">
        <v>340</v>
      </c>
      <c r="C694" s="16">
        <v>544</v>
      </c>
      <c r="D694" s="16">
        <v>8596</v>
      </c>
      <c r="E694" s="18"/>
      <c r="F694" s="18" t="s">
        <v>2335</v>
      </c>
      <c r="G694" s="18" t="s">
        <v>2336</v>
      </c>
      <c r="H694" s="18" t="s">
        <v>86</v>
      </c>
      <c r="I694" s="18" t="s">
        <v>74</v>
      </c>
      <c r="J694" s="16">
        <v>2024</v>
      </c>
      <c r="K694" s="18" t="s">
        <v>2337</v>
      </c>
      <c r="L694" s="16">
        <v>9785961468564</v>
      </c>
      <c r="M694" s="18" t="s">
        <v>2338</v>
      </c>
      <c r="N694" s="16">
        <v>432</v>
      </c>
      <c r="O694" s="19">
        <v>0.38</v>
      </c>
      <c r="P694" s="16">
        <v>120</v>
      </c>
      <c r="Q694" s="16">
        <v>170</v>
      </c>
      <c r="R694" s="16">
        <v>6</v>
      </c>
      <c r="S694" s="18" t="s">
        <v>190</v>
      </c>
      <c r="T694" s="18" t="s">
        <v>959</v>
      </c>
      <c r="U694" s="17">
        <v>5000</v>
      </c>
      <c r="V694" s="18" t="s">
        <v>44</v>
      </c>
      <c r="W694" s="18" t="s">
        <v>91</v>
      </c>
      <c r="X694" s="16">
        <v>10</v>
      </c>
      <c r="Y694" s="43" t="str">
        <f>HYPERLINK("https://api-enni.alpina.ru/FilePrivilegesApproval/141","https://api-enni.alpina.ru/FilePrivilegesApproval/141")</f>
        <v>https://api-enni.alpina.ru/FilePrivilegesApproval/141</v>
      </c>
      <c r="Z694" s="18"/>
      <c r="AS694" s="1">
        <f>IF($A694&lt;&gt;0,1,0)</f>
        <v>0</v>
      </c>
      <c r="AT694" s="1">
        <f>$A694*$B694</f>
        <v>0</v>
      </c>
      <c r="AU694" s="1">
        <f>$A694*$O694</f>
        <v>0</v>
      </c>
      <c r="AV694" s="1">
        <f>IF($R694=0,0,INT($A694/$R694))</f>
        <v>0</v>
      </c>
      <c r="AW694" s="1">
        <f>$A694-$AV694*$R694</f>
        <v>0</v>
      </c>
    </row>
    <row r="695" ht="24.95" customHeight="1" outlineLevel="3" s="1" customFormat="1">
      <c r="A695" s="15"/>
      <c r="B695" s="16">
        <v>390</v>
      </c>
      <c r="C695" s="16">
        <v>624</v>
      </c>
      <c r="D695" s="16">
        <v>11087</v>
      </c>
      <c r="E695" s="18"/>
      <c r="F695" s="18" t="s">
        <v>2339</v>
      </c>
      <c r="G695" s="18" t="s">
        <v>2340</v>
      </c>
      <c r="H695" s="18" t="s">
        <v>86</v>
      </c>
      <c r="I695" s="18" t="s">
        <v>74</v>
      </c>
      <c r="J695" s="16">
        <v>2023</v>
      </c>
      <c r="K695" s="18" t="s">
        <v>2341</v>
      </c>
      <c r="L695" s="16">
        <v>9785961412086</v>
      </c>
      <c r="M695" s="18" t="s">
        <v>2342</v>
      </c>
      <c r="N695" s="16">
        <v>502</v>
      </c>
      <c r="O695" s="19">
        <v>0.32</v>
      </c>
      <c r="P695" s="16">
        <v>115</v>
      </c>
      <c r="Q695" s="16">
        <v>165</v>
      </c>
      <c r="R695" s="16">
        <v>10</v>
      </c>
      <c r="S695" s="18" t="s">
        <v>190</v>
      </c>
      <c r="T695" s="18" t="s">
        <v>959</v>
      </c>
      <c r="U695" s="17">
        <v>4000</v>
      </c>
      <c r="V695" s="18" t="s">
        <v>44</v>
      </c>
      <c r="W695" s="18" t="s">
        <v>69</v>
      </c>
      <c r="X695" s="16">
        <v>10</v>
      </c>
      <c r="Y695" s="43" t="str">
        <f>HYPERLINK("https://api-enni.alpina.ru/FilePrivilegesApproval/2","https://api-enni.alpina.ru/FilePrivilegesApproval/2")</f>
        <v>https://api-enni.alpina.ru/FilePrivilegesApproval/2</v>
      </c>
      <c r="Z695" s="18"/>
      <c r="AS695" s="1">
        <f>IF($A695&lt;&gt;0,1,0)</f>
        <v>0</v>
      </c>
      <c r="AT695" s="1">
        <f>$A695*$B695</f>
        <v>0</v>
      </c>
      <c r="AU695" s="1">
        <f>$A695*$O695</f>
        <v>0</v>
      </c>
      <c r="AV695" s="1">
        <f>IF($R695=0,0,INT($A695/$R695))</f>
        <v>0</v>
      </c>
      <c r="AW695" s="1">
        <f>$A695-$AV695*$R695</f>
        <v>0</v>
      </c>
    </row>
    <row r="696" ht="24.95" customHeight="1" outlineLevel="3" s="1" customFormat="1">
      <c r="A696" s="15"/>
      <c r="B696" s="16">
        <v>390</v>
      </c>
      <c r="C696" s="16">
        <v>624</v>
      </c>
      <c r="D696" s="16">
        <v>8746</v>
      </c>
      <c r="E696" s="18"/>
      <c r="F696" s="18" t="s">
        <v>2343</v>
      </c>
      <c r="G696" s="18" t="s">
        <v>2344</v>
      </c>
      <c r="H696" s="18" t="s">
        <v>86</v>
      </c>
      <c r="I696" s="18" t="s">
        <v>74</v>
      </c>
      <c r="J696" s="16">
        <v>2025</v>
      </c>
      <c r="K696" s="18" t="s">
        <v>2345</v>
      </c>
      <c r="L696" s="16">
        <v>9785961470680</v>
      </c>
      <c r="M696" s="18" t="s">
        <v>2346</v>
      </c>
      <c r="N696" s="16">
        <v>336</v>
      </c>
      <c r="O696" s="19">
        <v>0.22</v>
      </c>
      <c r="P696" s="16">
        <v>120</v>
      </c>
      <c r="Q696" s="16">
        <v>170</v>
      </c>
      <c r="R696" s="16">
        <v>10</v>
      </c>
      <c r="S696" s="18" t="s">
        <v>190</v>
      </c>
      <c r="T696" s="18" t="s">
        <v>959</v>
      </c>
      <c r="U696" s="17">
        <v>2000</v>
      </c>
      <c r="V696" s="18" t="s">
        <v>44</v>
      </c>
      <c r="W696" s="18" t="s">
        <v>184</v>
      </c>
      <c r="X696" s="16">
        <v>10</v>
      </c>
      <c r="Y696" s="43" t="str">
        <f>HYPERLINK("https://api-enni.alpina.ru/FilePrivilegesApproval/156","https://api-enni.alpina.ru/FilePrivilegesApproval/156")</f>
        <v>https://api-enni.alpina.ru/FilePrivilegesApproval/156</v>
      </c>
      <c r="Z696" s="18"/>
      <c r="AS696" s="1">
        <f>IF($A696&lt;&gt;0,1,0)</f>
        <v>0</v>
      </c>
      <c r="AT696" s="1">
        <f>$A696*$B696</f>
        <v>0</v>
      </c>
      <c r="AU696" s="1">
        <f>$A696*$O696</f>
        <v>0</v>
      </c>
      <c r="AV696" s="1">
        <f>IF($R696=0,0,INT($A696/$R696))</f>
        <v>0</v>
      </c>
      <c r="AW696" s="1">
        <f>$A696-$AV696*$R696</f>
        <v>0</v>
      </c>
    </row>
    <row r="697" ht="24.95" customHeight="1" outlineLevel="3" s="1" customFormat="1">
      <c r="A697" s="15"/>
      <c r="B697" s="16">
        <v>340</v>
      </c>
      <c r="C697" s="16">
        <v>544</v>
      </c>
      <c r="D697" s="16">
        <v>8569</v>
      </c>
      <c r="E697" s="18"/>
      <c r="F697" s="18" t="s">
        <v>2347</v>
      </c>
      <c r="G697" s="18" t="s">
        <v>2348</v>
      </c>
      <c r="H697" s="18" t="s">
        <v>86</v>
      </c>
      <c r="I697" s="18" t="s">
        <v>74</v>
      </c>
      <c r="J697" s="16">
        <v>2025</v>
      </c>
      <c r="K697" s="18" t="s">
        <v>2349</v>
      </c>
      <c r="L697" s="16">
        <v>9785961469998</v>
      </c>
      <c r="M697" s="18" t="s">
        <v>2350</v>
      </c>
      <c r="N697" s="16">
        <v>368</v>
      </c>
      <c r="O697" s="19">
        <v>0.24</v>
      </c>
      <c r="P697" s="16">
        <v>115</v>
      </c>
      <c r="Q697" s="16">
        <v>165</v>
      </c>
      <c r="R697" s="16">
        <v>16</v>
      </c>
      <c r="S697" s="18" t="s">
        <v>190</v>
      </c>
      <c r="T697" s="18" t="s">
        <v>959</v>
      </c>
      <c r="U697" s="17">
        <v>3000</v>
      </c>
      <c r="V697" s="18" t="s">
        <v>44</v>
      </c>
      <c r="W697" s="18" t="s">
        <v>45</v>
      </c>
      <c r="X697" s="16">
        <v>10</v>
      </c>
      <c r="Y697" s="43" t="str">
        <f>HYPERLINK("https://api-enni.alpina.ru/FilePrivilegesApproval/153","https://api-enni.alpina.ru/FilePrivilegesApproval/153")</f>
        <v>https://api-enni.alpina.ru/FilePrivilegesApproval/153</v>
      </c>
      <c r="Z697" s="18"/>
      <c r="AS697" s="1">
        <f>IF($A697&lt;&gt;0,1,0)</f>
        <v>0</v>
      </c>
      <c r="AT697" s="1">
        <f>$A697*$B697</f>
        <v>0</v>
      </c>
      <c r="AU697" s="1">
        <f>$A697*$O697</f>
        <v>0</v>
      </c>
      <c r="AV697" s="1">
        <f>IF($R697=0,0,INT($A697/$R697))</f>
        <v>0</v>
      </c>
      <c r="AW697" s="1">
        <f>$A697-$AV697*$R697</f>
        <v>0</v>
      </c>
    </row>
    <row r="698" ht="24.95" customHeight="1" outlineLevel="3" s="1" customFormat="1">
      <c r="A698" s="15"/>
      <c r="B698" s="16">
        <v>340</v>
      </c>
      <c r="C698" s="16">
        <v>544</v>
      </c>
      <c r="D698" s="16">
        <v>8743</v>
      </c>
      <c r="E698" s="18"/>
      <c r="F698" s="18" t="s">
        <v>2351</v>
      </c>
      <c r="G698" s="18" t="s">
        <v>2352</v>
      </c>
      <c r="H698" s="18" t="s">
        <v>86</v>
      </c>
      <c r="I698" s="18" t="s">
        <v>74</v>
      </c>
      <c r="J698" s="16">
        <v>2025</v>
      </c>
      <c r="K698" s="18" t="s">
        <v>2353</v>
      </c>
      <c r="L698" s="16">
        <v>9785961470024</v>
      </c>
      <c r="M698" s="18" t="s">
        <v>2354</v>
      </c>
      <c r="N698" s="16">
        <v>288</v>
      </c>
      <c r="O698" s="19">
        <v>0.2</v>
      </c>
      <c r="P698" s="16">
        <v>115</v>
      </c>
      <c r="Q698" s="16">
        <v>165</v>
      </c>
      <c r="R698" s="16">
        <v>12</v>
      </c>
      <c r="S698" s="18" t="s">
        <v>190</v>
      </c>
      <c r="T698" s="18" t="s">
        <v>959</v>
      </c>
      <c r="U698" s="17">
        <v>3000</v>
      </c>
      <c r="V698" s="18" t="s">
        <v>44</v>
      </c>
      <c r="W698" s="18" t="s">
        <v>184</v>
      </c>
      <c r="X698" s="16">
        <v>10</v>
      </c>
      <c r="Y698" s="43" t="str">
        <f>HYPERLINK("https://api-enni.alpina.ru/FilePrivilegesApproval/2","https://api-enni.alpina.ru/FilePrivilegesApproval/2")</f>
        <v>https://api-enni.alpina.ru/FilePrivilegesApproval/2</v>
      </c>
      <c r="Z698" s="18"/>
      <c r="AS698" s="1">
        <f>IF($A698&lt;&gt;0,1,0)</f>
        <v>0</v>
      </c>
      <c r="AT698" s="1">
        <f>$A698*$B698</f>
        <v>0</v>
      </c>
      <c r="AU698" s="1">
        <f>$A698*$O698</f>
        <v>0</v>
      </c>
      <c r="AV698" s="1">
        <f>IF($R698=0,0,INT($A698/$R698))</f>
        <v>0</v>
      </c>
      <c r="AW698" s="1">
        <f>$A698-$AV698*$R698</f>
        <v>0</v>
      </c>
    </row>
    <row r="699" ht="21.95" customHeight="1" outlineLevel="3" s="1" customFormat="1">
      <c r="A699" s="15"/>
      <c r="B699" s="16">
        <v>340</v>
      </c>
      <c r="C699" s="16">
        <v>544</v>
      </c>
      <c r="D699" s="16">
        <v>8617</v>
      </c>
      <c r="E699" s="18"/>
      <c r="F699" s="18" t="s">
        <v>955</v>
      </c>
      <c r="G699" s="18" t="s">
        <v>956</v>
      </c>
      <c r="H699" s="18" t="s">
        <v>86</v>
      </c>
      <c r="I699" s="18" t="s">
        <v>87</v>
      </c>
      <c r="J699" s="16">
        <v>2026</v>
      </c>
      <c r="K699" s="18" t="s">
        <v>957</v>
      </c>
      <c r="L699" s="16">
        <v>9785961468922</v>
      </c>
      <c r="M699" s="18" t="s">
        <v>958</v>
      </c>
      <c r="N699" s="16">
        <v>288</v>
      </c>
      <c r="O699" s="19">
        <v>0.19</v>
      </c>
      <c r="P699" s="16">
        <v>115</v>
      </c>
      <c r="Q699" s="16">
        <v>165</v>
      </c>
      <c r="R699" s="16">
        <v>12</v>
      </c>
      <c r="S699" s="18" t="s">
        <v>190</v>
      </c>
      <c r="T699" s="18" t="s">
        <v>959</v>
      </c>
      <c r="U699" s="17">
        <v>10000</v>
      </c>
      <c r="V699" s="18" t="s">
        <v>44</v>
      </c>
      <c r="W699" s="18" t="s">
        <v>184</v>
      </c>
      <c r="X699" s="16">
        <v>10</v>
      </c>
      <c r="Y699" s="43" t="str">
        <f>HYPERLINK("","")</f>
      </c>
      <c r="Z699" s="18" t="s">
        <v>119</v>
      </c>
      <c r="AS699" s="1">
        <f>IF($A699&lt;&gt;0,1,0)</f>
        <v>0</v>
      </c>
      <c r="AT699" s="1">
        <f>$A699*$B699</f>
        <v>0</v>
      </c>
      <c r="AU699" s="1">
        <f>$A699*$O699</f>
        <v>0</v>
      </c>
      <c r="AV699" s="1">
        <f>IF($R699=0,0,INT($A699/$R699))</f>
        <v>0</v>
      </c>
      <c r="AW699" s="1">
        <f>$A699-$AV699*$R699</f>
        <v>0</v>
      </c>
    </row>
    <row r="700" ht="24.95" customHeight="1" outlineLevel="3" s="1" customFormat="1">
      <c r="A700" s="15"/>
      <c r="B700" s="16">
        <v>340</v>
      </c>
      <c r="C700" s="16">
        <v>544</v>
      </c>
      <c r="D700" s="16">
        <v>27933</v>
      </c>
      <c r="E700" s="18"/>
      <c r="F700" s="18" t="s">
        <v>2355</v>
      </c>
      <c r="G700" s="18" t="s">
        <v>2356</v>
      </c>
      <c r="H700" s="18" t="s">
        <v>86</v>
      </c>
      <c r="I700" s="18" t="s">
        <v>74</v>
      </c>
      <c r="J700" s="16">
        <v>2025</v>
      </c>
      <c r="K700" s="18" t="s">
        <v>2357</v>
      </c>
      <c r="L700" s="16">
        <v>9785961486872</v>
      </c>
      <c r="M700" s="18" t="s">
        <v>2358</v>
      </c>
      <c r="N700" s="16">
        <v>316</v>
      </c>
      <c r="O700" s="19">
        <v>0.21</v>
      </c>
      <c r="P700" s="16">
        <v>120</v>
      </c>
      <c r="Q700" s="16">
        <v>170</v>
      </c>
      <c r="R700" s="16">
        <v>20</v>
      </c>
      <c r="S700" s="18" t="s">
        <v>190</v>
      </c>
      <c r="T700" s="18" t="s">
        <v>959</v>
      </c>
      <c r="U700" s="17">
        <v>2000</v>
      </c>
      <c r="V700" s="18" t="s">
        <v>44</v>
      </c>
      <c r="W700" s="18" t="s">
        <v>69</v>
      </c>
      <c r="X700" s="16">
        <v>10</v>
      </c>
      <c r="Y700" s="43" t="str">
        <f>HYPERLINK("https://api-enni.alpina.ru/FilePrivilegesApproval/224","https://api-enni.alpina.ru/FilePrivilegesApproval/224")</f>
        <v>https://api-enni.alpina.ru/FilePrivilegesApproval/224</v>
      </c>
      <c r="Z700" s="18"/>
      <c r="AS700" s="1">
        <f>IF($A700&lt;&gt;0,1,0)</f>
        <v>0</v>
      </c>
      <c r="AT700" s="1">
        <f>$A700*$B700</f>
        <v>0</v>
      </c>
      <c r="AU700" s="1">
        <f>$A700*$O700</f>
        <v>0</v>
      </c>
      <c r="AV700" s="1">
        <f>IF($R700=0,0,INT($A700/$R700))</f>
        <v>0</v>
      </c>
      <c r="AW700" s="1">
        <f>$A700-$AV700*$R700</f>
        <v>0</v>
      </c>
    </row>
    <row r="701" ht="11.1" customHeight="1" outlineLevel="2">
      <c r="A701" s="41" t="s">
        <v>2359</v>
      </c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24"/>
    </row>
    <row r="702" ht="24.95" customHeight="1" outlineLevel="3" s="1" customFormat="1">
      <c r="A702" s="15"/>
      <c r="B702" s="16">
        <v>340</v>
      </c>
      <c r="C702" s="16">
        <v>544</v>
      </c>
      <c r="D702" s="16">
        <v>31463</v>
      </c>
      <c r="E702" s="18"/>
      <c r="F702" s="18" t="s">
        <v>1294</v>
      </c>
      <c r="G702" s="18" t="s">
        <v>2360</v>
      </c>
      <c r="H702" s="18" t="s">
        <v>86</v>
      </c>
      <c r="I702" s="18" t="s">
        <v>764</v>
      </c>
      <c r="J702" s="16">
        <v>2026</v>
      </c>
      <c r="K702" s="18" t="s">
        <v>2361</v>
      </c>
      <c r="L702" s="16">
        <v>9785961498844</v>
      </c>
      <c r="M702" s="18" t="s">
        <v>2362</v>
      </c>
      <c r="N702" s="16">
        <v>224</v>
      </c>
      <c r="O702" s="19">
        <v>0.29</v>
      </c>
      <c r="P702" s="16">
        <v>130</v>
      </c>
      <c r="Q702" s="16">
        <v>200</v>
      </c>
      <c r="R702" s="16">
        <v>10</v>
      </c>
      <c r="S702" s="18" t="s">
        <v>90</v>
      </c>
      <c r="T702" s="18" t="s">
        <v>1299</v>
      </c>
      <c r="U702" s="17">
        <v>3000</v>
      </c>
      <c r="V702" s="18" t="s">
        <v>44</v>
      </c>
      <c r="W702" s="18" t="s">
        <v>184</v>
      </c>
      <c r="X702" s="16">
        <v>10</v>
      </c>
      <c r="Y702" s="43" t="str">
        <f>HYPERLINK("https://api-enni.alpina.ru/FilePrivilegesApproval/633","https://api-enni.alpina.ru/FilePrivilegesApproval/633")</f>
        <v>https://api-enni.alpina.ru/FilePrivilegesApproval/633</v>
      </c>
      <c r="Z702" s="18"/>
      <c r="AS702" s="1">
        <f>IF($A702&lt;&gt;0,1,0)</f>
        <v>0</v>
      </c>
      <c r="AT702" s="1">
        <f>$A702*$B702</f>
        <v>0</v>
      </c>
      <c r="AU702" s="1">
        <f>$A702*$O702</f>
        <v>0</v>
      </c>
      <c r="AV702" s="1">
        <f>IF($R702=0,0,INT($A702/$R702))</f>
        <v>0</v>
      </c>
      <c r="AW702" s="1">
        <f>$A702-$AV702*$R702</f>
        <v>0</v>
      </c>
    </row>
    <row r="703" ht="24.95" customHeight="1" outlineLevel="3" s="1" customFormat="1">
      <c r="A703" s="15"/>
      <c r="B703" s="16">
        <v>340</v>
      </c>
      <c r="C703" s="16">
        <v>544</v>
      </c>
      <c r="D703" s="16">
        <v>28442</v>
      </c>
      <c r="E703" s="18"/>
      <c r="F703" s="18" t="s">
        <v>1294</v>
      </c>
      <c r="G703" s="18" t="s">
        <v>2363</v>
      </c>
      <c r="H703" s="18" t="s">
        <v>86</v>
      </c>
      <c r="I703" s="18" t="s">
        <v>1296</v>
      </c>
      <c r="J703" s="16">
        <v>2026</v>
      </c>
      <c r="K703" s="18" t="s">
        <v>2364</v>
      </c>
      <c r="L703" s="16">
        <v>9785961488937</v>
      </c>
      <c r="M703" s="18" t="s">
        <v>2365</v>
      </c>
      <c r="N703" s="16">
        <v>176</v>
      </c>
      <c r="O703" s="19">
        <v>0.18</v>
      </c>
      <c r="P703" s="16">
        <v>130</v>
      </c>
      <c r="Q703" s="16">
        <v>200</v>
      </c>
      <c r="R703" s="16">
        <v>20</v>
      </c>
      <c r="S703" s="18" t="s">
        <v>90</v>
      </c>
      <c r="T703" s="18" t="s">
        <v>1299</v>
      </c>
      <c r="U703" s="17">
        <v>1000</v>
      </c>
      <c r="V703" s="18" t="s">
        <v>44</v>
      </c>
      <c r="W703" s="18" t="s">
        <v>69</v>
      </c>
      <c r="X703" s="16">
        <v>10</v>
      </c>
      <c r="Y703" s="43" t="str">
        <f>HYPERLINK("https://api-enni.alpina.ru/FilePrivilegesApproval/163","https://api-enni.alpina.ru/FilePrivilegesApproval/163")</f>
        <v>https://api-enni.alpina.ru/FilePrivilegesApproval/163</v>
      </c>
      <c r="Z703" s="18" t="s">
        <v>46</v>
      </c>
      <c r="AS703" s="1">
        <f>IF($A703&lt;&gt;0,1,0)</f>
        <v>0</v>
      </c>
      <c r="AT703" s="1">
        <f>$A703*$B703</f>
        <v>0</v>
      </c>
      <c r="AU703" s="1">
        <f>$A703*$O703</f>
        <v>0</v>
      </c>
      <c r="AV703" s="1">
        <f>IF($R703=0,0,INT($A703/$R703))</f>
        <v>0</v>
      </c>
      <c r="AW703" s="1">
        <f>$A703-$AV703*$R703</f>
        <v>0</v>
      </c>
    </row>
    <row r="704" ht="24.95" customHeight="1" outlineLevel="3" s="1" customFormat="1">
      <c r="A704" s="15"/>
      <c r="B704" s="16">
        <v>340</v>
      </c>
      <c r="C704" s="16">
        <v>544</v>
      </c>
      <c r="D704" s="16">
        <v>27596</v>
      </c>
      <c r="E704" s="18"/>
      <c r="F704" s="18" t="s">
        <v>1294</v>
      </c>
      <c r="G704" s="18" t="s">
        <v>2366</v>
      </c>
      <c r="H704" s="18" t="s">
        <v>86</v>
      </c>
      <c r="I704" s="18" t="s">
        <v>1296</v>
      </c>
      <c r="J704" s="16">
        <v>2025</v>
      </c>
      <c r="K704" s="18" t="s">
        <v>2367</v>
      </c>
      <c r="L704" s="16">
        <v>9785961485806</v>
      </c>
      <c r="M704" s="18" t="s">
        <v>2368</v>
      </c>
      <c r="N704" s="16">
        <v>160</v>
      </c>
      <c r="O704" s="19">
        <v>0.17</v>
      </c>
      <c r="P704" s="16">
        <v>130</v>
      </c>
      <c r="Q704" s="16">
        <v>200</v>
      </c>
      <c r="R704" s="16">
        <v>30</v>
      </c>
      <c r="S704" s="18" t="s">
        <v>90</v>
      </c>
      <c r="T704" s="18" t="s">
        <v>1299</v>
      </c>
      <c r="U704" s="17">
        <v>4000</v>
      </c>
      <c r="V704" s="18" t="s">
        <v>44</v>
      </c>
      <c r="W704" s="18" t="s">
        <v>184</v>
      </c>
      <c r="X704" s="16">
        <v>10</v>
      </c>
      <c r="Y704" s="43" t="str">
        <f>HYPERLINK("https://api-enni.alpina.ru/FilePrivilegesApproval/205","https://api-enni.alpina.ru/FilePrivilegesApproval/205")</f>
        <v>https://api-enni.alpina.ru/FilePrivilegesApproval/205</v>
      </c>
      <c r="Z704" s="18"/>
      <c r="AS704" s="1">
        <f>IF($A704&lt;&gt;0,1,0)</f>
        <v>0</v>
      </c>
      <c r="AT704" s="1">
        <f>$A704*$B704</f>
        <v>0</v>
      </c>
      <c r="AU704" s="1">
        <f>$A704*$O704</f>
        <v>0</v>
      </c>
      <c r="AV704" s="1">
        <f>IF($R704=0,0,INT($A704/$R704))</f>
        <v>0</v>
      </c>
      <c r="AW704" s="1">
        <f>$A704-$AV704*$R704</f>
        <v>0</v>
      </c>
    </row>
    <row r="705" ht="24.95" customHeight="1" outlineLevel="3" s="1" customFormat="1">
      <c r="A705" s="15"/>
      <c r="B705" s="16">
        <v>340</v>
      </c>
      <c r="C705" s="16">
        <v>544</v>
      </c>
      <c r="D705" s="16">
        <v>27494</v>
      </c>
      <c r="E705" s="18"/>
      <c r="F705" s="18" t="s">
        <v>1294</v>
      </c>
      <c r="G705" s="18" t="s">
        <v>2369</v>
      </c>
      <c r="H705" s="18" t="s">
        <v>86</v>
      </c>
      <c r="I705" s="18" t="s">
        <v>1296</v>
      </c>
      <c r="J705" s="16">
        <v>2024</v>
      </c>
      <c r="K705" s="18" t="s">
        <v>2370</v>
      </c>
      <c r="L705" s="16">
        <v>9785961485370</v>
      </c>
      <c r="M705" s="18" t="s">
        <v>2371</v>
      </c>
      <c r="N705" s="16">
        <v>176</v>
      </c>
      <c r="O705" s="19">
        <v>0.19</v>
      </c>
      <c r="P705" s="16">
        <v>130</v>
      </c>
      <c r="Q705" s="16">
        <v>200</v>
      </c>
      <c r="R705" s="16">
        <v>24</v>
      </c>
      <c r="S705" s="18" t="s">
        <v>90</v>
      </c>
      <c r="T705" s="18" t="s">
        <v>1299</v>
      </c>
      <c r="U705" s="17">
        <v>10000</v>
      </c>
      <c r="V705" s="18" t="s">
        <v>44</v>
      </c>
      <c r="W705" s="18" t="s">
        <v>184</v>
      </c>
      <c r="X705" s="16">
        <v>10</v>
      </c>
      <c r="Y705" s="43" t="str">
        <f>HYPERLINK("https://api-enni.alpina.ru/FilePrivilegesApproval/124","https://api-enni.alpina.ru/FilePrivilegesApproval/124")</f>
        <v>https://api-enni.alpina.ru/FilePrivilegesApproval/124</v>
      </c>
      <c r="Z705" s="18"/>
      <c r="AS705" s="1">
        <f>IF($A705&lt;&gt;0,1,0)</f>
        <v>0</v>
      </c>
      <c r="AT705" s="1">
        <f>$A705*$B705</f>
        <v>0</v>
      </c>
      <c r="AU705" s="1">
        <f>$A705*$O705</f>
        <v>0</v>
      </c>
      <c r="AV705" s="1">
        <f>IF($R705=0,0,INT($A705/$R705))</f>
        <v>0</v>
      </c>
      <c r="AW705" s="1">
        <f>$A705-$AV705*$R705</f>
        <v>0</v>
      </c>
    </row>
    <row r="706" ht="24.95" customHeight="1" outlineLevel="3" s="1" customFormat="1">
      <c r="A706" s="15"/>
      <c r="B706" s="16">
        <v>340</v>
      </c>
      <c r="C706" s="16">
        <v>544</v>
      </c>
      <c r="D706" s="16">
        <v>28800</v>
      </c>
      <c r="E706" s="18"/>
      <c r="F706" s="18" t="s">
        <v>1294</v>
      </c>
      <c r="G706" s="18" t="s">
        <v>2372</v>
      </c>
      <c r="H706" s="18" t="s">
        <v>86</v>
      </c>
      <c r="I706" s="18" t="s">
        <v>1296</v>
      </c>
      <c r="J706" s="16">
        <v>2025</v>
      </c>
      <c r="K706" s="18" t="s">
        <v>2373</v>
      </c>
      <c r="L706" s="16">
        <v>9785961490084</v>
      </c>
      <c r="M706" s="18" t="s">
        <v>2374</v>
      </c>
      <c r="N706" s="16">
        <v>144</v>
      </c>
      <c r="O706" s="19">
        <v>0.16</v>
      </c>
      <c r="P706" s="16">
        <v>130</v>
      </c>
      <c r="Q706" s="16">
        <v>200</v>
      </c>
      <c r="R706" s="16">
        <v>28</v>
      </c>
      <c r="S706" s="18" t="s">
        <v>90</v>
      </c>
      <c r="T706" s="18" t="s">
        <v>1299</v>
      </c>
      <c r="U706" s="17">
        <v>4000</v>
      </c>
      <c r="V706" s="18" t="s">
        <v>44</v>
      </c>
      <c r="W706" s="18" t="s">
        <v>184</v>
      </c>
      <c r="X706" s="16">
        <v>10</v>
      </c>
      <c r="Y706" s="43" t="str">
        <f>HYPERLINK("https://api-enni.alpina.ru/FilePrivilegesApproval/156","https://api-enni.alpina.ru/FilePrivilegesApproval/156")</f>
        <v>https://api-enni.alpina.ru/FilePrivilegesApproval/156</v>
      </c>
      <c r="Z706" s="18"/>
      <c r="AS706" s="1">
        <f>IF($A706&lt;&gt;0,1,0)</f>
        <v>0</v>
      </c>
      <c r="AT706" s="1">
        <f>$A706*$B706</f>
        <v>0</v>
      </c>
      <c r="AU706" s="1">
        <f>$A706*$O706</f>
        <v>0</v>
      </c>
      <c r="AV706" s="1">
        <f>IF($R706=0,0,INT($A706/$R706))</f>
        <v>0</v>
      </c>
      <c r="AW706" s="1">
        <f>$A706-$AV706*$R706</f>
        <v>0</v>
      </c>
    </row>
    <row r="707" ht="24.95" customHeight="1" outlineLevel="3" s="1" customFormat="1">
      <c r="A707" s="15"/>
      <c r="B707" s="16">
        <v>340</v>
      </c>
      <c r="C707" s="16">
        <v>544</v>
      </c>
      <c r="D707" s="16">
        <v>28217</v>
      </c>
      <c r="E707" s="18"/>
      <c r="F707" s="18" t="s">
        <v>1294</v>
      </c>
      <c r="G707" s="18" t="s">
        <v>2375</v>
      </c>
      <c r="H707" s="18" t="s">
        <v>86</v>
      </c>
      <c r="I707" s="18" t="s">
        <v>1296</v>
      </c>
      <c r="J707" s="16">
        <v>2026</v>
      </c>
      <c r="K707" s="18" t="s">
        <v>2376</v>
      </c>
      <c r="L707" s="16">
        <v>9785961487527</v>
      </c>
      <c r="M707" s="18" t="s">
        <v>2377</v>
      </c>
      <c r="N707" s="16">
        <v>170</v>
      </c>
      <c r="O707" s="19">
        <v>0.19</v>
      </c>
      <c r="P707" s="16">
        <v>130</v>
      </c>
      <c r="Q707" s="16">
        <v>200</v>
      </c>
      <c r="R707" s="16">
        <v>20</v>
      </c>
      <c r="S707" s="18" t="s">
        <v>90</v>
      </c>
      <c r="T707" s="18" t="s">
        <v>1299</v>
      </c>
      <c r="U707" s="17">
        <v>3000</v>
      </c>
      <c r="V707" s="18" t="s">
        <v>44</v>
      </c>
      <c r="W707" s="18" t="s">
        <v>91</v>
      </c>
      <c r="X707" s="16">
        <v>10</v>
      </c>
      <c r="Y707" s="43" t="str">
        <f>HYPERLINK("https://api-enni.alpina.ru/FilePrivilegesApproval/132","https://api-enni.alpina.ru/FilePrivilegesApproval/132")</f>
        <v>https://api-enni.alpina.ru/FilePrivilegesApproval/132</v>
      </c>
      <c r="Z707" s="18"/>
      <c r="AS707" s="1">
        <f>IF($A707&lt;&gt;0,1,0)</f>
        <v>0</v>
      </c>
      <c r="AT707" s="1">
        <f>$A707*$B707</f>
        <v>0</v>
      </c>
      <c r="AU707" s="1">
        <f>$A707*$O707</f>
        <v>0</v>
      </c>
      <c r="AV707" s="1">
        <f>IF($R707=0,0,INT($A707/$R707))</f>
        <v>0</v>
      </c>
      <c r="AW707" s="1">
        <f>$A707-$AV707*$R707</f>
        <v>0</v>
      </c>
    </row>
    <row r="708" ht="24.95" customHeight="1" outlineLevel="3" s="1" customFormat="1">
      <c r="A708" s="15"/>
      <c r="B708" s="16">
        <v>340</v>
      </c>
      <c r="C708" s="16">
        <v>544</v>
      </c>
      <c r="D708" s="16">
        <v>28958</v>
      </c>
      <c r="E708" s="18"/>
      <c r="F708" s="18" t="s">
        <v>1294</v>
      </c>
      <c r="G708" s="18" t="s">
        <v>2378</v>
      </c>
      <c r="H708" s="18" t="s">
        <v>86</v>
      </c>
      <c r="I708" s="18" t="s">
        <v>74</v>
      </c>
      <c r="J708" s="16">
        <v>2025</v>
      </c>
      <c r="K708" s="18" t="s">
        <v>2379</v>
      </c>
      <c r="L708" s="16">
        <v>9785961490831</v>
      </c>
      <c r="M708" s="18" t="s">
        <v>2380</v>
      </c>
      <c r="N708" s="16">
        <v>170</v>
      </c>
      <c r="O708" s="19">
        <v>0.18</v>
      </c>
      <c r="P708" s="16">
        <v>130</v>
      </c>
      <c r="Q708" s="16">
        <v>200</v>
      </c>
      <c r="R708" s="16">
        <v>24</v>
      </c>
      <c r="S708" s="18" t="s">
        <v>90</v>
      </c>
      <c r="T708" s="18" t="s">
        <v>1299</v>
      </c>
      <c r="U708" s="17">
        <v>5000</v>
      </c>
      <c r="V708" s="18" t="s">
        <v>44</v>
      </c>
      <c r="W708" s="18" t="s">
        <v>91</v>
      </c>
      <c r="X708" s="16">
        <v>10</v>
      </c>
      <c r="Y708" s="43" t="str">
        <f>HYPERLINK("https://api-enni.alpina.ru/FilePrivilegesApproval/339","https://api-enni.alpina.ru/FilePrivilegesApproval/339")</f>
        <v>https://api-enni.alpina.ru/FilePrivilegesApproval/339</v>
      </c>
      <c r="Z708" s="18"/>
      <c r="AS708" s="1">
        <f>IF($A708&lt;&gt;0,1,0)</f>
        <v>0</v>
      </c>
      <c r="AT708" s="1">
        <f>$A708*$B708</f>
        <v>0</v>
      </c>
      <c r="AU708" s="1">
        <f>$A708*$O708</f>
        <v>0</v>
      </c>
      <c r="AV708" s="1">
        <f>IF($R708=0,0,INT($A708/$R708))</f>
        <v>0</v>
      </c>
      <c r="AW708" s="1">
        <f>$A708-$AV708*$R708</f>
        <v>0</v>
      </c>
    </row>
    <row r="709" ht="11.1" customHeight="1" outlineLevel="2">
      <c r="A709" s="41" t="s">
        <v>2381</v>
      </c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24"/>
    </row>
    <row r="710" ht="24.95" customHeight="1" outlineLevel="3" s="1" customFormat="1">
      <c r="A710" s="15"/>
      <c r="B710" s="16">
        <v>990</v>
      </c>
      <c r="C710" s="17">
        <v>1386</v>
      </c>
      <c r="D710" s="16">
        <v>34363</v>
      </c>
      <c r="E710" s="18"/>
      <c r="F710" s="18" t="s">
        <v>817</v>
      </c>
      <c r="G710" s="18" t="s">
        <v>818</v>
      </c>
      <c r="H710" s="18" t="s">
        <v>73</v>
      </c>
      <c r="I710" s="18" t="s">
        <v>74</v>
      </c>
      <c r="J710" s="16">
        <v>2026</v>
      </c>
      <c r="K710" s="18" t="s">
        <v>819</v>
      </c>
      <c r="L710" s="16">
        <v>9785002236701</v>
      </c>
      <c r="M710" s="18" t="s">
        <v>820</v>
      </c>
      <c r="N710" s="16">
        <v>461</v>
      </c>
      <c r="O710" s="19">
        <v>0.56</v>
      </c>
      <c r="P710" s="16">
        <v>150</v>
      </c>
      <c r="Q710" s="16">
        <v>220</v>
      </c>
      <c r="R710" s="16">
        <v>10</v>
      </c>
      <c r="S710" s="18" t="s">
        <v>43</v>
      </c>
      <c r="T710" s="18"/>
      <c r="U710" s="17">
        <v>5000</v>
      </c>
      <c r="V710" s="18" t="s">
        <v>77</v>
      </c>
      <c r="W710" s="18" t="s">
        <v>69</v>
      </c>
      <c r="X710" s="16">
        <v>10</v>
      </c>
      <c r="Y710" s="43" t="str">
        <f>HYPERLINK("https://api-enni.alpina.ru/FilePrivilegesApproval/149","https://api-enni.alpina.ru/FilePrivilegesApproval/149")</f>
        <v>https://api-enni.alpina.ru/FilePrivilegesApproval/149</v>
      </c>
      <c r="Z710" s="18" t="s">
        <v>545</v>
      </c>
      <c r="AS710" s="1">
        <f>IF($A710&lt;&gt;0,1,0)</f>
        <v>0</v>
      </c>
      <c r="AT710" s="1">
        <f>$A710*$B710</f>
        <v>0</v>
      </c>
      <c r="AU710" s="1">
        <f>$A710*$O710</f>
        <v>0</v>
      </c>
      <c r="AV710" s="1">
        <f>IF($R710=0,0,INT($A710/$R710))</f>
        <v>0</v>
      </c>
      <c r="AW710" s="1">
        <f>$A710-$AV710*$R710</f>
        <v>0</v>
      </c>
    </row>
    <row r="711" ht="24.95" customHeight="1" outlineLevel="3" s="1" customFormat="1">
      <c r="A711" s="15"/>
      <c r="B711" s="16">
        <v>890</v>
      </c>
      <c r="C711" s="17">
        <v>1246</v>
      </c>
      <c r="D711" s="16">
        <v>34541</v>
      </c>
      <c r="E711" s="18"/>
      <c r="F711" s="18" t="s">
        <v>817</v>
      </c>
      <c r="G711" s="18" t="s">
        <v>2382</v>
      </c>
      <c r="H711" s="18" t="s">
        <v>73</v>
      </c>
      <c r="I711" s="18" t="s">
        <v>74</v>
      </c>
      <c r="J711" s="16">
        <v>2026</v>
      </c>
      <c r="K711" s="18" t="s">
        <v>2383</v>
      </c>
      <c r="L711" s="16">
        <v>9785002236787</v>
      </c>
      <c r="M711" s="18" t="s">
        <v>2384</v>
      </c>
      <c r="N711" s="16">
        <v>461</v>
      </c>
      <c r="O711" s="19">
        <v>0.47</v>
      </c>
      <c r="P711" s="16">
        <v>140</v>
      </c>
      <c r="Q711" s="16">
        <v>210</v>
      </c>
      <c r="R711" s="16">
        <v>8</v>
      </c>
      <c r="S711" s="18" t="s">
        <v>43</v>
      </c>
      <c r="T711" s="18"/>
      <c r="U711" s="17">
        <v>5000</v>
      </c>
      <c r="V711" s="18" t="s">
        <v>44</v>
      </c>
      <c r="W711" s="18" t="s">
        <v>69</v>
      </c>
      <c r="X711" s="16">
        <v>10</v>
      </c>
      <c r="Y711" s="43" t="str">
        <f>HYPERLINK("https://api-enni.alpina.ru/FilePrivilegesApproval/149","https://api-enni.alpina.ru/FilePrivilegesApproval/149")</f>
        <v>https://api-enni.alpina.ru/FilePrivilegesApproval/149</v>
      </c>
      <c r="Z711" s="18" t="s">
        <v>950</v>
      </c>
      <c r="AS711" s="1">
        <f>IF($A711&lt;&gt;0,1,0)</f>
        <v>0</v>
      </c>
      <c r="AT711" s="1">
        <f>$A711*$B711</f>
        <v>0</v>
      </c>
      <c r="AU711" s="1">
        <f>$A711*$O711</f>
        <v>0</v>
      </c>
      <c r="AV711" s="1">
        <f>IF($R711=0,0,INT($A711/$R711))</f>
        <v>0</v>
      </c>
      <c r="AW711" s="1">
        <f>$A711-$AV711*$R711</f>
        <v>0</v>
      </c>
    </row>
    <row r="712" ht="24.95" customHeight="1" outlineLevel="3" s="1" customFormat="1">
      <c r="A712" s="15"/>
      <c r="B712" s="16">
        <v>490</v>
      </c>
      <c r="C712" s="16">
        <v>760</v>
      </c>
      <c r="D712" s="16">
        <v>1768</v>
      </c>
      <c r="E712" s="18"/>
      <c r="F712" s="18" t="s">
        <v>869</v>
      </c>
      <c r="G712" s="18" t="s">
        <v>870</v>
      </c>
      <c r="H712" s="18" t="s">
        <v>73</v>
      </c>
      <c r="I712" s="18" t="s">
        <v>87</v>
      </c>
      <c r="J712" s="16">
        <v>2026</v>
      </c>
      <c r="K712" s="18" t="s">
        <v>871</v>
      </c>
      <c r="L712" s="16">
        <v>9785916718386</v>
      </c>
      <c r="M712" s="18" t="s">
        <v>872</v>
      </c>
      <c r="N712" s="16">
        <v>239</v>
      </c>
      <c r="O712" s="19">
        <v>0.21</v>
      </c>
      <c r="P712" s="16">
        <v>110</v>
      </c>
      <c r="Q712" s="16">
        <v>170</v>
      </c>
      <c r="R712" s="16">
        <v>20</v>
      </c>
      <c r="S712" s="18" t="s">
        <v>873</v>
      </c>
      <c r="T712" s="18"/>
      <c r="U712" s="17">
        <v>30000</v>
      </c>
      <c r="V712" s="18" t="s">
        <v>77</v>
      </c>
      <c r="W712" s="18" t="s">
        <v>69</v>
      </c>
      <c r="X712" s="16">
        <v>10</v>
      </c>
      <c r="Y712" s="43" t="str">
        <f>HYPERLINK("https://api-enni.alpina.ru/FilePrivilegesApproval/146","https://api-enni.alpina.ru/FilePrivilegesApproval/146")</f>
        <v>https://api-enni.alpina.ru/FilePrivilegesApproval/146</v>
      </c>
      <c r="Z712" s="18" t="s">
        <v>874</v>
      </c>
      <c r="AS712" s="1">
        <f>IF($A712&lt;&gt;0,1,0)</f>
        <v>0</v>
      </c>
      <c r="AT712" s="1">
        <f>$A712*$B712</f>
        <v>0</v>
      </c>
      <c r="AU712" s="1">
        <f>$A712*$O712</f>
        <v>0</v>
      </c>
      <c r="AV712" s="1">
        <f>IF($R712=0,0,INT($A712/$R712))</f>
        <v>0</v>
      </c>
      <c r="AW712" s="1">
        <f>$A712-$AV712*$R712</f>
        <v>0</v>
      </c>
    </row>
    <row r="713" ht="24.95" customHeight="1" outlineLevel="3" s="1" customFormat="1">
      <c r="A713" s="15"/>
      <c r="B713" s="16">
        <v>540</v>
      </c>
      <c r="C713" s="16">
        <v>837</v>
      </c>
      <c r="D713" s="16">
        <v>26157</v>
      </c>
      <c r="E713" s="18"/>
      <c r="F713" s="18" t="s">
        <v>869</v>
      </c>
      <c r="G713" s="18" t="s">
        <v>2385</v>
      </c>
      <c r="H713" s="18" t="s">
        <v>73</v>
      </c>
      <c r="I713" s="18" t="s">
        <v>87</v>
      </c>
      <c r="J713" s="16">
        <v>2025</v>
      </c>
      <c r="K713" s="18" t="s">
        <v>2386</v>
      </c>
      <c r="L713" s="16">
        <v>9785001397434</v>
      </c>
      <c r="M713" s="18" t="s">
        <v>2387</v>
      </c>
      <c r="N713" s="16">
        <v>196</v>
      </c>
      <c r="O713" s="19">
        <v>0.21</v>
      </c>
      <c r="P713" s="16">
        <v>120</v>
      </c>
      <c r="Q713" s="16">
        <v>180</v>
      </c>
      <c r="R713" s="16">
        <v>20</v>
      </c>
      <c r="S713" s="18" t="s">
        <v>873</v>
      </c>
      <c r="T713" s="18"/>
      <c r="U713" s="17">
        <v>1500</v>
      </c>
      <c r="V713" s="18" t="s">
        <v>77</v>
      </c>
      <c r="W713" s="18" t="s">
        <v>69</v>
      </c>
      <c r="X713" s="16">
        <v>10</v>
      </c>
      <c r="Y713" s="43" t="str">
        <f>HYPERLINK("https://api-enni.alpina.ru/FilePrivilegesApproval/190","https://api-enni.alpina.ru/FilePrivilegesApproval/190")</f>
        <v>https://api-enni.alpina.ru/FilePrivilegesApproval/190</v>
      </c>
      <c r="Z713" s="18"/>
      <c r="AS713" s="1">
        <f>IF($A713&lt;&gt;0,1,0)</f>
        <v>0</v>
      </c>
      <c r="AT713" s="1">
        <f>$A713*$B713</f>
        <v>0</v>
      </c>
      <c r="AU713" s="1">
        <f>$A713*$O713</f>
        <v>0</v>
      </c>
      <c r="AV713" s="1">
        <f>IF($R713=0,0,INT($A713/$R713))</f>
        <v>0</v>
      </c>
      <c r="AW713" s="1">
        <f>$A713-$AV713*$R713</f>
        <v>0</v>
      </c>
    </row>
    <row r="714" ht="24.95" customHeight="1" outlineLevel="3" s="1" customFormat="1">
      <c r="A714" s="15"/>
      <c r="B714" s="17">
        <v>1290</v>
      </c>
      <c r="C714" s="17">
        <v>1742</v>
      </c>
      <c r="D714" s="16">
        <v>2283</v>
      </c>
      <c r="E714" s="18"/>
      <c r="F714" s="18" t="s">
        <v>2388</v>
      </c>
      <c r="G714" s="18" t="s">
        <v>2389</v>
      </c>
      <c r="H714" s="18" t="s">
        <v>73</v>
      </c>
      <c r="I714" s="18" t="s">
        <v>74</v>
      </c>
      <c r="J714" s="16">
        <v>2023</v>
      </c>
      <c r="K714" s="18" t="s">
        <v>2390</v>
      </c>
      <c r="L714" s="16">
        <v>9785916718348</v>
      </c>
      <c r="M714" s="18" t="s">
        <v>2391</v>
      </c>
      <c r="N714" s="16">
        <v>768</v>
      </c>
      <c r="O714" s="19">
        <v>0.83</v>
      </c>
      <c r="P714" s="16">
        <v>150</v>
      </c>
      <c r="Q714" s="16">
        <v>220</v>
      </c>
      <c r="R714" s="16">
        <v>5</v>
      </c>
      <c r="S714" s="18" t="s">
        <v>43</v>
      </c>
      <c r="T714" s="18"/>
      <c r="U714" s="17">
        <v>3000</v>
      </c>
      <c r="V714" s="18" t="s">
        <v>77</v>
      </c>
      <c r="W714" s="18" t="s">
        <v>69</v>
      </c>
      <c r="X714" s="16">
        <v>10</v>
      </c>
      <c r="Y714" s="43" t="str">
        <f>HYPERLINK("https://api-enni.alpina.ru/FilePrivilegesApproval/127","https://api-enni.alpina.ru/FilePrivilegesApproval/127")</f>
        <v>https://api-enni.alpina.ru/FilePrivilegesApproval/127</v>
      </c>
      <c r="Z714" s="18" t="s">
        <v>874</v>
      </c>
      <c r="AS714" s="1">
        <f>IF($A714&lt;&gt;0,1,0)</f>
        <v>0</v>
      </c>
      <c r="AT714" s="1">
        <f>$A714*$B714</f>
        <v>0</v>
      </c>
      <c r="AU714" s="1">
        <f>$A714*$O714</f>
        <v>0</v>
      </c>
      <c r="AV714" s="1">
        <f>IF($R714=0,0,INT($A714/$R714))</f>
        <v>0</v>
      </c>
      <c r="AW714" s="1">
        <f>$A714-$AV714*$R714</f>
        <v>0</v>
      </c>
    </row>
    <row r="715" ht="15" customHeight="1" outlineLevel="1">
      <c r="A715" s="40" t="s">
        <v>2392</v>
      </c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23"/>
    </row>
    <row r="716" ht="11.1" customHeight="1" outlineLevel="2">
      <c r="A716" s="41" t="s">
        <v>2393</v>
      </c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24"/>
    </row>
    <row r="717" ht="24.95" customHeight="1" outlineLevel="3" s="1" customFormat="1">
      <c r="A717" s="15"/>
      <c r="B717" s="16">
        <v>498</v>
      </c>
      <c r="C717" s="16">
        <v>772</v>
      </c>
      <c r="D717" s="16">
        <v>34433</v>
      </c>
      <c r="E717" s="18"/>
      <c r="F717" s="18" t="s">
        <v>2394</v>
      </c>
      <c r="G717" s="18" t="s">
        <v>2395</v>
      </c>
      <c r="H717" s="18" t="s">
        <v>86</v>
      </c>
      <c r="I717" s="18" t="s">
        <v>87</v>
      </c>
      <c r="J717" s="16">
        <v>2025</v>
      </c>
      <c r="K717" s="18" t="s">
        <v>2396</v>
      </c>
      <c r="L717" s="16">
        <v>9785006307711</v>
      </c>
      <c r="M717" s="18" t="s">
        <v>2397</v>
      </c>
      <c r="N717" s="16">
        <v>94</v>
      </c>
      <c r="O717" s="19">
        <v>0.26</v>
      </c>
      <c r="P717" s="16">
        <v>200</v>
      </c>
      <c r="Q717" s="16">
        <v>200</v>
      </c>
      <c r="R717" s="16">
        <v>14</v>
      </c>
      <c r="S717" s="18" t="s">
        <v>328</v>
      </c>
      <c r="T717" s="18" t="s">
        <v>2398</v>
      </c>
      <c r="U717" s="17">
        <v>4000</v>
      </c>
      <c r="V717" s="18" t="s">
        <v>44</v>
      </c>
      <c r="W717" s="18" t="s">
        <v>91</v>
      </c>
      <c r="X717" s="16">
        <v>22</v>
      </c>
      <c r="Y717" s="43" t="str">
        <f>HYPERLINK("","")</f>
      </c>
      <c r="Z717" s="18"/>
      <c r="AS717" s="1">
        <f>IF($A717&lt;&gt;0,1,0)</f>
        <v>0</v>
      </c>
      <c r="AT717" s="1">
        <f>$A717*$B717</f>
        <v>0</v>
      </c>
      <c r="AU717" s="1">
        <f>$A717*$O717</f>
        <v>0</v>
      </c>
      <c r="AV717" s="1">
        <f>IF($R717=0,0,INT($A717/$R717))</f>
        <v>0</v>
      </c>
      <c r="AW717" s="1">
        <f>$A717-$AV717*$R717</f>
        <v>0</v>
      </c>
    </row>
    <row r="718" ht="24.95" customHeight="1" outlineLevel="3" s="1" customFormat="1">
      <c r="A718" s="15"/>
      <c r="B718" s="16">
        <v>498</v>
      </c>
      <c r="C718" s="16">
        <v>772</v>
      </c>
      <c r="D718" s="16">
        <v>36175</v>
      </c>
      <c r="E718" s="18"/>
      <c r="F718" s="18" t="s">
        <v>2394</v>
      </c>
      <c r="G718" s="18" t="s">
        <v>2399</v>
      </c>
      <c r="H718" s="18" t="s">
        <v>86</v>
      </c>
      <c r="I718" s="18" t="s">
        <v>87</v>
      </c>
      <c r="J718" s="16">
        <v>2026</v>
      </c>
      <c r="K718" s="18" t="s">
        <v>2400</v>
      </c>
      <c r="L718" s="16">
        <v>9785006316355</v>
      </c>
      <c r="M718" s="18" t="s">
        <v>2401</v>
      </c>
      <c r="N718" s="16">
        <v>80</v>
      </c>
      <c r="O718" s="19">
        <v>0.21</v>
      </c>
      <c r="P718" s="16">
        <v>200</v>
      </c>
      <c r="Q718" s="16">
        <v>200</v>
      </c>
      <c r="R718" s="16">
        <v>14</v>
      </c>
      <c r="S718" s="18" t="s">
        <v>328</v>
      </c>
      <c r="T718" s="18" t="s">
        <v>2398</v>
      </c>
      <c r="U718" s="17">
        <v>4000</v>
      </c>
      <c r="V718" s="18" t="s">
        <v>44</v>
      </c>
      <c r="W718" s="18" t="s">
        <v>91</v>
      </c>
      <c r="X718" s="16">
        <v>22</v>
      </c>
      <c r="Y718" s="43" t="str">
        <f>HYPERLINK("","")</f>
      </c>
      <c r="Z718" s="18" t="s">
        <v>1220</v>
      </c>
      <c r="AS718" s="1">
        <f>IF($A718&lt;&gt;0,1,0)</f>
        <v>0</v>
      </c>
      <c r="AT718" s="1">
        <f>$A718*$B718</f>
        <v>0</v>
      </c>
      <c r="AU718" s="1">
        <f>$A718*$O718</f>
        <v>0</v>
      </c>
      <c r="AV718" s="1">
        <f>IF($R718=0,0,INT($A718/$R718))</f>
        <v>0</v>
      </c>
      <c r="AW718" s="1">
        <f>$A718-$AV718*$R718</f>
        <v>0</v>
      </c>
    </row>
    <row r="719" ht="24.95" customHeight="1" outlineLevel="3" s="1" customFormat="1">
      <c r="A719" s="15"/>
      <c r="B719" s="16">
        <v>498</v>
      </c>
      <c r="C719" s="16">
        <v>772</v>
      </c>
      <c r="D719" s="16">
        <v>36173</v>
      </c>
      <c r="E719" s="18"/>
      <c r="F719" s="18" t="s">
        <v>2394</v>
      </c>
      <c r="G719" s="18" t="s">
        <v>2402</v>
      </c>
      <c r="H719" s="18" t="s">
        <v>86</v>
      </c>
      <c r="I719" s="18" t="s">
        <v>87</v>
      </c>
      <c r="J719" s="16">
        <v>2026</v>
      </c>
      <c r="K719" s="18" t="s">
        <v>2403</v>
      </c>
      <c r="L719" s="16">
        <v>9785006316348</v>
      </c>
      <c r="M719" s="18" t="s">
        <v>2404</v>
      </c>
      <c r="N719" s="16">
        <v>80</v>
      </c>
      <c r="O719" s="19">
        <v>0.21</v>
      </c>
      <c r="P719" s="16">
        <v>200</v>
      </c>
      <c r="Q719" s="16">
        <v>200</v>
      </c>
      <c r="R719" s="16">
        <v>14</v>
      </c>
      <c r="S719" s="18" t="s">
        <v>328</v>
      </c>
      <c r="T719" s="18" t="s">
        <v>2398</v>
      </c>
      <c r="U719" s="17">
        <v>4000</v>
      </c>
      <c r="V719" s="18" t="s">
        <v>44</v>
      </c>
      <c r="W719" s="18" t="s">
        <v>91</v>
      </c>
      <c r="X719" s="16">
        <v>22</v>
      </c>
      <c r="Y719" s="43" t="str">
        <f>HYPERLINK("","")</f>
      </c>
      <c r="Z719" s="18"/>
      <c r="AS719" s="1">
        <f>IF($A719&lt;&gt;0,1,0)</f>
        <v>0</v>
      </c>
      <c r="AT719" s="1">
        <f>$A719*$B719</f>
        <v>0</v>
      </c>
      <c r="AU719" s="1">
        <f>$A719*$O719</f>
        <v>0</v>
      </c>
      <c r="AV719" s="1">
        <f>IF($R719=0,0,INT($A719/$R719))</f>
        <v>0</v>
      </c>
      <c r="AW719" s="1">
        <f>$A719-$AV719*$R719</f>
        <v>0</v>
      </c>
    </row>
    <row r="720" ht="24.95" customHeight="1" outlineLevel="3" s="1" customFormat="1">
      <c r="A720" s="15"/>
      <c r="B720" s="16">
        <v>498</v>
      </c>
      <c r="C720" s="16">
        <v>772</v>
      </c>
      <c r="D720" s="16">
        <v>36130</v>
      </c>
      <c r="E720" s="18"/>
      <c r="F720" s="18" t="s">
        <v>2394</v>
      </c>
      <c r="G720" s="18" t="s">
        <v>2405</v>
      </c>
      <c r="H720" s="18" t="s">
        <v>86</v>
      </c>
      <c r="I720" s="18" t="s">
        <v>87</v>
      </c>
      <c r="J720" s="16">
        <v>2026</v>
      </c>
      <c r="K720" s="18" t="s">
        <v>2406</v>
      </c>
      <c r="L720" s="16">
        <v>9785006316263</v>
      </c>
      <c r="M720" s="18" t="s">
        <v>2407</v>
      </c>
      <c r="N720" s="16">
        <v>80</v>
      </c>
      <c r="O720" s="19">
        <v>0.22</v>
      </c>
      <c r="P720" s="16">
        <v>200</v>
      </c>
      <c r="Q720" s="16">
        <v>200</v>
      </c>
      <c r="R720" s="16">
        <v>14</v>
      </c>
      <c r="S720" s="18" t="s">
        <v>328</v>
      </c>
      <c r="T720" s="18" t="s">
        <v>2398</v>
      </c>
      <c r="U720" s="17">
        <v>3000</v>
      </c>
      <c r="V720" s="18" t="s">
        <v>44</v>
      </c>
      <c r="W720" s="18" t="s">
        <v>91</v>
      </c>
      <c r="X720" s="16">
        <v>22</v>
      </c>
      <c r="Y720" s="43" t="str">
        <f>HYPERLINK("","")</f>
      </c>
      <c r="Z720" s="18" t="s">
        <v>2408</v>
      </c>
      <c r="AS720" s="1">
        <f>IF($A720&lt;&gt;0,1,0)</f>
        <v>0</v>
      </c>
      <c r="AT720" s="1">
        <f>$A720*$B720</f>
        <v>0</v>
      </c>
      <c r="AU720" s="1">
        <f>$A720*$O720</f>
        <v>0</v>
      </c>
      <c r="AV720" s="1">
        <f>IF($R720=0,0,INT($A720/$R720))</f>
        <v>0</v>
      </c>
      <c r="AW720" s="1">
        <f>$A720-$AV720*$R720</f>
        <v>0</v>
      </c>
    </row>
    <row r="721" ht="24.95" customHeight="1" outlineLevel="3" s="1" customFormat="1">
      <c r="A721" s="15"/>
      <c r="B721" s="16">
        <v>498</v>
      </c>
      <c r="C721" s="16">
        <v>772</v>
      </c>
      <c r="D721" s="16">
        <v>36139</v>
      </c>
      <c r="E721" s="18"/>
      <c r="F721" s="18" t="s">
        <v>2394</v>
      </c>
      <c r="G721" s="18" t="s">
        <v>2409</v>
      </c>
      <c r="H721" s="18" t="s">
        <v>86</v>
      </c>
      <c r="I721" s="18" t="s">
        <v>87</v>
      </c>
      <c r="J721" s="16">
        <v>2026</v>
      </c>
      <c r="K721" s="18" t="s">
        <v>2410</v>
      </c>
      <c r="L721" s="16">
        <v>9785006316300</v>
      </c>
      <c r="M721" s="18" t="s">
        <v>2411</v>
      </c>
      <c r="N721" s="16">
        <v>80</v>
      </c>
      <c r="O721" s="19">
        <v>0.21</v>
      </c>
      <c r="P721" s="16">
        <v>200</v>
      </c>
      <c r="Q721" s="16">
        <v>200</v>
      </c>
      <c r="R721" s="16">
        <v>14</v>
      </c>
      <c r="S721" s="18" t="s">
        <v>328</v>
      </c>
      <c r="T721" s="18" t="s">
        <v>2398</v>
      </c>
      <c r="U721" s="17">
        <v>3000</v>
      </c>
      <c r="V721" s="18" t="s">
        <v>44</v>
      </c>
      <c r="W721" s="18" t="s">
        <v>91</v>
      </c>
      <c r="X721" s="16">
        <v>22</v>
      </c>
      <c r="Y721" s="43" t="str">
        <f>HYPERLINK("","")</f>
      </c>
      <c r="Z721" s="18"/>
      <c r="AS721" s="1">
        <f>IF($A721&lt;&gt;0,1,0)</f>
        <v>0</v>
      </c>
      <c r="AT721" s="1">
        <f>$A721*$B721</f>
        <v>0</v>
      </c>
      <c r="AU721" s="1">
        <f>$A721*$O721</f>
        <v>0</v>
      </c>
      <c r="AV721" s="1">
        <f>IF($R721=0,0,INT($A721/$R721))</f>
        <v>0</v>
      </c>
      <c r="AW721" s="1">
        <f>$A721-$AV721*$R721</f>
        <v>0</v>
      </c>
    </row>
    <row r="722" ht="24.95" customHeight="1" outlineLevel="3" s="1" customFormat="1">
      <c r="A722" s="15"/>
      <c r="B722" s="16">
        <v>440</v>
      </c>
      <c r="C722" s="16">
        <v>682</v>
      </c>
      <c r="D722" s="16">
        <v>26685</v>
      </c>
      <c r="E722" s="18"/>
      <c r="F722" s="18" t="s">
        <v>2412</v>
      </c>
      <c r="G722" s="18" t="s">
        <v>2413</v>
      </c>
      <c r="H722" s="18" t="s">
        <v>86</v>
      </c>
      <c r="I722" s="18" t="s">
        <v>74</v>
      </c>
      <c r="J722" s="16">
        <v>2023</v>
      </c>
      <c r="K722" s="18" t="s">
        <v>2414</v>
      </c>
      <c r="L722" s="16">
        <v>9785961482614</v>
      </c>
      <c r="M722" s="18" t="s">
        <v>2415</v>
      </c>
      <c r="N722" s="16">
        <v>328</v>
      </c>
      <c r="O722" s="19">
        <v>0.39</v>
      </c>
      <c r="P722" s="16">
        <v>140</v>
      </c>
      <c r="Q722" s="16">
        <v>210</v>
      </c>
      <c r="R722" s="16">
        <v>14</v>
      </c>
      <c r="S722" s="18" t="s">
        <v>43</v>
      </c>
      <c r="T722" s="18"/>
      <c r="U722" s="17">
        <v>2000</v>
      </c>
      <c r="V722" s="18" t="s">
        <v>44</v>
      </c>
      <c r="W722" s="18" t="s">
        <v>69</v>
      </c>
      <c r="X722" s="16">
        <v>10</v>
      </c>
      <c r="Y722" s="43" t="str">
        <f>HYPERLINK("https://api-enni.alpina.ru/FilePrivilegesApproval/214","https://api-enni.alpina.ru/FilePrivilegesApproval/214")</f>
        <v>https://api-enni.alpina.ru/FilePrivilegesApproval/214</v>
      </c>
      <c r="Z722" s="18"/>
      <c r="AS722" s="1">
        <f>IF($A722&lt;&gt;0,1,0)</f>
        <v>0</v>
      </c>
      <c r="AT722" s="1">
        <f>$A722*$B722</f>
        <v>0</v>
      </c>
      <c r="AU722" s="1">
        <f>$A722*$O722</f>
        <v>0</v>
      </c>
      <c r="AV722" s="1">
        <f>IF($R722=0,0,INT($A722/$R722))</f>
        <v>0</v>
      </c>
      <c r="AW722" s="1">
        <f>$A722-$AV722*$R722</f>
        <v>0</v>
      </c>
    </row>
    <row r="723" ht="24.95" customHeight="1" outlineLevel="3" s="1" customFormat="1">
      <c r="A723" s="15"/>
      <c r="B723" s="16">
        <v>498</v>
      </c>
      <c r="C723" s="16">
        <v>772</v>
      </c>
      <c r="D723" s="16">
        <v>36121</v>
      </c>
      <c r="E723" s="18"/>
      <c r="F723" s="18" t="s">
        <v>2394</v>
      </c>
      <c r="G723" s="18" t="s">
        <v>2416</v>
      </c>
      <c r="H723" s="18" t="s">
        <v>86</v>
      </c>
      <c r="I723" s="18" t="s">
        <v>87</v>
      </c>
      <c r="J723" s="16">
        <v>2026</v>
      </c>
      <c r="K723" s="18" t="s">
        <v>2417</v>
      </c>
      <c r="L723" s="16">
        <v>9785006316256</v>
      </c>
      <c r="M723" s="18" t="s">
        <v>2418</v>
      </c>
      <c r="N723" s="16">
        <v>96</v>
      </c>
      <c r="O723" s="19">
        <v>0.25</v>
      </c>
      <c r="P723" s="16">
        <v>200</v>
      </c>
      <c r="Q723" s="16">
        <v>200</v>
      </c>
      <c r="R723" s="16">
        <v>14</v>
      </c>
      <c r="S723" s="18" t="s">
        <v>328</v>
      </c>
      <c r="T723" s="18" t="s">
        <v>2398</v>
      </c>
      <c r="U723" s="17">
        <v>3000</v>
      </c>
      <c r="V723" s="18" t="s">
        <v>44</v>
      </c>
      <c r="W723" s="18" t="s">
        <v>91</v>
      </c>
      <c r="X723" s="16">
        <v>22</v>
      </c>
      <c r="Y723" s="43" t="str">
        <f>HYPERLINK("","")</f>
      </c>
      <c r="Z723" s="18" t="s">
        <v>2419</v>
      </c>
      <c r="AS723" s="1">
        <f>IF($A723&lt;&gt;0,1,0)</f>
        <v>0</v>
      </c>
      <c r="AT723" s="1">
        <f>$A723*$B723</f>
        <v>0</v>
      </c>
      <c r="AU723" s="1">
        <f>$A723*$O723</f>
        <v>0</v>
      </c>
      <c r="AV723" s="1">
        <f>IF($R723=0,0,INT($A723/$R723))</f>
        <v>0</v>
      </c>
      <c r="AW723" s="1">
        <f>$A723-$AV723*$R723</f>
        <v>0</v>
      </c>
    </row>
    <row r="724" ht="21.95" customHeight="1" outlineLevel="3" s="1" customFormat="1">
      <c r="A724" s="15"/>
      <c r="B724" s="16">
        <v>549</v>
      </c>
      <c r="C724" s="16">
        <v>851</v>
      </c>
      <c r="D724" s="16">
        <v>34765</v>
      </c>
      <c r="E724" s="18"/>
      <c r="F724" s="18" t="s">
        <v>2420</v>
      </c>
      <c r="G724" s="18" t="s">
        <v>2421</v>
      </c>
      <c r="H724" s="18" t="s">
        <v>86</v>
      </c>
      <c r="I724" s="18"/>
      <c r="J724" s="16">
        <v>2026</v>
      </c>
      <c r="K724" s="18" t="s">
        <v>2422</v>
      </c>
      <c r="L724" s="16">
        <v>9785006308893</v>
      </c>
      <c r="M724" s="18" t="s">
        <v>2423</v>
      </c>
      <c r="N724" s="16">
        <v>88</v>
      </c>
      <c r="O724" s="19">
        <v>0.26</v>
      </c>
      <c r="P724" s="16">
        <v>190</v>
      </c>
      <c r="Q724" s="16">
        <v>230</v>
      </c>
      <c r="R724" s="16">
        <v>16</v>
      </c>
      <c r="S724" s="18" t="s">
        <v>328</v>
      </c>
      <c r="T724" s="18"/>
      <c r="U724" s="17">
        <v>3000</v>
      </c>
      <c r="V724" s="18" t="s">
        <v>44</v>
      </c>
      <c r="W724" s="18" t="s">
        <v>91</v>
      </c>
      <c r="X724" s="16">
        <v>22</v>
      </c>
      <c r="Y724" s="43" t="str">
        <f>HYPERLINK("","")</f>
      </c>
      <c r="Z724" s="18"/>
      <c r="AS724" s="1">
        <f>IF($A724&lt;&gt;0,1,0)</f>
        <v>0</v>
      </c>
      <c r="AT724" s="1">
        <f>$A724*$B724</f>
        <v>0</v>
      </c>
      <c r="AU724" s="1">
        <f>$A724*$O724</f>
        <v>0</v>
      </c>
      <c r="AV724" s="1">
        <f>IF($R724=0,0,INT($A724/$R724))</f>
        <v>0</v>
      </c>
      <c r="AW724" s="1">
        <f>$A724-$AV724*$R724</f>
        <v>0</v>
      </c>
    </row>
    <row r="725" ht="11.1" customHeight="1" outlineLevel="2">
      <c r="A725" s="41" t="s">
        <v>2424</v>
      </c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24"/>
    </row>
    <row r="726" ht="24.95" customHeight="1" outlineLevel="3" s="1" customFormat="1">
      <c r="A726" s="15"/>
      <c r="B726" s="16">
        <v>590</v>
      </c>
      <c r="C726" s="16">
        <v>885</v>
      </c>
      <c r="D726" s="16">
        <v>12603</v>
      </c>
      <c r="E726" s="18"/>
      <c r="F726" s="18" t="s">
        <v>2425</v>
      </c>
      <c r="G726" s="18" t="s">
        <v>2426</v>
      </c>
      <c r="H726" s="18" t="s">
        <v>95</v>
      </c>
      <c r="I726" s="18"/>
      <c r="J726" s="16">
        <v>2024</v>
      </c>
      <c r="K726" s="18" t="s">
        <v>2427</v>
      </c>
      <c r="L726" s="16">
        <v>9785604287958</v>
      </c>
      <c r="M726" s="18" t="s">
        <v>2428</v>
      </c>
      <c r="N726" s="16">
        <v>355</v>
      </c>
      <c r="O726" s="19">
        <v>0.26</v>
      </c>
      <c r="P726" s="16">
        <v>120</v>
      </c>
      <c r="Q726" s="16">
        <v>170</v>
      </c>
      <c r="R726" s="16">
        <v>12</v>
      </c>
      <c r="S726" s="18" t="s">
        <v>190</v>
      </c>
      <c r="T726" s="18" t="s">
        <v>565</v>
      </c>
      <c r="U726" s="17">
        <v>2000</v>
      </c>
      <c r="V726" s="18" t="s">
        <v>44</v>
      </c>
      <c r="W726" s="18" t="s">
        <v>69</v>
      </c>
      <c r="X726" s="16">
        <v>10</v>
      </c>
      <c r="Y726" s="43" t="str">
        <f>HYPERLINK("https://api-enni.alpina.ru/FilePrivilegesApproval/116","https://api-enni.alpina.ru/FilePrivilegesApproval/116")</f>
        <v>https://api-enni.alpina.ru/FilePrivilegesApproval/116</v>
      </c>
      <c r="Z726" s="18"/>
      <c r="AS726" s="1">
        <f>IF($A726&lt;&gt;0,1,0)</f>
        <v>0</v>
      </c>
      <c r="AT726" s="1">
        <f>$A726*$B726</f>
        <v>0</v>
      </c>
      <c r="AU726" s="1">
        <f>$A726*$O726</f>
        <v>0</v>
      </c>
      <c r="AV726" s="1">
        <f>IF($R726=0,0,INT($A726/$R726))</f>
        <v>0</v>
      </c>
      <c r="AW726" s="1">
        <f>$A726-$AV726*$R726</f>
        <v>0</v>
      </c>
    </row>
    <row r="727" ht="24.95" customHeight="1" outlineLevel="3" s="1" customFormat="1">
      <c r="A727" s="15"/>
      <c r="B727" s="16">
        <v>340</v>
      </c>
      <c r="C727" s="16">
        <v>544</v>
      </c>
      <c r="D727" s="16">
        <v>24077</v>
      </c>
      <c r="E727" s="18"/>
      <c r="F727" s="18" t="s">
        <v>561</v>
      </c>
      <c r="G727" s="18" t="s">
        <v>562</v>
      </c>
      <c r="H727" s="18" t="s">
        <v>86</v>
      </c>
      <c r="I727" s="18"/>
      <c r="J727" s="16">
        <v>2025</v>
      </c>
      <c r="K727" s="18" t="s">
        <v>563</v>
      </c>
      <c r="L727" s="16">
        <v>9785961426229</v>
      </c>
      <c r="M727" s="18" t="s">
        <v>564</v>
      </c>
      <c r="N727" s="16">
        <v>203</v>
      </c>
      <c r="O727" s="19">
        <v>0.1</v>
      </c>
      <c r="P727" s="16">
        <v>115</v>
      </c>
      <c r="Q727" s="16">
        <v>165</v>
      </c>
      <c r="R727" s="16">
        <v>18</v>
      </c>
      <c r="S727" s="18" t="s">
        <v>190</v>
      </c>
      <c r="T727" s="18" t="s">
        <v>565</v>
      </c>
      <c r="U727" s="17">
        <v>2000</v>
      </c>
      <c r="V727" s="18" t="s">
        <v>44</v>
      </c>
      <c r="W727" s="18" t="s">
        <v>184</v>
      </c>
      <c r="X727" s="16">
        <v>10</v>
      </c>
      <c r="Y727" s="43" t="str">
        <f>HYPERLINK("https://api-enni.alpina.ru/FilePrivilegesApproval/119","https://api-enni.alpina.ru/FilePrivilegesApproval/119")</f>
        <v>https://api-enni.alpina.ru/FilePrivilegesApproval/119</v>
      </c>
      <c r="Z727" s="18"/>
      <c r="AS727" s="1">
        <f>IF($A727&lt;&gt;0,1,0)</f>
        <v>0</v>
      </c>
      <c r="AT727" s="1">
        <f>$A727*$B727</f>
        <v>0</v>
      </c>
      <c r="AU727" s="1">
        <f>$A727*$O727</f>
        <v>0</v>
      </c>
      <c r="AV727" s="1">
        <f>IF($R727=0,0,INT($A727/$R727))</f>
        <v>0</v>
      </c>
      <c r="AW727" s="1">
        <f>$A727-$AV727*$R727</f>
        <v>0</v>
      </c>
    </row>
    <row r="728" ht="24.95" customHeight="1" outlineLevel="3" s="1" customFormat="1">
      <c r="A728" s="15"/>
      <c r="B728" s="16">
        <v>340</v>
      </c>
      <c r="C728" s="16">
        <v>544</v>
      </c>
      <c r="D728" s="16">
        <v>12585</v>
      </c>
      <c r="E728" s="18"/>
      <c r="F728" s="18" t="s">
        <v>622</v>
      </c>
      <c r="G728" s="18" t="s">
        <v>623</v>
      </c>
      <c r="H728" s="18" t="s">
        <v>86</v>
      </c>
      <c r="I728" s="18" t="s">
        <v>87</v>
      </c>
      <c r="J728" s="16">
        <v>2026</v>
      </c>
      <c r="K728" s="18" t="s">
        <v>624</v>
      </c>
      <c r="L728" s="16">
        <v>9785961426151</v>
      </c>
      <c r="M728" s="18" t="s">
        <v>625</v>
      </c>
      <c r="N728" s="16">
        <v>218</v>
      </c>
      <c r="O728" s="19">
        <v>0.13</v>
      </c>
      <c r="P728" s="16">
        <v>120</v>
      </c>
      <c r="Q728" s="16">
        <v>170</v>
      </c>
      <c r="R728" s="16">
        <v>16</v>
      </c>
      <c r="S728" s="18" t="s">
        <v>190</v>
      </c>
      <c r="T728" s="18" t="s">
        <v>565</v>
      </c>
      <c r="U728" s="17">
        <v>10000</v>
      </c>
      <c r="V728" s="18" t="s">
        <v>44</v>
      </c>
      <c r="W728" s="18" t="s">
        <v>184</v>
      </c>
      <c r="X728" s="16">
        <v>10</v>
      </c>
      <c r="Y728" s="43" t="str">
        <f>HYPERLINK("https://api-enni.alpina.ru/FilePrivilegesApproval/156","https://api-enni.alpina.ru/FilePrivilegesApproval/156")</f>
        <v>https://api-enni.alpina.ru/FilePrivilegesApproval/156</v>
      </c>
      <c r="Z728" s="18" t="s">
        <v>251</v>
      </c>
      <c r="AS728" s="1">
        <f>IF($A728&lt;&gt;0,1,0)</f>
        <v>0</v>
      </c>
      <c r="AT728" s="1">
        <f>$A728*$B728</f>
        <v>0</v>
      </c>
      <c r="AU728" s="1">
        <f>$A728*$O728</f>
        <v>0</v>
      </c>
      <c r="AV728" s="1">
        <f>IF($R728=0,0,INT($A728/$R728))</f>
        <v>0</v>
      </c>
      <c r="AW728" s="1">
        <f>$A728-$AV728*$R728</f>
        <v>0</v>
      </c>
    </row>
    <row r="729" ht="24.95" customHeight="1" outlineLevel="3" s="1" customFormat="1">
      <c r="A729" s="15"/>
      <c r="B729" s="16">
        <v>340</v>
      </c>
      <c r="C729" s="16">
        <v>544</v>
      </c>
      <c r="D729" s="16">
        <v>27601</v>
      </c>
      <c r="E729" s="18"/>
      <c r="F729" s="18" t="s">
        <v>713</v>
      </c>
      <c r="G729" s="18" t="s">
        <v>714</v>
      </c>
      <c r="H729" s="18" t="s">
        <v>86</v>
      </c>
      <c r="I729" s="18"/>
      <c r="J729" s="16">
        <v>2026</v>
      </c>
      <c r="K729" s="18" t="s">
        <v>715</v>
      </c>
      <c r="L729" s="16">
        <v>9785961485820</v>
      </c>
      <c r="M729" s="18" t="s">
        <v>716</v>
      </c>
      <c r="N729" s="16">
        <v>316</v>
      </c>
      <c r="O729" s="19">
        <v>0.21</v>
      </c>
      <c r="P729" s="16">
        <v>120</v>
      </c>
      <c r="Q729" s="16">
        <v>170</v>
      </c>
      <c r="R729" s="16">
        <v>12</v>
      </c>
      <c r="S729" s="18" t="s">
        <v>190</v>
      </c>
      <c r="T729" s="18"/>
      <c r="U729" s="17">
        <v>6000</v>
      </c>
      <c r="V729" s="18" t="s">
        <v>44</v>
      </c>
      <c r="W729" s="18" t="s">
        <v>69</v>
      </c>
      <c r="X729" s="16">
        <v>10</v>
      </c>
      <c r="Y729" s="43" t="str">
        <f>HYPERLINK("https://api-enni.alpina.ru/FilePrivilegesApproval/205","https://api-enni.alpina.ru/FilePrivilegesApproval/205")</f>
        <v>https://api-enni.alpina.ru/FilePrivilegesApproval/205</v>
      </c>
      <c r="Z729" s="18" t="s">
        <v>717</v>
      </c>
      <c r="AS729" s="1">
        <f>IF($A729&lt;&gt;0,1,0)</f>
        <v>0</v>
      </c>
      <c r="AT729" s="1">
        <f>$A729*$B729</f>
        <v>0</v>
      </c>
      <c r="AU729" s="1">
        <f>$A729*$O729</f>
        <v>0</v>
      </c>
      <c r="AV729" s="1">
        <f>IF($R729=0,0,INT($A729/$R729))</f>
        <v>0</v>
      </c>
      <c r="AW729" s="1">
        <f>$A729-$AV729*$R729</f>
        <v>0</v>
      </c>
    </row>
    <row r="730" ht="24.95" customHeight="1" outlineLevel="3" s="1" customFormat="1">
      <c r="A730" s="15"/>
      <c r="B730" s="16">
        <v>340</v>
      </c>
      <c r="C730" s="16">
        <v>544</v>
      </c>
      <c r="D730" s="16">
        <v>12589</v>
      </c>
      <c r="E730" s="18"/>
      <c r="F730" s="18" t="s">
        <v>713</v>
      </c>
      <c r="G730" s="18" t="s">
        <v>2429</v>
      </c>
      <c r="H730" s="18" t="s">
        <v>86</v>
      </c>
      <c r="I730" s="18"/>
      <c r="J730" s="16">
        <v>2026</v>
      </c>
      <c r="K730" s="18" t="s">
        <v>2430</v>
      </c>
      <c r="L730" s="16">
        <v>9785961426243</v>
      </c>
      <c r="M730" s="18" t="s">
        <v>2431</v>
      </c>
      <c r="N730" s="16">
        <v>122</v>
      </c>
      <c r="O730" s="19">
        <v>0.09</v>
      </c>
      <c r="P730" s="16">
        <v>115</v>
      </c>
      <c r="Q730" s="16">
        <v>165</v>
      </c>
      <c r="R730" s="16">
        <v>40</v>
      </c>
      <c r="S730" s="18" t="s">
        <v>190</v>
      </c>
      <c r="T730" s="18" t="s">
        <v>565</v>
      </c>
      <c r="U730" s="17">
        <v>4000</v>
      </c>
      <c r="V730" s="18" t="s">
        <v>44</v>
      </c>
      <c r="W730" s="18" t="s">
        <v>184</v>
      </c>
      <c r="X730" s="16">
        <v>10</v>
      </c>
      <c r="Y730" s="43" t="str">
        <f>HYPERLINK("https://api-enni.alpina.ru/FilePrivilegesApproval/152","https://api-enni.alpina.ru/FilePrivilegesApproval/152")</f>
        <v>https://api-enni.alpina.ru/FilePrivilegesApproval/152</v>
      </c>
      <c r="Z730" s="18"/>
      <c r="AS730" s="1">
        <f>IF($A730&lt;&gt;0,1,0)</f>
        <v>0</v>
      </c>
      <c r="AT730" s="1">
        <f>$A730*$B730</f>
        <v>0</v>
      </c>
      <c r="AU730" s="1">
        <f>$A730*$O730</f>
        <v>0</v>
      </c>
      <c r="AV730" s="1">
        <f>IF($R730=0,0,INT($A730/$R730))</f>
        <v>0</v>
      </c>
      <c r="AW730" s="1">
        <f>$A730-$AV730*$R730</f>
        <v>0</v>
      </c>
    </row>
    <row r="731" ht="21.95" customHeight="1" outlineLevel="3" s="1" customFormat="1">
      <c r="A731" s="15"/>
      <c r="B731" s="16">
        <v>340</v>
      </c>
      <c r="C731" s="16">
        <v>544</v>
      </c>
      <c r="D731" s="16">
        <v>12601</v>
      </c>
      <c r="E731" s="18"/>
      <c r="F731" s="18" t="s">
        <v>622</v>
      </c>
      <c r="G731" s="18" t="s">
        <v>968</v>
      </c>
      <c r="H731" s="18" t="s">
        <v>86</v>
      </c>
      <c r="I731" s="18" t="s">
        <v>87</v>
      </c>
      <c r="J731" s="16">
        <v>2026</v>
      </c>
      <c r="K731" s="18" t="s">
        <v>969</v>
      </c>
      <c r="L731" s="16">
        <v>9785961425925</v>
      </c>
      <c r="M731" s="18" t="s">
        <v>970</v>
      </c>
      <c r="N731" s="16">
        <v>256</v>
      </c>
      <c r="O731" s="19">
        <v>0.17</v>
      </c>
      <c r="P731" s="16">
        <v>115</v>
      </c>
      <c r="Q731" s="16">
        <v>165</v>
      </c>
      <c r="R731" s="16">
        <v>14</v>
      </c>
      <c r="S731" s="18" t="s">
        <v>190</v>
      </c>
      <c r="T731" s="18" t="s">
        <v>565</v>
      </c>
      <c r="U731" s="17">
        <v>15000</v>
      </c>
      <c r="V731" s="18" t="s">
        <v>44</v>
      </c>
      <c r="W731" s="18" t="s">
        <v>69</v>
      </c>
      <c r="X731" s="16">
        <v>10</v>
      </c>
      <c r="Y731" s="43" t="str">
        <f>HYPERLINK("","")</f>
      </c>
      <c r="Z731" s="18" t="s">
        <v>119</v>
      </c>
      <c r="AS731" s="1">
        <f>IF($A731&lt;&gt;0,1,0)</f>
        <v>0</v>
      </c>
      <c r="AT731" s="1">
        <f>$A731*$B731</f>
        <v>0</v>
      </c>
      <c r="AU731" s="1">
        <f>$A731*$O731</f>
        <v>0</v>
      </c>
      <c r="AV731" s="1">
        <f>IF($R731=0,0,INT($A731/$R731))</f>
        <v>0</v>
      </c>
      <c r="AW731" s="1">
        <f>$A731-$AV731*$R731</f>
        <v>0</v>
      </c>
    </row>
    <row r="732" ht="24.95" customHeight="1" outlineLevel="3" s="1" customFormat="1">
      <c r="A732" s="15"/>
      <c r="B732" s="16">
        <v>590</v>
      </c>
      <c r="C732" s="16">
        <v>885</v>
      </c>
      <c r="D732" s="16">
        <v>2458</v>
      </c>
      <c r="E732" s="18"/>
      <c r="F732" s="18" t="s">
        <v>622</v>
      </c>
      <c r="G732" s="18" t="s">
        <v>971</v>
      </c>
      <c r="H732" s="18" t="s">
        <v>86</v>
      </c>
      <c r="I732" s="18" t="s">
        <v>87</v>
      </c>
      <c r="J732" s="16">
        <v>2025</v>
      </c>
      <c r="K732" s="18" t="s">
        <v>972</v>
      </c>
      <c r="L732" s="16">
        <v>9785961469585</v>
      </c>
      <c r="M732" s="18" t="s">
        <v>973</v>
      </c>
      <c r="N732" s="16">
        <v>184</v>
      </c>
      <c r="O732" s="19">
        <v>0.32</v>
      </c>
      <c r="P732" s="16">
        <v>146</v>
      </c>
      <c r="Q732" s="16">
        <v>216</v>
      </c>
      <c r="R732" s="16">
        <v>10</v>
      </c>
      <c r="S732" s="18" t="s">
        <v>43</v>
      </c>
      <c r="T732" s="18"/>
      <c r="U732" s="17">
        <v>10000</v>
      </c>
      <c r="V732" s="18" t="s">
        <v>77</v>
      </c>
      <c r="W732" s="18" t="s">
        <v>69</v>
      </c>
      <c r="X732" s="16">
        <v>10</v>
      </c>
      <c r="Y732" s="43" t="str">
        <f>HYPERLINK("https://api-enni.alpina.ru/FilePrivilegesApproval/2","https://api-enni.alpina.ru/FilePrivilegesApproval/2")</f>
        <v>https://api-enni.alpina.ru/FilePrivilegesApproval/2</v>
      </c>
      <c r="Z732" s="18"/>
      <c r="AS732" s="1">
        <f>IF($A732&lt;&gt;0,1,0)</f>
        <v>0</v>
      </c>
      <c r="AT732" s="1">
        <f>$A732*$B732</f>
        <v>0</v>
      </c>
      <c r="AU732" s="1">
        <f>$A732*$O732</f>
        <v>0</v>
      </c>
      <c r="AV732" s="1">
        <f>IF($R732=0,0,INT($A732/$R732))</f>
        <v>0</v>
      </c>
      <c r="AW732" s="1">
        <f>$A732-$AV732*$R732</f>
        <v>0</v>
      </c>
    </row>
    <row r="733" ht="21.95" customHeight="1" outlineLevel="3" s="1" customFormat="1">
      <c r="A733" s="15"/>
      <c r="B733" s="16">
        <v>390</v>
      </c>
      <c r="C733" s="16">
        <v>624</v>
      </c>
      <c r="D733" s="16">
        <v>12586</v>
      </c>
      <c r="E733" s="18"/>
      <c r="F733" s="18" t="s">
        <v>713</v>
      </c>
      <c r="G733" s="18" t="s">
        <v>2432</v>
      </c>
      <c r="H733" s="18" t="s">
        <v>86</v>
      </c>
      <c r="I733" s="18"/>
      <c r="J733" s="16">
        <v>2026</v>
      </c>
      <c r="K733" s="18" t="s">
        <v>2433</v>
      </c>
      <c r="L733" s="16">
        <v>9785961426182</v>
      </c>
      <c r="M733" s="18" t="s">
        <v>2434</v>
      </c>
      <c r="N733" s="16">
        <v>310</v>
      </c>
      <c r="O733" s="19">
        <v>0.21</v>
      </c>
      <c r="P733" s="16">
        <v>120</v>
      </c>
      <c r="Q733" s="16">
        <v>170</v>
      </c>
      <c r="R733" s="16">
        <v>12</v>
      </c>
      <c r="S733" s="18" t="s">
        <v>190</v>
      </c>
      <c r="T733" s="18" t="s">
        <v>565</v>
      </c>
      <c r="U733" s="17">
        <v>5000</v>
      </c>
      <c r="V733" s="18" t="s">
        <v>44</v>
      </c>
      <c r="W733" s="18" t="s">
        <v>184</v>
      </c>
      <c r="X733" s="16">
        <v>10</v>
      </c>
      <c r="Y733" s="43" t="str">
        <f>HYPERLINK("","")</f>
      </c>
      <c r="Z733" s="18" t="s">
        <v>119</v>
      </c>
      <c r="AS733" s="1">
        <f>IF($A733&lt;&gt;0,1,0)</f>
        <v>0</v>
      </c>
      <c r="AT733" s="1">
        <f>$A733*$B733</f>
        <v>0</v>
      </c>
      <c r="AU733" s="1">
        <f>$A733*$O733</f>
        <v>0</v>
      </c>
      <c r="AV733" s="1">
        <f>IF($R733=0,0,INT($A733/$R733))</f>
        <v>0</v>
      </c>
      <c r="AW733" s="1">
        <f>$A733-$AV733*$R733</f>
        <v>0</v>
      </c>
    </row>
    <row r="734" ht="11.1" customHeight="1" outlineLevel="2">
      <c r="A734" s="41" t="s">
        <v>2435</v>
      </c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24"/>
    </row>
    <row r="735" ht="21.95" customHeight="1" outlineLevel="3" s="1" customFormat="1">
      <c r="A735" s="15"/>
      <c r="B735" s="16">
        <v>803</v>
      </c>
      <c r="C735" s="17">
        <v>1164</v>
      </c>
      <c r="D735" s="16">
        <v>29304</v>
      </c>
      <c r="E735" s="18"/>
      <c r="F735" s="18" t="s">
        <v>57</v>
      </c>
      <c r="G735" s="18" t="s">
        <v>2436</v>
      </c>
      <c r="H735" s="18" t="s">
        <v>86</v>
      </c>
      <c r="I735" s="18"/>
      <c r="J735" s="16">
        <v>2025</v>
      </c>
      <c r="K735" s="18" t="s">
        <v>2437</v>
      </c>
      <c r="L735" s="16">
        <v>9785961492187</v>
      </c>
      <c r="M735" s="18" t="s">
        <v>2438</v>
      </c>
      <c r="N735" s="16">
        <v>384</v>
      </c>
      <c r="O735" s="19">
        <v>0.3</v>
      </c>
      <c r="P735" s="16">
        <v>110</v>
      </c>
      <c r="Q735" s="16">
        <v>160</v>
      </c>
      <c r="R735" s="16">
        <v>12</v>
      </c>
      <c r="S735" s="18" t="s">
        <v>90</v>
      </c>
      <c r="T735" s="18"/>
      <c r="U735" s="17">
        <v>2000</v>
      </c>
      <c r="V735" s="18" t="s">
        <v>54</v>
      </c>
      <c r="W735" s="18" t="s">
        <v>184</v>
      </c>
      <c r="X735" s="16">
        <v>22</v>
      </c>
      <c r="Y735" s="43" t="str">
        <f>HYPERLINK("","")</f>
      </c>
      <c r="Z735" s="18"/>
      <c r="AS735" s="1">
        <f>IF($A735&lt;&gt;0,1,0)</f>
        <v>0</v>
      </c>
      <c r="AT735" s="1">
        <f>$A735*$B735</f>
        <v>0</v>
      </c>
      <c r="AU735" s="1">
        <f>$A735*$O735</f>
        <v>0</v>
      </c>
      <c r="AV735" s="1">
        <f>IF($R735=0,0,INT($A735/$R735))</f>
        <v>0</v>
      </c>
      <c r="AW735" s="1">
        <f>$A735-$AV735*$R735</f>
        <v>0</v>
      </c>
    </row>
    <row r="736" ht="21.95" customHeight="1" outlineLevel="3" s="1" customFormat="1">
      <c r="A736" s="15"/>
      <c r="B736" s="16">
        <v>840</v>
      </c>
      <c r="C736" s="17">
        <v>1218</v>
      </c>
      <c r="D736" s="16">
        <v>33941</v>
      </c>
      <c r="E736" s="18"/>
      <c r="F736" s="18" t="s">
        <v>57</v>
      </c>
      <c r="G736" s="18" t="s">
        <v>2439</v>
      </c>
      <c r="H736" s="18" t="s">
        <v>86</v>
      </c>
      <c r="I736" s="18"/>
      <c r="J736" s="16">
        <v>2025</v>
      </c>
      <c r="K736" s="18" t="s">
        <v>2440</v>
      </c>
      <c r="L736" s="16">
        <v>9785006306028</v>
      </c>
      <c r="M736" s="18" t="s">
        <v>2441</v>
      </c>
      <c r="N736" s="16">
        <v>384</v>
      </c>
      <c r="O736" s="19">
        <v>0.31</v>
      </c>
      <c r="P736" s="16">
        <v>120</v>
      </c>
      <c r="Q736" s="16">
        <v>170</v>
      </c>
      <c r="R736" s="16">
        <v>12</v>
      </c>
      <c r="S736" s="18" t="s">
        <v>90</v>
      </c>
      <c r="T736" s="18"/>
      <c r="U736" s="17">
        <v>2000</v>
      </c>
      <c r="V736" s="18" t="s">
        <v>54</v>
      </c>
      <c r="W736" s="18" t="s">
        <v>184</v>
      </c>
      <c r="X736" s="16">
        <v>22</v>
      </c>
      <c r="Y736" s="43" t="str">
        <f>HYPERLINK("","")</f>
      </c>
      <c r="Z736" s="18"/>
      <c r="AS736" s="1">
        <f>IF($A736&lt;&gt;0,1,0)</f>
        <v>0</v>
      </c>
      <c r="AT736" s="1">
        <f>$A736*$B736</f>
        <v>0</v>
      </c>
      <c r="AU736" s="1">
        <f>$A736*$O736</f>
        <v>0</v>
      </c>
      <c r="AV736" s="1">
        <f>IF($R736=0,0,INT($A736/$R736))</f>
        <v>0</v>
      </c>
      <c r="AW736" s="1">
        <f>$A736-$AV736*$R736</f>
        <v>0</v>
      </c>
    </row>
    <row r="737" ht="21.95" customHeight="1" outlineLevel="3" s="1" customFormat="1">
      <c r="A737" s="15"/>
      <c r="B737" s="16">
        <v>549</v>
      </c>
      <c r="C737" s="16">
        <v>851</v>
      </c>
      <c r="D737" s="16">
        <v>27282</v>
      </c>
      <c r="E737" s="18"/>
      <c r="F737" s="18" t="s">
        <v>57</v>
      </c>
      <c r="G737" s="18" t="s">
        <v>2442</v>
      </c>
      <c r="H737" s="18" t="s">
        <v>86</v>
      </c>
      <c r="I737" s="18" t="s">
        <v>74</v>
      </c>
      <c r="J737" s="16">
        <v>2026</v>
      </c>
      <c r="K737" s="18" t="s">
        <v>2443</v>
      </c>
      <c r="L737" s="16">
        <v>9785961485325</v>
      </c>
      <c r="M737" s="18" t="s">
        <v>2444</v>
      </c>
      <c r="N737" s="16">
        <v>384</v>
      </c>
      <c r="O737" s="19">
        <v>0.3</v>
      </c>
      <c r="P737" s="16">
        <v>110</v>
      </c>
      <c r="Q737" s="16">
        <v>160</v>
      </c>
      <c r="R737" s="16">
        <v>14</v>
      </c>
      <c r="S737" s="18" t="s">
        <v>90</v>
      </c>
      <c r="T737" s="18"/>
      <c r="U737" s="17">
        <v>2500</v>
      </c>
      <c r="V737" s="18" t="s">
        <v>77</v>
      </c>
      <c r="W737" s="18" t="s">
        <v>184</v>
      </c>
      <c r="X737" s="16">
        <v>22</v>
      </c>
      <c r="Y737" s="43" t="str">
        <f>HYPERLINK("","")</f>
      </c>
      <c r="Z737" s="18"/>
      <c r="AS737" s="1">
        <f>IF($A737&lt;&gt;0,1,0)</f>
        <v>0</v>
      </c>
      <c r="AT737" s="1">
        <f>$A737*$B737</f>
        <v>0</v>
      </c>
      <c r="AU737" s="1">
        <f>$A737*$O737</f>
        <v>0</v>
      </c>
      <c r="AV737" s="1">
        <f>IF($R737=0,0,INT($A737/$R737))</f>
        <v>0</v>
      </c>
      <c r="AW737" s="1">
        <f>$A737-$AV737*$R737</f>
        <v>0</v>
      </c>
    </row>
    <row r="738" ht="21.95" customHeight="1" outlineLevel="3" s="1" customFormat="1">
      <c r="A738" s="15"/>
      <c r="B738" s="16">
        <v>540</v>
      </c>
      <c r="C738" s="16">
        <v>837</v>
      </c>
      <c r="D738" s="16">
        <v>27484</v>
      </c>
      <c r="E738" s="18"/>
      <c r="F738" s="18" t="s">
        <v>57</v>
      </c>
      <c r="G738" s="18" t="s">
        <v>2445</v>
      </c>
      <c r="H738" s="18" t="s">
        <v>86</v>
      </c>
      <c r="I738" s="18" t="s">
        <v>74</v>
      </c>
      <c r="J738" s="16">
        <v>2026</v>
      </c>
      <c r="K738" s="18" t="s">
        <v>2446</v>
      </c>
      <c r="L738" s="16">
        <v>9785961485349</v>
      </c>
      <c r="M738" s="18" t="s">
        <v>2447</v>
      </c>
      <c r="N738" s="16">
        <v>384</v>
      </c>
      <c r="O738" s="19">
        <v>0.3</v>
      </c>
      <c r="P738" s="16">
        <v>110</v>
      </c>
      <c r="Q738" s="16">
        <v>160</v>
      </c>
      <c r="R738" s="16">
        <v>12</v>
      </c>
      <c r="S738" s="18" t="s">
        <v>90</v>
      </c>
      <c r="T738" s="18"/>
      <c r="U738" s="17">
        <v>2500</v>
      </c>
      <c r="V738" s="18" t="s">
        <v>77</v>
      </c>
      <c r="W738" s="18" t="s">
        <v>184</v>
      </c>
      <c r="X738" s="16">
        <v>22</v>
      </c>
      <c r="Y738" s="43" t="str">
        <f>HYPERLINK("","")</f>
      </c>
      <c r="Z738" s="18"/>
      <c r="AS738" s="1">
        <f>IF($A738&lt;&gt;0,1,0)</f>
        <v>0</v>
      </c>
      <c r="AT738" s="1">
        <f>$A738*$B738</f>
        <v>0</v>
      </c>
      <c r="AU738" s="1">
        <f>$A738*$O738</f>
        <v>0</v>
      </c>
      <c r="AV738" s="1">
        <f>IF($R738=0,0,INT($A738/$R738))</f>
        <v>0</v>
      </c>
      <c r="AW738" s="1">
        <f>$A738-$AV738*$R738</f>
        <v>0</v>
      </c>
    </row>
    <row r="739" ht="21.95" customHeight="1" outlineLevel="3" s="1" customFormat="1">
      <c r="A739" s="15"/>
      <c r="B739" s="16">
        <v>549</v>
      </c>
      <c r="C739" s="16">
        <v>851</v>
      </c>
      <c r="D739" s="16">
        <v>34774</v>
      </c>
      <c r="E739" s="18"/>
      <c r="F739" s="18" t="s">
        <v>57</v>
      </c>
      <c r="G739" s="18" t="s">
        <v>2448</v>
      </c>
      <c r="H739" s="18" t="s">
        <v>86</v>
      </c>
      <c r="I739" s="18" t="s">
        <v>74</v>
      </c>
      <c r="J739" s="16">
        <v>2025</v>
      </c>
      <c r="K739" s="18" t="s">
        <v>2449</v>
      </c>
      <c r="L739" s="16">
        <v>9785006308961</v>
      </c>
      <c r="M739" s="18" t="s">
        <v>2450</v>
      </c>
      <c r="N739" s="16">
        <v>384</v>
      </c>
      <c r="O739" s="19">
        <v>0.3</v>
      </c>
      <c r="P739" s="16">
        <v>110</v>
      </c>
      <c r="Q739" s="16">
        <v>160</v>
      </c>
      <c r="R739" s="16">
        <v>10</v>
      </c>
      <c r="S739" s="18" t="s">
        <v>873</v>
      </c>
      <c r="T739" s="18"/>
      <c r="U739" s="17">
        <v>2000</v>
      </c>
      <c r="V739" s="18" t="s">
        <v>77</v>
      </c>
      <c r="W739" s="18" t="s">
        <v>184</v>
      </c>
      <c r="X739" s="16">
        <v>22</v>
      </c>
      <c r="Y739" s="43" t="str">
        <f>HYPERLINK("","")</f>
      </c>
      <c r="Z739" s="18"/>
      <c r="AS739" s="1">
        <f>IF($A739&lt;&gt;0,1,0)</f>
        <v>0</v>
      </c>
      <c r="AT739" s="1">
        <f>$A739*$B739</f>
        <v>0</v>
      </c>
      <c r="AU739" s="1">
        <f>$A739*$O739</f>
        <v>0</v>
      </c>
      <c r="AV739" s="1">
        <f>IF($R739=0,0,INT($A739/$R739))</f>
        <v>0</v>
      </c>
      <c r="AW739" s="1">
        <f>$A739-$AV739*$R739</f>
        <v>0</v>
      </c>
    </row>
    <row r="740" ht="21.95" customHeight="1" outlineLevel="3" s="1" customFormat="1">
      <c r="A740" s="15"/>
      <c r="B740" s="16">
        <v>549</v>
      </c>
      <c r="C740" s="16">
        <v>851</v>
      </c>
      <c r="D740" s="16">
        <v>34775</v>
      </c>
      <c r="E740" s="18"/>
      <c r="F740" s="18" t="s">
        <v>57</v>
      </c>
      <c r="G740" s="18" t="s">
        <v>2451</v>
      </c>
      <c r="H740" s="18" t="s">
        <v>86</v>
      </c>
      <c r="I740" s="18" t="s">
        <v>74</v>
      </c>
      <c r="J740" s="16">
        <v>2025</v>
      </c>
      <c r="K740" s="18" t="s">
        <v>2452</v>
      </c>
      <c r="L740" s="16">
        <v>9785006308978</v>
      </c>
      <c r="M740" s="18" t="s">
        <v>2453</v>
      </c>
      <c r="N740" s="16">
        <v>384</v>
      </c>
      <c r="O740" s="19">
        <v>0.3</v>
      </c>
      <c r="P740" s="16">
        <v>110</v>
      </c>
      <c r="Q740" s="16">
        <v>160</v>
      </c>
      <c r="R740" s="16">
        <v>10</v>
      </c>
      <c r="S740" s="18" t="s">
        <v>873</v>
      </c>
      <c r="T740" s="18"/>
      <c r="U740" s="17">
        <v>2000</v>
      </c>
      <c r="V740" s="18" t="s">
        <v>77</v>
      </c>
      <c r="W740" s="18" t="s">
        <v>184</v>
      </c>
      <c r="X740" s="16">
        <v>22</v>
      </c>
      <c r="Y740" s="43" t="str">
        <f>HYPERLINK("","")</f>
      </c>
      <c r="Z740" s="18"/>
      <c r="AS740" s="1">
        <f>IF($A740&lt;&gt;0,1,0)</f>
        <v>0</v>
      </c>
      <c r="AT740" s="1">
        <f>$A740*$B740</f>
        <v>0</v>
      </c>
      <c r="AU740" s="1">
        <f>$A740*$O740</f>
        <v>0</v>
      </c>
      <c r="AV740" s="1">
        <f>IF($R740=0,0,INT($A740/$R740))</f>
        <v>0</v>
      </c>
      <c r="AW740" s="1">
        <f>$A740-$AV740*$R740</f>
        <v>0</v>
      </c>
    </row>
    <row r="741" ht="21.95" customHeight="1" outlineLevel="3" s="1" customFormat="1">
      <c r="A741" s="15"/>
      <c r="B741" s="16">
        <v>854</v>
      </c>
      <c r="C741" s="17">
        <v>1196</v>
      </c>
      <c r="D741" s="16">
        <v>23278</v>
      </c>
      <c r="E741" s="18"/>
      <c r="F741" s="18" t="s">
        <v>452</v>
      </c>
      <c r="G741" s="18" t="s">
        <v>2454</v>
      </c>
      <c r="H741" s="18" t="s">
        <v>86</v>
      </c>
      <c r="I741" s="18" t="s">
        <v>87</v>
      </c>
      <c r="J741" s="16">
        <v>2024</v>
      </c>
      <c r="K741" s="18" t="s">
        <v>2455</v>
      </c>
      <c r="L741" s="16">
        <v>9785961472936</v>
      </c>
      <c r="M741" s="18" t="s">
        <v>2456</v>
      </c>
      <c r="N741" s="16">
        <v>304</v>
      </c>
      <c r="O741" s="19">
        <v>0.58</v>
      </c>
      <c r="P741" s="16">
        <v>150</v>
      </c>
      <c r="Q741" s="16">
        <v>220</v>
      </c>
      <c r="R741" s="16">
        <v>20</v>
      </c>
      <c r="S741" s="18" t="s">
        <v>43</v>
      </c>
      <c r="T741" s="18" t="s">
        <v>53</v>
      </c>
      <c r="U741" s="17">
        <v>24000</v>
      </c>
      <c r="V741" s="18" t="s">
        <v>54</v>
      </c>
      <c r="W741" s="18" t="s">
        <v>55</v>
      </c>
      <c r="X741" s="16">
        <v>22</v>
      </c>
      <c r="Y741" s="43" t="str">
        <f>HYPERLINK("","")</f>
      </c>
      <c r="Z741" s="18"/>
      <c r="AS741" s="1">
        <f>IF($A741&lt;&gt;0,1,0)</f>
        <v>0</v>
      </c>
      <c r="AT741" s="1">
        <f>$A741*$B741</f>
        <v>0</v>
      </c>
      <c r="AU741" s="1">
        <f>$A741*$O741</f>
        <v>0</v>
      </c>
      <c r="AV741" s="1">
        <f>IF($R741=0,0,INT($A741/$R741))</f>
        <v>0</v>
      </c>
      <c r="AW741" s="1">
        <f>$A741-$AV741*$R741</f>
        <v>0</v>
      </c>
    </row>
    <row r="742" ht="21.95" customHeight="1" outlineLevel="3" s="1" customFormat="1">
      <c r="A742" s="15"/>
      <c r="B742" s="16">
        <v>854</v>
      </c>
      <c r="C742" s="17">
        <v>1196</v>
      </c>
      <c r="D742" s="16">
        <v>30530</v>
      </c>
      <c r="E742" s="18"/>
      <c r="F742" s="18" t="s">
        <v>452</v>
      </c>
      <c r="G742" s="18" t="s">
        <v>2457</v>
      </c>
      <c r="H742" s="18" t="s">
        <v>86</v>
      </c>
      <c r="I742" s="18" t="s">
        <v>87</v>
      </c>
      <c r="J742" s="16">
        <v>2024</v>
      </c>
      <c r="K742" s="18" t="s">
        <v>2458</v>
      </c>
      <c r="L742" s="16">
        <v>9785961495744</v>
      </c>
      <c r="M742" s="18" t="s">
        <v>2459</v>
      </c>
      <c r="N742" s="16">
        <v>304</v>
      </c>
      <c r="O742" s="19">
        <v>0.57</v>
      </c>
      <c r="P742" s="16">
        <v>150</v>
      </c>
      <c r="Q742" s="16">
        <v>220</v>
      </c>
      <c r="R742" s="16">
        <v>20</v>
      </c>
      <c r="S742" s="18" t="s">
        <v>43</v>
      </c>
      <c r="T742" s="18" t="s">
        <v>53</v>
      </c>
      <c r="U742" s="17">
        <v>24000</v>
      </c>
      <c r="V742" s="18" t="s">
        <v>54</v>
      </c>
      <c r="W742" s="18" t="s">
        <v>55</v>
      </c>
      <c r="X742" s="16">
        <v>22</v>
      </c>
      <c r="Y742" s="43" t="str">
        <f>HYPERLINK("","")</f>
      </c>
      <c r="Z742" s="18"/>
      <c r="AS742" s="1">
        <f>IF($A742&lt;&gt;0,1,0)</f>
        <v>0</v>
      </c>
      <c r="AT742" s="1">
        <f>$A742*$B742</f>
        <v>0</v>
      </c>
      <c r="AU742" s="1">
        <f>$A742*$O742</f>
        <v>0</v>
      </c>
      <c r="AV742" s="1">
        <f>IF($R742=0,0,INT($A742/$R742))</f>
        <v>0</v>
      </c>
      <c r="AW742" s="1">
        <f>$A742-$AV742*$R742</f>
        <v>0</v>
      </c>
    </row>
    <row r="743" ht="21.95" customHeight="1" outlineLevel="3" s="1" customFormat="1">
      <c r="A743" s="15"/>
      <c r="B743" s="16">
        <v>854</v>
      </c>
      <c r="C743" s="17">
        <v>1196</v>
      </c>
      <c r="D743" s="16">
        <v>18980</v>
      </c>
      <c r="E743" s="18"/>
      <c r="F743" s="18" t="s">
        <v>452</v>
      </c>
      <c r="G743" s="18" t="s">
        <v>453</v>
      </c>
      <c r="H743" s="18" t="s">
        <v>86</v>
      </c>
      <c r="I743" s="18" t="s">
        <v>87</v>
      </c>
      <c r="J743" s="16">
        <v>2024</v>
      </c>
      <c r="K743" s="18" t="s">
        <v>454</v>
      </c>
      <c r="L743" s="16">
        <v>9785961472929</v>
      </c>
      <c r="M743" s="18" t="s">
        <v>455</v>
      </c>
      <c r="N743" s="16">
        <v>304</v>
      </c>
      <c r="O743" s="19">
        <v>0.54</v>
      </c>
      <c r="P743" s="16">
        <v>150</v>
      </c>
      <c r="Q743" s="16">
        <v>220</v>
      </c>
      <c r="R743" s="16">
        <v>20</v>
      </c>
      <c r="S743" s="18" t="s">
        <v>43</v>
      </c>
      <c r="T743" s="18" t="s">
        <v>53</v>
      </c>
      <c r="U743" s="17">
        <v>24000</v>
      </c>
      <c r="V743" s="18" t="s">
        <v>54</v>
      </c>
      <c r="W743" s="18" t="s">
        <v>55</v>
      </c>
      <c r="X743" s="16">
        <v>22</v>
      </c>
      <c r="Y743" s="43" t="str">
        <f>HYPERLINK("","")</f>
      </c>
      <c r="Z743" s="18"/>
      <c r="AS743" s="1">
        <f>IF($A743&lt;&gt;0,1,0)</f>
        <v>0</v>
      </c>
      <c r="AT743" s="1">
        <f>$A743*$B743</f>
        <v>0</v>
      </c>
      <c r="AU743" s="1">
        <f>$A743*$O743</f>
        <v>0</v>
      </c>
      <c r="AV743" s="1">
        <f>IF($R743=0,0,INT($A743/$R743))</f>
        <v>0</v>
      </c>
      <c r="AW743" s="1">
        <f>$A743-$AV743*$R743</f>
        <v>0</v>
      </c>
    </row>
    <row r="744" ht="21.95" customHeight="1" outlineLevel="3" s="1" customFormat="1">
      <c r="A744" s="15"/>
      <c r="B744" s="16">
        <v>854</v>
      </c>
      <c r="C744" s="17">
        <v>1218</v>
      </c>
      <c r="D744" s="16">
        <v>18979</v>
      </c>
      <c r="E744" s="18"/>
      <c r="F744" s="18" t="s">
        <v>452</v>
      </c>
      <c r="G744" s="18" t="s">
        <v>2460</v>
      </c>
      <c r="H744" s="18" t="s">
        <v>86</v>
      </c>
      <c r="I744" s="18" t="s">
        <v>87</v>
      </c>
      <c r="J744" s="16">
        <v>2024</v>
      </c>
      <c r="K744" s="18" t="s">
        <v>2461</v>
      </c>
      <c r="L744" s="16">
        <v>9785961441932</v>
      </c>
      <c r="M744" s="18" t="s">
        <v>2462</v>
      </c>
      <c r="N744" s="16">
        <v>304</v>
      </c>
      <c r="O744" s="19">
        <v>0.54</v>
      </c>
      <c r="P744" s="16">
        <v>150</v>
      </c>
      <c r="Q744" s="16">
        <v>220</v>
      </c>
      <c r="R744" s="16">
        <v>20</v>
      </c>
      <c r="S744" s="18" t="s">
        <v>43</v>
      </c>
      <c r="T744" s="18" t="s">
        <v>53</v>
      </c>
      <c r="U744" s="17">
        <v>24000</v>
      </c>
      <c r="V744" s="18" t="s">
        <v>54</v>
      </c>
      <c r="W744" s="18" t="s">
        <v>55</v>
      </c>
      <c r="X744" s="16">
        <v>22</v>
      </c>
      <c r="Y744" s="43" t="str">
        <f>HYPERLINK("","")</f>
      </c>
      <c r="Z744" s="18"/>
      <c r="AS744" s="1">
        <f>IF($A744&lt;&gt;0,1,0)</f>
        <v>0</v>
      </c>
      <c r="AT744" s="1">
        <f>$A744*$B744</f>
        <v>0</v>
      </c>
      <c r="AU744" s="1">
        <f>$A744*$O744</f>
        <v>0</v>
      </c>
      <c r="AV744" s="1">
        <f>IF($R744=0,0,INT($A744/$R744))</f>
        <v>0</v>
      </c>
      <c r="AW744" s="1">
        <f>$A744-$AV744*$R744</f>
        <v>0</v>
      </c>
    </row>
    <row r="745" ht="21.95" customHeight="1" outlineLevel="3" s="1" customFormat="1">
      <c r="A745" s="15"/>
      <c r="B745" s="16">
        <v>651</v>
      </c>
      <c r="C745" s="16">
        <v>976</v>
      </c>
      <c r="D745" s="16">
        <v>25510</v>
      </c>
      <c r="E745" s="18"/>
      <c r="F745" s="18" t="s">
        <v>452</v>
      </c>
      <c r="G745" s="18" t="s">
        <v>2463</v>
      </c>
      <c r="H745" s="18" t="s">
        <v>86</v>
      </c>
      <c r="I745" s="18" t="s">
        <v>87</v>
      </c>
      <c r="J745" s="16">
        <v>2024</v>
      </c>
      <c r="K745" s="18" t="s">
        <v>2464</v>
      </c>
      <c r="L745" s="16">
        <v>9785961483840</v>
      </c>
      <c r="M745" s="18" t="s">
        <v>2465</v>
      </c>
      <c r="N745" s="16">
        <v>304</v>
      </c>
      <c r="O745" s="19">
        <v>0.48</v>
      </c>
      <c r="P745" s="16">
        <v>150</v>
      </c>
      <c r="Q745" s="16">
        <v>220</v>
      </c>
      <c r="R745" s="16">
        <v>6</v>
      </c>
      <c r="S745" s="18" t="s">
        <v>43</v>
      </c>
      <c r="T745" s="18" t="s">
        <v>53</v>
      </c>
      <c r="U745" s="17">
        <v>15000</v>
      </c>
      <c r="V745" s="18" t="s">
        <v>54</v>
      </c>
      <c r="W745" s="18" t="s">
        <v>55</v>
      </c>
      <c r="X745" s="16">
        <v>22</v>
      </c>
      <c r="Y745" s="43" t="str">
        <f>HYPERLINK("","")</f>
      </c>
      <c r="Z745" s="18"/>
      <c r="AS745" s="1">
        <f>IF($A745&lt;&gt;0,1,0)</f>
        <v>0</v>
      </c>
      <c r="AT745" s="1">
        <f>$A745*$B745</f>
        <v>0</v>
      </c>
      <c r="AU745" s="1">
        <f>$A745*$O745</f>
        <v>0</v>
      </c>
      <c r="AV745" s="1">
        <f>IF($R745=0,0,INT($A745/$R745))</f>
        <v>0</v>
      </c>
      <c r="AW745" s="1">
        <f>$A745-$AV745*$R745</f>
        <v>0</v>
      </c>
    </row>
    <row r="746" ht="21.95" customHeight="1" outlineLevel="3" s="1" customFormat="1">
      <c r="A746" s="15"/>
      <c r="B746" s="16">
        <v>905</v>
      </c>
      <c r="C746" s="17">
        <v>1267</v>
      </c>
      <c r="D746" s="16">
        <v>29009</v>
      </c>
      <c r="E746" s="18"/>
      <c r="F746" s="18" t="s">
        <v>452</v>
      </c>
      <c r="G746" s="18" t="s">
        <v>2466</v>
      </c>
      <c r="H746" s="18" t="s">
        <v>86</v>
      </c>
      <c r="I746" s="18" t="s">
        <v>87</v>
      </c>
      <c r="J746" s="16">
        <v>2025</v>
      </c>
      <c r="K746" s="18" t="s">
        <v>2467</v>
      </c>
      <c r="L746" s="16">
        <v>9785961491012</v>
      </c>
      <c r="M746" s="18" t="s">
        <v>2468</v>
      </c>
      <c r="N746" s="16">
        <v>272</v>
      </c>
      <c r="O746" s="19">
        <v>0.54</v>
      </c>
      <c r="P746" s="16">
        <v>150</v>
      </c>
      <c r="Q746" s="16">
        <v>220</v>
      </c>
      <c r="R746" s="16">
        <v>10</v>
      </c>
      <c r="S746" s="18" t="s">
        <v>43</v>
      </c>
      <c r="T746" s="18" t="s">
        <v>53</v>
      </c>
      <c r="U746" s="17">
        <v>10000</v>
      </c>
      <c r="V746" s="18" t="s">
        <v>54</v>
      </c>
      <c r="W746" s="18" t="s">
        <v>45</v>
      </c>
      <c r="X746" s="16">
        <v>22</v>
      </c>
      <c r="Y746" s="43" t="str">
        <f>HYPERLINK("","")</f>
      </c>
      <c r="Z746" s="18"/>
      <c r="AS746" s="1">
        <f>IF($A746&lt;&gt;0,1,0)</f>
        <v>0</v>
      </c>
      <c r="AT746" s="1">
        <f>$A746*$B746</f>
        <v>0</v>
      </c>
      <c r="AU746" s="1">
        <f>$A746*$O746</f>
        <v>0</v>
      </c>
      <c r="AV746" s="1">
        <f>IF($R746=0,0,INT($A746/$R746))</f>
        <v>0</v>
      </c>
      <c r="AW746" s="1">
        <f>$A746-$AV746*$R746</f>
        <v>0</v>
      </c>
    </row>
    <row r="747" ht="21.95" customHeight="1" outlineLevel="3" s="1" customFormat="1">
      <c r="A747" s="15"/>
      <c r="B747" s="16">
        <v>854</v>
      </c>
      <c r="C747" s="17">
        <v>1196</v>
      </c>
      <c r="D747" s="16">
        <v>18576</v>
      </c>
      <c r="E747" s="18"/>
      <c r="F747" s="18" t="s">
        <v>452</v>
      </c>
      <c r="G747" s="18" t="s">
        <v>2469</v>
      </c>
      <c r="H747" s="18" t="s">
        <v>86</v>
      </c>
      <c r="I747" s="18" t="s">
        <v>87</v>
      </c>
      <c r="J747" s="16">
        <v>2025</v>
      </c>
      <c r="K747" s="18" t="s">
        <v>2470</v>
      </c>
      <c r="L747" s="16">
        <v>9785961438031</v>
      </c>
      <c r="M747" s="18" t="s">
        <v>2471</v>
      </c>
      <c r="N747" s="16">
        <v>296</v>
      </c>
      <c r="O747" s="19">
        <v>0.53</v>
      </c>
      <c r="P747" s="16">
        <v>147</v>
      </c>
      <c r="Q747" s="16">
        <v>215</v>
      </c>
      <c r="R747" s="16">
        <v>20</v>
      </c>
      <c r="S747" s="18" t="s">
        <v>43</v>
      </c>
      <c r="T747" s="18" t="s">
        <v>53</v>
      </c>
      <c r="U747" s="17">
        <v>12000</v>
      </c>
      <c r="V747" s="18" t="s">
        <v>54</v>
      </c>
      <c r="W747" s="18" t="s">
        <v>55</v>
      </c>
      <c r="X747" s="16">
        <v>22</v>
      </c>
      <c r="Y747" s="43" t="str">
        <f>HYPERLINK("","")</f>
      </c>
      <c r="Z747" s="18"/>
      <c r="AS747" s="1">
        <f>IF($A747&lt;&gt;0,1,0)</f>
        <v>0</v>
      </c>
      <c r="AT747" s="1">
        <f>$A747*$B747</f>
        <v>0</v>
      </c>
      <c r="AU747" s="1">
        <f>$A747*$O747</f>
        <v>0</v>
      </c>
      <c r="AV747" s="1">
        <f>IF($R747=0,0,INT($A747/$R747))</f>
        <v>0</v>
      </c>
      <c r="AW747" s="1">
        <f>$A747-$AV747*$R747</f>
        <v>0</v>
      </c>
    </row>
    <row r="748" ht="21.95" customHeight="1" outlineLevel="3" s="1" customFormat="1">
      <c r="A748" s="15"/>
      <c r="B748" s="16">
        <v>854</v>
      </c>
      <c r="C748" s="17">
        <v>1196</v>
      </c>
      <c r="D748" s="16">
        <v>18566</v>
      </c>
      <c r="E748" s="18"/>
      <c r="F748" s="18" t="s">
        <v>452</v>
      </c>
      <c r="G748" s="18" t="s">
        <v>2472</v>
      </c>
      <c r="H748" s="18" t="s">
        <v>86</v>
      </c>
      <c r="I748" s="18" t="s">
        <v>87</v>
      </c>
      <c r="J748" s="16">
        <v>2024</v>
      </c>
      <c r="K748" s="18" t="s">
        <v>2473</v>
      </c>
      <c r="L748" s="16">
        <v>9785961438024</v>
      </c>
      <c r="M748" s="18" t="s">
        <v>2474</v>
      </c>
      <c r="N748" s="16">
        <v>296</v>
      </c>
      <c r="O748" s="19">
        <v>0.52</v>
      </c>
      <c r="P748" s="16">
        <v>150</v>
      </c>
      <c r="Q748" s="16">
        <v>220</v>
      </c>
      <c r="R748" s="16">
        <v>20</v>
      </c>
      <c r="S748" s="18" t="s">
        <v>43</v>
      </c>
      <c r="T748" s="18" t="s">
        <v>53</v>
      </c>
      <c r="U748" s="17">
        <v>24000</v>
      </c>
      <c r="V748" s="18" t="s">
        <v>54</v>
      </c>
      <c r="W748" s="18" t="s">
        <v>55</v>
      </c>
      <c r="X748" s="16">
        <v>22</v>
      </c>
      <c r="Y748" s="43" t="str">
        <f>HYPERLINK("","")</f>
      </c>
      <c r="Z748" s="18"/>
      <c r="AS748" s="1">
        <f>IF($A748&lt;&gt;0,1,0)</f>
        <v>0</v>
      </c>
      <c r="AT748" s="1">
        <f>$A748*$B748</f>
        <v>0</v>
      </c>
      <c r="AU748" s="1">
        <f>$A748*$O748</f>
        <v>0</v>
      </c>
      <c r="AV748" s="1">
        <f>IF($R748=0,0,INT($A748/$R748))</f>
        <v>0</v>
      </c>
      <c r="AW748" s="1">
        <f>$A748-$AV748*$R748</f>
        <v>0</v>
      </c>
    </row>
    <row r="749" ht="21.95" customHeight="1" outlineLevel="3" s="1" customFormat="1">
      <c r="A749" s="15"/>
      <c r="B749" s="16">
        <v>740</v>
      </c>
      <c r="C749" s="17">
        <v>1073</v>
      </c>
      <c r="D749" s="16">
        <v>25508</v>
      </c>
      <c r="E749" s="18"/>
      <c r="F749" s="18" t="s">
        <v>452</v>
      </c>
      <c r="G749" s="18" t="s">
        <v>2475</v>
      </c>
      <c r="H749" s="18" t="s">
        <v>86</v>
      </c>
      <c r="I749" s="18" t="s">
        <v>87</v>
      </c>
      <c r="J749" s="16">
        <v>2026</v>
      </c>
      <c r="K749" s="18" t="s">
        <v>2476</v>
      </c>
      <c r="L749" s="16">
        <v>9785961483871</v>
      </c>
      <c r="M749" s="18" t="s">
        <v>2477</v>
      </c>
      <c r="N749" s="16">
        <v>296</v>
      </c>
      <c r="O749" s="19">
        <v>0.47</v>
      </c>
      <c r="P749" s="16">
        <v>150</v>
      </c>
      <c r="Q749" s="16">
        <v>220</v>
      </c>
      <c r="R749" s="16">
        <v>7</v>
      </c>
      <c r="S749" s="18" t="s">
        <v>43</v>
      </c>
      <c r="T749" s="18" t="s">
        <v>53</v>
      </c>
      <c r="U749" s="17">
        <v>5000</v>
      </c>
      <c r="V749" s="18" t="s">
        <v>54</v>
      </c>
      <c r="W749" s="18" t="s">
        <v>55</v>
      </c>
      <c r="X749" s="16">
        <v>22</v>
      </c>
      <c r="Y749" s="43" t="str">
        <f>HYPERLINK("","")</f>
      </c>
      <c r="Z749" s="18" t="s">
        <v>108</v>
      </c>
      <c r="AS749" s="1">
        <f>IF($A749&lt;&gt;0,1,0)</f>
        <v>0</v>
      </c>
      <c r="AT749" s="1">
        <f>$A749*$B749</f>
        <v>0</v>
      </c>
      <c r="AU749" s="1">
        <f>$A749*$O749</f>
        <v>0</v>
      </c>
      <c r="AV749" s="1">
        <f>IF($R749=0,0,INT($A749/$R749))</f>
        <v>0</v>
      </c>
      <c r="AW749" s="1">
        <f>$A749-$AV749*$R749</f>
        <v>0</v>
      </c>
    </row>
    <row r="750" ht="21.95" customHeight="1" outlineLevel="3" s="1" customFormat="1">
      <c r="A750" s="15"/>
      <c r="B750" s="16">
        <v>740</v>
      </c>
      <c r="C750" s="17">
        <v>1073</v>
      </c>
      <c r="D750" s="16">
        <v>25509</v>
      </c>
      <c r="E750" s="18"/>
      <c r="F750" s="18" t="s">
        <v>452</v>
      </c>
      <c r="G750" s="18" t="s">
        <v>463</v>
      </c>
      <c r="H750" s="18" t="s">
        <v>86</v>
      </c>
      <c r="I750" s="18" t="s">
        <v>87</v>
      </c>
      <c r="J750" s="16">
        <v>2026</v>
      </c>
      <c r="K750" s="18" t="s">
        <v>464</v>
      </c>
      <c r="L750" s="16">
        <v>9785961483888</v>
      </c>
      <c r="M750" s="18" t="s">
        <v>465</v>
      </c>
      <c r="N750" s="16">
        <v>296</v>
      </c>
      <c r="O750" s="19">
        <v>0.47</v>
      </c>
      <c r="P750" s="16">
        <v>150</v>
      </c>
      <c r="Q750" s="16">
        <v>220</v>
      </c>
      <c r="R750" s="16">
        <v>7</v>
      </c>
      <c r="S750" s="18" t="s">
        <v>43</v>
      </c>
      <c r="T750" s="18" t="s">
        <v>53</v>
      </c>
      <c r="U750" s="17">
        <v>5000</v>
      </c>
      <c r="V750" s="18" t="s">
        <v>54</v>
      </c>
      <c r="W750" s="18" t="s">
        <v>55</v>
      </c>
      <c r="X750" s="16">
        <v>22</v>
      </c>
      <c r="Y750" s="43" t="str">
        <f>HYPERLINK("","")</f>
      </c>
      <c r="Z750" s="18" t="s">
        <v>108</v>
      </c>
      <c r="AS750" s="1">
        <f>IF($A750&lt;&gt;0,1,0)</f>
        <v>0</v>
      </c>
      <c r="AT750" s="1">
        <f>$A750*$B750</f>
        <v>0</v>
      </c>
      <c r="AU750" s="1">
        <f>$A750*$O750</f>
        <v>0</v>
      </c>
      <c r="AV750" s="1">
        <f>IF($R750=0,0,INT($A750/$R750))</f>
        <v>0</v>
      </c>
      <c r="AW750" s="1">
        <f>$A750-$AV750*$R750</f>
        <v>0</v>
      </c>
    </row>
    <row r="751" ht="21.95" customHeight="1" outlineLevel="3" s="1" customFormat="1">
      <c r="A751" s="15"/>
      <c r="B751" s="16">
        <v>854</v>
      </c>
      <c r="C751" s="17">
        <v>1196</v>
      </c>
      <c r="D751" s="16">
        <v>18111</v>
      </c>
      <c r="E751" s="18"/>
      <c r="F751" s="18" t="s">
        <v>452</v>
      </c>
      <c r="G751" s="18" t="s">
        <v>466</v>
      </c>
      <c r="H751" s="18" t="s">
        <v>86</v>
      </c>
      <c r="I751" s="18" t="s">
        <v>87</v>
      </c>
      <c r="J751" s="16">
        <v>2025</v>
      </c>
      <c r="K751" s="18" t="s">
        <v>467</v>
      </c>
      <c r="L751" s="16">
        <v>9785961433265</v>
      </c>
      <c r="M751" s="18" t="s">
        <v>468</v>
      </c>
      <c r="N751" s="16">
        <v>286</v>
      </c>
      <c r="O751" s="19">
        <v>0.52</v>
      </c>
      <c r="P751" s="16">
        <v>150</v>
      </c>
      <c r="Q751" s="16">
        <v>215</v>
      </c>
      <c r="R751" s="16">
        <v>20</v>
      </c>
      <c r="S751" s="18" t="s">
        <v>43</v>
      </c>
      <c r="T751" s="18" t="s">
        <v>53</v>
      </c>
      <c r="U751" s="17">
        <v>20000</v>
      </c>
      <c r="V751" s="18" t="s">
        <v>54</v>
      </c>
      <c r="W751" s="18" t="s">
        <v>55</v>
      </c>
      <c r="X751" s="16">
        <v>22</v>
      </c>
      <c r="Y751" s="43" t="str">
        <f>HYPERLINK("","")</f>
      </c>
      <c r="Z751" s="18"/>
      <c r="AS751" s="1">
        <f>IF($A751&lt;&gt;0,1,0)</f>
        <v>0</v>
      </c>
      <c r="AT751" s="1">
        <f>$A751*$B751</f>
        <v>0</v>
      </c>
      <c r="AU751" s="1">
        <f>$A751*$O751</f>
        <v>0</v>
      </c>
      <c r="AV751" s="1">
        <f>IF($R751=0,0,INT($A751/$R751))</f>
        <v>0</v>
      </c>
      <c r="AW751" s="1">
        <f>$A751-$AV751*$R751</f>
        <v>0</v>
      </c>
    </row>
    <row r="752" ht="21.95" customHeight="1" outlineLevel="3" s="1" customFormat="1">
      <c r="A752" s="15"/>
      <c r="B752" s="16">
        <v>854</v>
      </c>
      <c r="C752" s="17">
        <v>1218</v>
      </c>
      <c r="D752" s="16">
        <v>19281</v>
      </c>
      <c r="E752" s="18"/>
      <c r="F752" s="18" t="s">
        <v>452</v>
      </c>
      <c r="G752" s="18" t="s">
        <v>2478</v>
      </c>
      <c r="H752" s="18" t="s">
        <v>86</v>
      </c>
      <c r="I752" s="18" t="s">
        <v>87</v>
      </c>
      <c r="J752" s="16">
        <v>2024</v>
      </c>
      <c r="K752" s="18" t="s">
        <v>2479</v>
      </c>
      <c r="L752" s="16">
        <v>9785961438970</v>
      </c>
      <c r="M752" s="18" t="s">
        <v>2480</v>
      </c>
      <c r="N752" s="16">
        <v>286</v>
      </c>
      <c r="O752" s="19">
        <v>0.52</v>
      </c>
      <c r="P752" s="16">
        <v>150</v>
      </c>
      <c r="Q752" s="16">
        <v>215</v>
      </c>
      <c r="R752" s="16">
        <v>20</v>
      </c>
      <c r="S752" s="18" t="s">
        <v>43</v>
      </c>
      <c r="T752" s="18" t="s">
        <v>53</v>
      </c>
      <c r="U752" s="17">
        <v>24000</v>
      </c>
      <c r="V752" s="18" t="s">
        <v>54</v>
      </c>
      <c r="W752" s="18" t="s">
        <v>55</v>
      </c>
      <c r="X752" s="16">
        <v>22</v>
      </c>
      <c r="Y752" s="43" t="str">
        <f>HYPERLINK("","")</f>
      </c>
      <c r="Z752" s="18"/>
      <c r="AS752" s="1">
        <f>IF($A752&lt;&gt;0,1,0)</f>
        <v>0</v>
      </c>
      <c r="AT752" s="1">
        <f>$A752*$B752</f>
        <v>0</v>
      </c>
      <c r="AU752" s="1">
        <f>$A752*$O752</f>
        <v>0</v>
      </c>
      <c r="AV752" s="1">
        <f>IF($R752=0,0,INT($A752/$R752))</f>
        <v>0</v>
      </c>
      <c r="AW752" s="1">
        <f>$A752-$AV752*$R752</f>
        <v>0</v>
      </c>
    </row>
    <row r="753" ht="21.95" customHeight="1" outlineLevel="3" s="1" customFormat="1">
      <c r="A753" s="15"/>
      <c r="B753" s="16">
        <v>854</v>
      </c>
      <c r="C753" s="17">
        <v>1196</v>
      </c>
      <c r="D753" s="16">
        <v>18144</v>
      </c>
      <c r="E753" s="18"/>
      <c r="F753" s="18" t="s">
        <v>452</v>
      </c>
      <c r="G753" s="18" t="s">
        <v>2481</v>
      </c>
      <c r="H753" s="18" t="s">
        <v>86</v>
      </c>
      <c r="I753" s="18" t="s">
        <v>87</v>
      </c>
      <c r="J753" s="16">
        <v>2025</v>
      </c>
      <c r="K753" s="18" t="s">
        <v>2482</v>
      </c>
      <c r="L753" s="16">
        <v>9785961433647</v>
      </c>
      <c r="M753" s="18" t="s">
        <v>2483</v>
      </c>
      <c r="N753" s="16">
        <v>286</v>
      </c>
      <c r="O753" s="19">
        <v>0.52</v>
      </c>
      <c r="P753" s="16">
        <v>150</v>
      </c>
      <c r="Q753" s="16">
        <v>220</v>
      </c>
      <c r="R753" s="16">
        <v>20</v>
      </c>
      <c r="S753" s="18" t="s">
        <v>43</v>
      </c>
      <c r="T753" s="18" t="s">
        <v>53</v>
      </c>
      <c r="U753" s="17">
        <v>5000</v>
      </c>
      <c r="V753" s="18" t="s">
        <v>54</v>
      </c>
      <c r="W753" s="18" t="s">
        <v>55</v>
      </c>
      <c r="X753" s="16">
        <v>22</v>
      </c>
      <c r="Y753" s="43" t="str">
        <f>HYPERLINK("","")</f>
      </c>
      <c r="Z753" s="18"/>
      <c r="AS753" s="1">
        <f>IF($A753&lt;&gt;0,1,0)</f>
        <v>0</v>
      </c>
      <c r="AT753" s="1">
        <f>$A753*$B753</f>
        <v>0</v>
      </c>
      <c r="AU753" s="1">
        <f>$A753*$O753</f>
        <v>0</v>
      </c>
      <c r="AV753" s="1">
        <f>IF($R753=0,0,INT($A753/$R753))</f>
        <v>0</v>
      </c>
      <c r="AW753" s="1">
        <f>$A753-$AV753*$R753</f>
        <v>0</v>
      </c>
    </row>
    <row r="754" ht="21.95" customHeight="1" outlineLevel="3" s="1" customFormat="1">
      <c r="A754" s="15"/>
      <c r="B754" s="16">
        <v>854</v>
      </c>
      <c r="C754" s="17">
        <v>1218</v>
      </c>
      <c r="D754" s="16">
        <v>19278</v>
      </c>
      <c r="E754" s="18"/>
      <c r="F754" s="18" t="s">
        <v>452</v>
      </c>
      <c r="G754" s="18" t="s">
        <v>2484</v>
      </c>
      <c r="H754" s="18" t="s">
        <v>86</v>
      </c>
      <c r="I754" s="18" t="s">
        <v>87</v>
      </c>
      <c r="J754" s="16">
        <v>2024</v>
      </c>
      <c r="K754" s="18" t="s">
        <v>2485</v>
      </c>
      <c r="L754" s="16">
        <v>9785961438925</v>
      </c>
      <c r="M754" s="18" t="s">
        <v>2486</v>
      </c>
      <c r="N754" s="16">
        <v>286</v>
      </c>
      <c r="O754" s="19">
        <v>0.51</v>
      </c>
      <c r="P754" s="16">
        <v>150</v>
      </c>
      <c r="Q754" s="16">
        <v>220</v>
      </c>
      <c r="R754" s="16">
        <v>20</v>
      </c>
      <c r="S754" s="18" t="s">
        <v>43</v>
      </c>
      <c r="T754" s="18" t="s">
        <v>53</v>
      </c>
      <c r="U754" s="17">
        <v>24000</v>
      </c>
      <c r="V754" s="18" t="s">
        <v>54</v>
      </c>
      <c r="W754" s="18" t="s">
        <v>55</v>
      </c>
      <c r="X754" s="16">
        <v>22</v>
      </c>
      <c r="Y754" s="43" t="str">
        <f>HYPERLINK("","")</f>
      </c>
      <c r="Z754" s="18"/>
      <c r="AS754" s="1">
        <f>IF($A754&lt;&gt;0,1,0)</f>
        <v>0</v>
      </c>
      <c r="AT754" s="1">
        <f>$A754*$B754</f>
        <v>0</v>
      </c>
      <c r="AU754" s="1">
        <f>$A754*$O754</f>
        <v>0</v>
      </c>
      <c r="AV754" s="1">
        <f>IF($R754=0,0,INT($A754/$R754))</f>
        <v>0</v>
      </c>
      <c r="AW754" s="1">
        <f>$A754-$AV754*$R754</f>
        <v>0</v>
      </c>
    </row>
    <row r="755" ht="21.95" customHeight="1" outlineLevel="3" s="1" customFormat="1">
      <c r="A755" s="15"/>
      <c r="B755" s="16">
        <v>854</v>
      </c>
      <c r="C755" s="17">
        <v>1196</v>
      </c>
      <c r="D755" s="16">
        <v>19277</v>
      </c>
      <c r="E755" s="18"/>
      <c r="F755" s="18" t="s">
        <v>452</v>
      </c>
      <c r="G755" s="18" t="s">
        <v>2487</v>
      </c>
      <c r="H755" s="18" t="s">
        <v>86</v>
      </c>
      <c r="I755" s="18" t="s">
        <v>87</v>
      </c>
      <c r="J755" s="16">
        <v>2024</v>
      </c>
      <c r="K755" s="18" t="s">
        <v>2488</v>
      </c>
      <c r="L755" s="16">
        <v>9785961438901</v>
      </c>
      <c r="M755" s="18" t="s">
        <v>2489</v>
      </c>
      <c r="N755" s="16">
        <v>286</v>
      </c>
      <c r="O755" s="19">
        <v>0.52</v>
      </c>
      <c r="P755" s="16">
        <v>150</v>
      </c>
      <c r="Q755" s="16">
        <v>220</v>
      </c>
      <c r="R755" s="16">
        <v>20</v>
      </c>
      <c r="S755" s="18" t="s">
        <v>43</v>
      </c>
      <c r="T755" s="18" t="s">
        <v>53</v>
      </c>
      <c r="U755" s="17">
        <v>24000</v>
      </c>
      <c r="V755" s="18" t="s">
        <v>54</v>
      </c>
      <c r="W755" s="18" t="s">
        <v>55</v>
      </c>
      <c r="X755" s="16">
        <v>22</v>
      </c>
      <c r="Y755" s="43" t="str">
        <f>HYPERLINK("","")</f>
      </c>
      <c r="Z755" s="18"/>
      <c r="AS755" s="1">
        <f>IF($A755&lt;&gt;0,1,0)</f>
        <v>0</v>
      </c>
      <c r="AT755" s="1">
        <f>$A755*$B755</f>
        <v>0</v>
      </c>
      <c r="AU755" s="1">
        <f>$A755*$O755</f>
        <v>0</v>
      </c>
      <c r="AV755" s="1">
        <f>IF($R755=0,0,INT($A755/$R755))</f>
        <v>0</v>
      </c>
      <c r="AW755" s="1">
        <f>$A755-$AV755*$R755</f>
        <v>0</v>
      </c>
    </row>
    <row r="756" ht="21.95" customHeight="1" outlineLevel="3" s="1" customFormat="1">
      <c r="A756" s="15"/>
      <c r="B756" s="16">
        <v>854</v>
      </c>
      <c r="C756" s="17">
        <v>1196</v>
      </c>
      <c r="D756" s="16">
        <v>19276</v>
      </c>
      <c r="E756" s="18"/>
      <c r="F756" s="18" t="s">
        <v>452</v>
      </c>
      <c r="G756" s="18" t="s">
        <v>2490</v>
      </c>
      <c r="H756" s="18" t="s">
        <v>86</v>
      </c>
      <c r="I756" s="18" t="s">
        <v>87</v>
      </c>
      <c r="J756" s="16">
        <v>2024</v>
      </c>
      <c r="K756" s="18" t="s">
        <v>2491</v>
      </c>
      <c r="L756" s="16">
        <v>9785961438895</v>
      </c>
      <c r="M756" s="18" t="s">
        <v>2492</v>
      </c>
      <c r="N756" s="16">
        <v>286</v>
      </c>
      <c r="O756" s="19">
        <v>0.51</v>
      </c>
      <c r="P756" s="16">
        <v>150</v>
      </c>
      <c r="Q756" s="16">
        <v>220</v>
      </c>
      <c r="R756" s="16">
        <v>20</v>
      </c>
      <c r="S756" s="18" t="s">
        <v>43</v>
      </c>
      <c r="T756" s="18" t="s">
        <v>53</v>
      </c>
      <c r="U756" s="17">
        <v>24000</v>
      </c>
      <c r="V756" s="18" t="s">
        <v>54</v>
      </c>
      <c r="W756" s="18" t="s">
        <v>55</v>
      </c>
      <c r="X756" s="16">
        <v>22</v>
      </c>
      <c r="Y756" s="43" t="str">
        <f>HYPERLINK("","")</f>
      </c>
      <c r="Z756" s="18"/>
      <c r="AS756" s="1">
        <f>IF($A756&lt;&gt;0,1,0)</f>
        <v>0</v>
      </c>
      <c r="AT756" s="1">
        <f>$A756*$B756</f>
        <v>0</v>
      </c>
      <c r="AU756" s="1">
        <f>$A756*$O756</f>
        <v>0</v>
      </c>
      <c r="AV756" s="1">
        <f>IF($R756=0,0,INT($A756/$R756))</f>
        <v>0</v>
      </c>
      <c r="AW756" s="1">
        <f>$A756-$AV756*$R756</f>
        <v>0</v>
      </c>
    </row>
    <row r="757" ht="21.95" customHeight="1" outlineLevel="3" s="1" customFormat="1">
      <c r="A757" s="15"/>
      <c r="B757" s="16">
        <v>854</v>
      </c>
      <c r="C757" s="17">
        <v>1196</v>
      </c>
      <c r="D757" s="16">
        <v>11340</v>
      </c>
      <c r="E757" s="18"/>
      <c r="F757" s="18" t="s">
        <v>452</v>
      </c>
      <c r="G757" s="18" t="s">
        <v>2493</v>
      </c>
      <c r="H757" s="18" t="s">
        <v>86</v>
      </c>
      <c r="I757" s="18" t="s">
        <v>87</v>
      </c>
      <c r="J757" s="16">
        <v>2024</v>
      </c>
      <c r="K757" s="18" t="s">
        <v>2494</v>
      </c>
      <c r="L757" s="16">
        <v>9785961421293</v>
      </c>
      <c r="M757" s="18" t="s">
        <v>2495</v>
      </c>
      <c r="N757" s="16">
        <v>286</v>
      </c>
      <c r="O757" s="19">
        <v>0.51</v>
      </c>
      <c r="P757" s="16">
        <v>150</v>
      </c>
      <c r="Q757" s="16">
        <v>220</v>
      </c>
      <c r="R757" s="16">
        <v>20</v>
      </c>
      <c r="S757" s="18" t="s">
        <v>43</v>
      </c>
      <c r="T757" s="18" t="s">
        <v>53</v>
      </c>
      <c r="U757" s="17">
        <v>24000</v>
      </c>
      <c r="V757" s="18" t="s">
        <v>54</v>
      </c>
      <c r="W757" s="18" t="s">
        <v>55</v>
      </c>
      <c r="X757" s="16">
        <v>22</v>
      </c>
      <c r="Y757" s="43" t="str">
        <f>HYPERLINK("","")</f>
      </c>
      <c r="Z757" s="18"/>
      <c r="AS757" s="1">
        <f>IF($A757&lt;&gt;0,1,0)</f>
        <v>0</v>
      </c>
      <c r="AT757" s="1">
        <f>$A757*$B757</f>
        <v>0</v>
      </c>
      <c r="AU757" s="1">
        <f>$A757*$O757</f>
        <v>0</v>
      </c>
      <c r="AV757" s="1">
        <f>IF($R757=0,0,INT($A757/$R757))</f>
        <v>0</v>
      </c>
      <c r="AW757" s="1">
        <f>$A757-$AV757*$R757</f>
        <v>0</v>
      </c>
    </row>
    <row r="758" ht="21.95" customHeight="1" outlineLevel="3" s="1" customFormat="1">
      <c r="A758" s="15"/>
      <c r="B758" s="16">
        <v>854</v>
      </c>
      <c r="C758" s="17">
        <v>1196</v>
      </c>
      <c r="D758" s="16">
        <v>11341</v>
      </c>
      <c r="E758" s="18"/>
      <c r="F758" s="18" t="s">
        <v>452</v>
      </c>
      <c r="G758" s="18" t="s">
        <v>2496</v>
      </c>
      <c r="H758" s="18" t="s">
        <v>86</v>
      </c>
      <c r="I758" s="18" t="s">
        <v>87</v>
      </c>
      <c r="J758" s="16">
        <v>2025</v>
      </c>
      <c r="K758" s="18" t="s">
        <v>2497</v>
      </c>
      <c r="L758" s="16">
        <v>9785961421309</v>
      </c>
      <c r="M758" s="18" t="s">
        <v>2498</v>
      </c>
      <c r="N758" s="16">
        <v>286</v>
      </c>
      <c r="O758" s="19">
        <v>0.52</v>
      </c>
      <c r="P758" s="16">
        <v>150</v>
      </c>
      <c r="Q758" s="16">
        <v>220</v>
      </c>
      <c r="R758" s="16">
        <v>20</v>
      </c>
      <c r="S758" s="18" t="s">
        <v>43</v>
      </c>
      <c r="T758" s="18" t="s">
        <v>53</v>
      </c>
      <c r="U758" s="17">
        <v>20000</v>
      </c>
      <c r="V758" s="18" t="s">
        <v>54</v>
      </c>
      <c r="W758" s="18" t="s">
        <v>55</v>
      </c>
      <c r="X758" s="16">
        <v>22</v>
      </c>
      <c r="Y758" s="43" t="str">
        <f>HYPERLINK("","")</f>
      </c>
      <c r="Z758" s="18"/>
      <c r="AS758" s="1">
        <f>IF($A758&lt;&gt;0,1,0)</f>
        <v>0</v>
      </c>
      <c r="AT758" s="1">
        <f>$A758*$B758</f>
        <v>0</v>
      </c>
      <c r="AU758" s="1">
        <f>$A758*$O758</f>
        <v>0</v>
      </c>
      <c r="AV758" s="1">
        <f>IF($R758=0,0,INT($A758/$R758))</f>
        <v>0</v>
      </c>
      <c r="AW758" s="1">
        <f>$A758-$AV758*$R758</f>
        <v>0</v>
      </c>
    </row>
    <row r="759" ht="21.95" customHeight="1" outlineLevel="3" s="1" customFormat="1">
      <c r="A759" s="15"/>
      <c r="B759" s="16">
        <v>752</v>
      </c>
      <c r="C759" s="17">
        <v>1090</v>
      </c>
      <c r="D759" s="16">
        <v>25500</v>
      </c>
      <c r="E759" s="18"/>
      <c r="F759" s="18" t="s">
        <v>452</v>
      </c>
      <c r="G759" s="18" t="s">
        <v>2499</v>
      </c>
      <c r="H759" s="18" t="s">
        <v>86</v>
      </c>
      <c r="I759" s="18" t="s">
        <v>87</v>
      </c>
      <c r="J759" s="16">
        <v>2025</v>
      </c>
      <c r="K759" s="18" t="s">
        <v>2500</v>
      </c>
      <c r="L759" s="16">
        <v>9785961483819</v>
      </c>
      <c r="M759" s="18" t="s">
        <v>2501</v>
      </c>
      <c r="N759" s="16">
        <v>286</v>
      </c>
      <c r="O759" s="19">
        <v>0.46</v>
      </c>
      <c r="P759" s="16">
        <v>150</v>
      </c>
      <c r="Q759" s="16">
        <v>220</v>
      </c>
      <c r="R759" s="16">
        <v>20</v>
      </c>
      <c r="S759" s="18" t="s">
        <v>43</v>
      </c>
      <c r="T759" s="18" t="s">
        <v>53</v>
      </c>
      <c r="U759" s="17">
        <v>4000</v>
      </c>
      <c r="V759" s="18" t="s">
        <v>54</v>
      </c>
      <c r="W759" s="18" t="s">
        <v>55</v>
      </c>
      <c r="X759" s="16">
        <v>22</v>
      </c>
      <c r="Y759" s="43" t="str">
        <f>HYPERLINK("","")</f>
      </c>
      <c r="Z759" s="18"/>
      <c r="AS759" s="1">
        <f>IF($A759&lt;&gt;0,1,0)</f>
        <v>0</v>
      </c>
      <c r="AT759" s="1">
        <f>$A759*$B759</f>
        <v>0</v>
      </c>
      <c r="AU759" s="1">
        <f>$A759*$O759</f>
        <v>0</v>
      </c>
      <c r="AV759" s="1">
        <f>IF($R759=0,0,INT($A759/$R759))</f>
        <v>0</v>
      </c>
      <c r="AW759" s="1">
        <f>$A759-$AV759*$R759</f>
        <v>0</v>
      </c>
    </row>
    <row r="760" ht="21.95" customHeight="1" outlineLevel="3" s="1" customFormat="1">
      <c r="A760" s="15"/>
      <c r="B760" s="16">
        <v>752</v>
      </c>
      <c r="C760" s="17">
        <v>1090</v>
      </c>
      <c r="D760" s="16">
        <v>25502</v>
      </c>
      <c r="E760" s="18"/>
      <c r="F760" s="18" t="s">
        <v>452</v>
      </c>
      <c r="G760" s="18" t="s">
        <v>2502</v>
      </c>
      <c r="H760" s="18" t="s">
        <v>86</v>
      </c>
      <c r="I760" s="18" t="s">
        <v>87</v>
      </c>
      <c r="J760" s="16">
        <v>2025</v>
      </c>
      <c r="K760" s="18" t="s">
        <v>2503</v>
      </c>
      <c r="L760" s="16">
        <v>9785961483833</v>
      </c>
      <c r="M760" s="18" t="s">
        <v>2504</v>
      </c>
      <c r="N760" s="16">
        <v>286</v>
      </c>
      <c r="O760" s="19">
        <v>0.46</v>
      </c>
      <c r="P760" s="16">
        <v>150</v>
      </c>
      <c r="Q760" s="16">
        <v>220</v>
      </c>
      <c r="R760" s="16">
        <v>20</v>
      </c>
      <c r="S760" s="18" t="s">
        <v>43</v>
      </c>
      <c r="T760" s="18" t="s">
        <v>53</v>
      </c>
      <c r="U760" s="17">
        <v>5000</v>
      </c>
      <c r="V760" s="18" t="s">
        <v>54</v>
      </c>
      <c r="W760" s="18" t="s">
        <v>55</v>
      </c>
      <c r="X760" s="16">
        <v>22</v>
      </c>
      <c r="Y760" s="43" t="str">
        <f>HYPERLINK("","")</f>
      </c>
      <c r="Z760" s="18"/>
      <c r="AS760" s="1">
        <f>IF($A760&lt;&gt;0,1,0)</f>
        <v>0</v>
      </c>
      <c r="AT760" s="1">
        <f>$A760*$B760</f>
        <v>0</v>
      </c>
      <c r="AU760" s="1">
        <f>$A760*$O760</f>
        <v>0</v>
      </c>
      <c r="AV760" s="1">
        <f>IF($R760=0,0,INT($A760/$R760))</f>
        <v>0</v>
      </c>
      <c r="AW760" s="1">
        <f>$A760-$AV760*$R760</f>
        <v>0</v>
      </c>
    </row>
    <row r="761" ht="21.95" customHeight="1" outlineLevel="3" s="1" customFormat="1">
      <c r="A761" s="15"/>
      <c r="B761" s="17">
        <v>1006</v>
      </c>
      <c r="C761" s="17">
        <v>1358</v>
      </c>
      <c r="D761" s="16">
        <v>34645</v>
      </c>
      <c r="E761" s="18"/>
      <c r="F761" s="18" t="s">
        <v>452</v>
      </c>
      <c r="G761" s="18" t="s">
        <v>2505</v>
      </c>
      <c r="H761" s="18" t="s">
        <v>86</v>
      </c>
      <c r="I761" s="18" t="s">
        <v>87</v>
      </c>
      <c r="J761" s="16">
        <v>2025</v>
      </c>
      <c r="K761" s="18" t="s">
        <v>2506</v>
      </c>
      <c r="L761" s="16">
        <v>9785006308497</v>
      </c>
      <c r="M761" s="18" t="s">
        <v>2507</v>
      </c>
      <c r="N761" s="16">
        <v>288</v>
      </c>
      <c r="O761" s="19">
        <v>0.45</v>
      </c>
      <c r="P761" s="16">
        <v>150</v>
      </c>
      <c r="Q761" s="16">
        <v>220</v>
      </c>
      <c r="R761" s="16">
        <v>14</v>
      </c>
      <c r="S761" s="18" t="s">
        <v>43</v>
      </c>
      <c r="T761" s="18" t="s">
        <v>53</v>
      </c>
      <c r="U761" s="17">
        <v>5000</v>
      </c>
      <c r="V761" s="18" t="s">
        <v>54</v>
      </c>
      <c r="W761" s="18" t="s">
        <v>55</v>
      </c>
      <c r="X761" s="16">
        <v>22</v>
      </c>
      <c r="Y761" s="43" t="str">
        <f>HYPERLINK("","")</f>
      </c>
      <c r="Z761" s="18"/>
      <c r="AS761" s="1">
        <f>IF($A761&lt;&gt;0,1,0)</f>
        <v>0</v>
      </c>
      <c r="AT761" s="1">
        <f>$A761*$B761</f>
        <v>0</v>
      </c>
      <c r="AU761" s="1">
        <f>$A761*$O761</f>
        <v>0</v>
      </c>
      <c r="AV761" s="1">
        <f>IF($R761=0,0,INT($A761/$R761))</f>
        <v>0</v>
      </c>
      <c r="AW761" s="1">
        <f>$A761-$AV761*$R761</f>
        <v>0</v>
      </c>
    </row>
    <row r="762" ht="21.95" customHeight="1" outlineLevel="3" s="1" customFormat="1">
      <c r="A762" s="15"/>
      <c r="B762" s="17">
        <v>1006</v>
      </c>
      <c r="C762" s="17">
        <v>1358</v>
      </c>
      <c r="D762" s="16">
        <v>34646</v>
      </c>
      <c r="E762" s="18"/>
      <c r="F762" s="18" t="s">
        <v>452</v>
      </c>
      <c r="G762" s="18" t="s">
        <v>2508</v>
      </c>
      <c r="H762" s="18" t="s">
        <v>86</v>
      </c>
      <c r="I762" s="18" t="s">
        <v>87</v>
      </c>
      <c r="J762" s="16">
        <v>2025</v>
      </c>
      <c r="K762" s="18" t="s">
        <v>2509</v>
      </c>
      <c r="L762" s="16">
        <v>9785006308503</v>
      </c>
      <c r="M762" s="18" t="s">
        <v>2510</v>
      </c>
      <c r="N762" s="16">
        <v>288</v>
      </c>
      <c r="O762" s="19">
        <v>0.46</v>
      </c>
      <c r="P762" s="16">
        <v>150</v>
      </c>
      <c r="Q762" s="16">
        <v>220</v>
      </c>
      <c r="R762" s="16">
        <v>14</v>
      </c>
      <c r="S762" s="18" t="s">
        <v>43</v>
      </c>
      <c r="T762" s="18" t="s">
        <v>53</v>
      </c>
      <c r="U762" s="17">
        <v>5000</v>
      </c>
      <c r="V762" s="18" t="s">
        <v>54</v>
      </c>
      <c r="W762" s="18" t="s">
        <v>55</v>
      </c>
      <c r="X762" s="16">
        <v>22</v>
      </c>
      <c r="Y762" s="43" t="str">
        <f>HYPERLINK("","")</f>
      </c>
      <c r="Z762" s="18"/>
      <c r="AS762" s="1">
        <f>IF($A762&lt;&gt;0,1,0)</f>
        <v>0</v>
      </c>
      <c r="AT762" s="1">
        <f>$A762*$B762</f>
        <v>0</v>
      </c>
      <c r="AU762" s="1">
        <f>$A762*$O762</f>
        <v>0</v>
      </c>
      <c r="AV762" s="1">
        <f>IF($R762=0,0,INT($A762/$R762))</f>
        <v>0</v>
      </c>
      <c r="AW762" s="1">
        <f>$A762-$AV762*$R762</f>
        <v>0</v>
      </c>
    </row>
    <row r="763" ht="24.95" customHeight="1" outlineLevel="3" s="1" customFormat="1">
      <c r="A763" s="15"/>
      <c r="B763" s="16">
        <v>690</v>
      </c>
      <c r="C763" s="17">
        <v>1035</v>
      </c>
      <c r="D763" s="16">
        <v>32094</v>
      </c>
      <c r="E763" s="18"/>
      <c r="F763" s="18" t="s">
        <v>2511</v>
      </c>
      <c r="G763" s="18" t="s">
        <v>2512</v>
      </c>
      <c r="H763" s="18" t="s">
        <v>86</v>
      </c>
      <c r="I763" s="18"/>
      <c r="J763" s="16">
        <v>2026</v>
      </c>
      <c r="K763" s="18" t="s">
        <v>2513</v>
      </c>
      <c r="L763" s="16">
        <v>9785006301344</v>
      </c>
      <c r="M763" s="18" t="s">
        <v>2514</v>
      </c>
      <c r="N763" s="16">
        <v>176</v>
      </c>
      <c r="O763" s="19">
        <v>0.38</v>
      </c>
      <c r="P763" s="16">
        <v>150</v>
      </c>
      <c r="Q763" s="16">
        <v>220</v>
      </c>
      <c r="R763" s="16">
        <v>16</v>
      </c>
      <c r="S763" s="18" t="s">
        <v>43</v>
      </c>
      <c r="T763" s="18"/>
      <c r="U763" s="17">
        <v>2000</v>
      </c>
      <c r="V763" s="18" t="s">
        <v>54</v>
      </c>
      <c r="W763" s="18" t="s">
        <v>91</v>
      </c>
      <c r="X763" s="16">
        <v>10</v>
      </c>
      <c r="Y763" s="43" t="str">
        <f>HYPERLINK("https://api-enni.alpina.ru/FilePrivilegesApproval/965","https://api-enni.alpina.ru/FilePrivilegesApproval/965")</f>
        <v>https://api-enni.alpina.ru/FilePrivilegesApproval/965</v>
      </c>
      <c r="Z763" s="18" t="s">
        <v>251</v>
      </c>
      <c r="AS763" s="1">
        <f>IF($A763&lt;&gt;0,1,0)</f>
        <v>0</v>
      </c>
      <c r="AT763" s="1">
        <f>$A763*$B763</f>
        <v>0</v>
      </c>
      <c r="AU763" s="1">
        <f>$A763*$O763</f>
        <v>0</v>
      </c>
      <c r="AV763" s="1">
        <f>IF($R763=0,0,INT($A763/$R763))</f>
        <v>0</v>
      </c>
      <c r="AW763" s="1">
        <f>$A763-$AV763*$R763</f>
        <v>0</v>
      </c>
    </row>
    <row r="764" ht="24.95" customHeight="1" outlineLevel="3" s="1" customFormat="1">
      <c r="A764" s="15"/>
      <c r="B764" s="16">
        <v>803</v>
      </c>
      <c r="C764" s="17">
        <v>1164</v>
      </c>
      <c r="D764" s="16">
        <v>27818</v>
      </c>
      <c r="E764" s="18"/>
      <c r="F764" s="18" t="s">
        <v>2515</v>
      </c>
      <c r="G764" s="18" t="s">
        <v>2516</v>
      </c>
      <c r="H764" s="18" t="s">
        <v>86</v>
      </c>
      <c r="I764" s="18" t="s">
        <v>74</v>
      </c>
      <c r="J764" s="16">
        <v>2025</v>
      </c>
      <c r="K764" s="18" t="s">
        <v>2517</v>
      </c>
      <c r="L764" s="16">
        <v>9785961486445</v>
      </c>
      <c r="M764" s="18" t="s">
        <v>2518</v>
      </c>
      <c r="N764" s="16">
        <v>260</v>
      </c>
      <c r="O764" s="19">
        <v>0.42</v>
      </c>
      <c r="P764" s="16">
        <v>150</v>
      </c>
      <c r="Q764" s="16">
        <v>220</v>
      </c>
      <c r="R764" s="16">
        <v>10</v>
      </c>
      <c r="S764" s="18" t="s">
        <v>43</v>
      </c>
      <c r="T764" s="18"/>
      <c r="U764" s="17">
        <v>3000</v>
      </c>
      <c r="V764" s="18" t="s">
        <v>77</v>
      </c>
      <c r="W764" s="18" t="s">
        <v>69</v>
      </c>
      <c r="X764" s="16">
        <v>22</v>
      </c>
      <c r="Y764" s="43" t="str">
        <f>HYPERLINK("","")</f>
      </c>
      <c r="Z764" s="18"/>
      <c r="AS764" s="1">
        <f>IF($A764&lt;&gt;0,1,0)</f>
        <v>0</v>
      </c>
      <c r="AT764" s="1">
        <f>$A764*$B764</f>
        <v>0</v>
      </c>
      <c r="AU764" s="1">
        <f>$A764*$O764</f>
        <v>0</v>
      </c>
      <c r="AV764" s="1">
        <f>IF($R764=0,0,INT($A764/$R764))</f>
        <v>0</v>
      </c>
      <c r="AW764" s="1">
        <f>$A764-$AV764*$R764</f>
        <v>0</v>
      </c>
    </row>
    <row r="765" ht="21.95" customHeight="1" outlineLevel="3" s="1" customFormat="1">
      <c r="A765" s="15"/>
      <c r="B765" s="16">
        <v>600</v>
      </c>
      <c r="C765" s="16">
        <v>900</v>
      </c>
      <c r="D765" s="16">
        <v>25528</v>
      </c>
      <c r="E765" s="18"/>
      <c r="F765" s="18" t="s">
        <v>57</v>
      </c>
      <c r="G765" s="18" t="s">
        <v>2519</v>
      </c>
      <c r="H765" s="18" t="s">
        <v>86</v>
      </c>
      <c r="I765" s="18" t="s">
        <v>74</v>
      </c>
      <c r="J765" s="16">
        <v>2025</v>
      </c>
      <c r="K765" s="18" t="s">
        <v>2520</v>
      </c>
      <c r="L765" s="16">
        <v>9785961479232</v>
      </c>
      <c r="M765" s="18" t="s">
        <v>2521</v>
      </c>
      <c r="N765" s="16">
        <v>384</v>
      </c>
      <c r="O765" s="19">
        <v>0.54</v>
      </c>
      <c r="P765" s="16">
        <v>150</v>
      </c>
      <c r="Q765" s="16">
        <v>210</v>
      </c>
      <c r="R765" s="16">
        <v>10</v>
      </c>
      <c r="S765" s="18" t="s">
        <v>43</v>
      </c>
      <c r="T765" s="18"/>
      <c r="U765" s="17">
        <v>3000</v>
      </c>
      <c r="V765" s="18" t="s">
        <v>77</v>
      </c>
      <c r="W765" s="18" t="s">
        <v>184</v>
      </c>
      <c r="X765" s="16">
        <v>22</v>
      </c>
      <c r="Y765" s="43" t="str">
        <f>HYPERLINK("","")</f>
      </c>
      <c r="Z765" s="18"/>
      <c r="AS765" s="1">
        <f>IF($A765&lt;&gt;0,1,0)</f>
        <v>0</v>
      </c>
      <c r="AT765" s="1">
        <f>$A765*$B765</f>
        <v>0</v>
      </c>
      <c r="AU765" s="1">
        <f>$A765*$O765</f>
        <v>0</v>
      </c>
      <c r="AV765" s="1">
        <f>IF($R765=0,0,INT($A765/$R765))</f>
        <v>0</v>
      </c>
      <c r="AW765" s="1">
        <f>$A765-$AV765*$R765</f>
        <v>0</v>
      </c>
    </row>
    <row r="766" ht="21.95" customHeight="1" outlineLevel="3" s="1" customFormat="1">
      <c r="A766" s="15"/>
      <c r="B766" s="16">
        <v>600</v>
      </c>
      <c r="C766" s="16">
        <v>900</v>
      </c>
      <c r="D766" s="16">
        <v>27852</v>
      </c>
      <c r="E766" s="18"/>
      <c r="F766" s="18" t="s">
        <v>57</v>
      </c>
      <c r="G766" s="18" t="s">
        <v>2522</v>
      </c>
      <c r="H766" s="18" t="s">
        <v>86</v>
      </c>
      <c r="I766" s="18" t="s">
        <v>74</v>
      </c>
      <c r="J766" s="16">
        <v>2026</v>
      </c>
      <c r="K766" s="18" t="s">
        <v>2523</v>
      </c>
      <c r="L766" s="16">
        <v>9785961486568</v>
      </c>
      <c r="M766" s="18" t="s">
        <v>2524</v>
      </c>
      <c r="N766" s="16">
        <v>384</v>
      </c>
      <c r="O766" s="19">
        <v>0.54</v>
      </c>
      <c r="P766" s="16">
        <v>150</v>
      </c>
      <c r="Q766" s="16">
        <v>210</v>
      </c>
      <c r="R766" s="16">
        <v>10</v>
      </c>
      <c r="S766" s="18" t="s">
        <v>43</v>
      </c>
      <c r="T766" s="18"/>
      <c r="U766" s="17">
        <v>5000</v>
      </c>
      <c r="V766" s="18" t="s">
        <v>77</v>
      </c>
      <c r="W766" s="18" t="s">
        <v>184</v>
      </c>
      <c r="X766" s="16">
        <v>22</v>
      </c>
      <c r="Y766" s="43" t="str">
        <f>HYPERLINK("","")</f>
      </c>
      <c r="Z766" s="18" t="s">
        <v>1958</v>
      </c>
      <c r="AS766" s="1">
        <f>IF($A766&lt;&gt;0,1,0)</f>
        <v>0</v>
      </c>
      <c r="AT766" s="1">
        <f>$A766*$B766</f>
        <v>0</v>
      </c>
      <c r="AU766" s="1">
        <f>$A766*$O766</f>
        <v>0</v>
      </c>
      <c r="AV766" s="1">
        <f>IF($R766=0,0,INT($A766/$R766))</f>
        <v>0</v>
      </c>
      <c r="AW766" s="1">
        <f>$A766-$AV766*$R766</f>
        <v>0</v>
      </c>
    </row>
    <row r="767" ht="21.95" customHeight="1" outlineLevel="3" s="1" customFormat="1">
      <c r="A767" s="15"/>
      <c r="B767" s="16">
        <v>600</v>
      </c>
      <c r="C767" s="16">
        <v>900</v>
      </c>
      <c r="D767" s="16">
        <v>34771</v>
      </c>
      <c r="E767" s="18"/>
      <c r="F767" s="18" t="s">
        <v>57</v>
      </c>
      <c r="G767" s="18" t="s">
        <v>2525</v>
      </c>
      <c r="H767" s="18" t="s">
        <v>86</v>
      </c>
      <c r="I767" s="18" t="s">
        <v>74</v>
      </c>
      <c r="J767" s="16">
        <v>2025</v>
      </c>
      <c r="K767" s="18" t="s">
        <v>2526</v>
      </c>
      <c r="L767" s="16">
        <v>9785006308930</v>
      </c>
      <c r="M767" s="18" t="s">
        <v>2527</v>
      </c>
      <c r="N767" s="16">
        <v>384</v>
      </c>
      <c r="O767" s="19">
        <v>0.52</v>
      </c>
      <c r="P767" s="16">
        <v>150</v>
      </c>
      <c r="Q767" s="16">
        <v>210</v>
      </c>
      <c r="R767" s="16">
        <v>10</v>
      </c>
      <c r="S767" s="18" t="s">
        <v>43</v>
      </c>
      <c r="T767" s="18"/>
      <c r="U767" s="17">
        <v>2000</v>
      </c>
      <c r="V767" s="18" t="s">
        <v>77</v>
      </c>
      <c r="W767" s="18" t="s">
        <v>184</v>
      </c>
      <c r="X767" s="16">
        <v>22</v>
      </c>
      <c r="Y767" s="43" t="str">
        <f>HYPERLINK("","")</f>
      </c>
      <c r="Z767" s="18"/>
      <c r="AS767" s="1">
        <f>IF($A767&lt;&gt;0,1,0)</f>
        <v>0</v>
      </c>
      <c r="AT767" s="1">
        <f>$A767*$B767</f>
        <v>0</v>
      </c>
      <c r="AU767" s="1">
        <f>$A767*$O767</f>
        <v>0</v>
      </c>
      <c r="AV767" s="1">
        <f>IF($R767=0,0,INT($A767/$R767))</f>
        <v>0</v>
      </c>
      <c r="AW767" s="1">
        <f>$A767-$AV767*$R767</f>
        <v>0</v>
      </c>
    </row>
    <row r="768" ht="21.95" customHeight="1" outlineLevel="3" s="1" customFormat="1">
      <c r="A768" s="15"/>
      <c r="B768" s="16">
        <v>600</v>
      </c>
      <c r="C768" s="16">
        <v>900</v>
      </c>
      <c r="D768" s="16">
        <v>34772</v>
      </c>
      <c r="E768" s="18"/>
      <c r="F768" s="18" t="s">
        <v>57</v>
      </c>
      <c r="G768" s="18" t="s">
        <v>2528</v>
      </c>
      <c r="H768" s="18" t="s">
        <v>86</v>
      </c>
      <c r="I768" s="18" t="s">
        <v>74</v>
      </c>
      <c r="J768" s="16">
        <v>2025</v>
      </c>
      <c r="K768" s="18" t="s">
        <v>2529</v>
      </c>
      <c r="L768" s="16">
        <v>9785006308947</v>
      </c>
      <c r="M768" s="18" t="s">
        <v>2530</v>
      </c>
      <c r="N768" s="16">
        <v>384</v>
      </c>
      <c r="O768" s="19">
        <v>0.52</v>
      </c>
      <c r="P768" s="16">
        <v>150</v>
      </c>
      <c r="Q768" s="16">
        <v>210</v>
      </c>
      <c r="R768" s="16">
        <v>10</v>
      </c>
      <c r="S768" s="18" t="s">
        <v>43</v>
      </c>
      <c r="T768" s="18"/>
      <c r="U768" s="17">
        <v>2000</v>
      </c>
      <c r="V768" s="18" t="s">
        <v>77</v>
      </c>
      <c r="W768" s="18" t="s">
        <v>184</v>
      </c>
      <c r="X768" s="16">
        <v>22</v>
      </c>
      <c r="Y768" s="43" t="str">
        <f>HYPERLINK("","")</f>
      </c>
      <c r="Z768" s="18"/>
      <c r="AS768" s="1">
        <f>IF($A768&lt;&gt;0,1,0)</f>
        <v>0</v>
      </c>
      <c r="AT768" s="1">
        <f>$A768*$B768</f>
        <v>0</v>
      </c>
      <c r="AU768" s="1">
        <f>$A768*$O768</f>
        <v>0</v>
      </c>
      <c r="AV768" s="1">
        <f>IF($R768=0,0,INT($A768/$R768))</f>
        <v>0</v>
      </c>
      <c r="AW768" s="1">
        <f>$A768-$AV768*$R768</f>
        <v>0</v>
      </c>
    </row>
    <row r="769" ht="21.95" customHeight="1" outlineLevel="3" s="1" customFormat="1">
      <c r="A769" s="15"/>
      <c r="B769" s="16">
        <v>600</v>
      </c>
      <c r="C769" s="16">
        <v>900</v>
      </c>
      <c r="D769" s="16">
        <v>34773</v>
      </c>
      <c r="E769" s="18"/>
      <c r="F769" s="18" t="s">
        <v>57</v>
      </c>
      <c r="G769" s="18" t="s">
        <v>2531</v>
      </c>
      <c r="H769" s="18" t="s">
        <v>86</v>
      </c>
      <c r="I769" s="18" t="s">
        <v>74</v>
      </c>
      <c r="J769" s="16">
        <v>2026</v>
      </c>
      <c r="K769" s="18" t="s">
        <v>2532</v>
      </c>
      <c r="L769" s="16">
        <v>9785006308954</v>
      </c>
      <c r="M769" s="18" t="s">
        <v>2533</v>
      </c>
      <c r="N769" s="16">
        <v>384</v>
      </c>
      <c r="O769" s="19">
        <v>0.52</v>
      </c>
      <c r="P769" s="16">
        <v>150</v>
      </c>
      <c r="Q769" s="16">
        <v>210</v>
      </c>
      <c r="R769" s="16">
        <v>10</v>
      </c>
      <c r="S769" s="18" t="s">
        <v>43</v>
      </c>
      <c r="T769" s="18"/>
      <c r="U769" s="17">
        <v>3000</v>
      </c>
      <c r="V769" s="18" t="s">
        <v>77</v>
      </c>
      <c r="W769" s="18" t="s">
        <v>184</v>
      </c>
      <c r="X769" s="16">
        <v>22</v>
      </c>
      <c r="Y769" s="43" t="str">
        <f>HYPERLINK("","")</f>
      </c>
      <c r="Z769" s="18" t="s">
        <v>1958</v>
      </c>
      <c r="AS769" s="1">
        <f>IF($A769&lt;&gt;0,1,0)</f>
        <v>0</v>
      </c>
      <c r="AT769" s="1">
        <f>$A769*$B769</f>
        <v>0</v>
      </c>
      <c r="AU769" s="1">
        <f>$A769*$O769</f>
        <v>0</v>
      </c>
      <c r="AV769" s="1">
        <f>IF($R769=0,0,INT($A769/$R769))</f>
        <v>0</v>
      </c>
      <c r="AW769" s="1">
        <f>$A769-$AV769*$R769</f>
        <v>0</v>
      </c>
    </row>
    <row r="770" ht="21.95" customHeight="1" outlineLevel="3" s="1" customFormat="1">
      <c r="A770" s="15"/>
      <c r="B770" s="16">
        <v>540</v>
      </c>
      <c r="C770" s="16">
        <v>837</v>
      </c>
      <c r="D770" s="16">
        <v>27485</v>
      </c>
      <c r="E770" s="18"/>
      <c r="F770" s="18" t="s">
        <v>57</v>
      </c>
      <c r="G770" s="18" t="s">
        <v>2534</v>
      </c>
      <c r="H770" s="18" t="s">
        <v>86</v>
      </c>
      <c r="I770" s="18" t="s">
        <v>74</v>
      </c>
      <c r="J770" s="16">
        <v>2026</v>
      </c>
      <c r="K770" s="18" t="s">
        <v>2535</v>
      </c>
      <c r="L770" s="16">
        <v>9785961485356</v>
      </c>
      <c r="M770" s="18" t="s">
        <v>2536</v>
      </c>
      <c r="N770" s="16">
        <v>384</v>
      </c>
      <c r="O770" s="19">
        <v>0.3</v>
      </c>
      <c r="P770" s="16">
        <v>110</v>
      </c>
      <c r="Q770" s="16">
        <v>160</v>
      </c>
      <c r="R770" s="16">
        <v>12</v>
      </c>
      <c r="S770" s="18" t="s">
        <v>90</v>
      </c>
      <c r="T770" s="18"/>
      <c r="U770" s="17">
        <v>2500</v>
      </c>
      <c r="V770" s="18" t="s">
        <v>77</v>
      </c>
      <c r="W770" s="18" t="s">
        <v>184</v>
      </c>
      <c r="X770" s="16">
        <v>22</v>
      </c>
      <c r="Y770" s="43" t="str">
        <f>HYPERLINK("","")</f>
      </c>
      <c r="Z770" s="18"/>
      <c r="AS770" s="1">
        <f>IF($A770&lt;&gt;0,1,0)</f>
        <v>0</v>
      </c>
      <c r="AT770" s="1">
        <f>$A770*$B770</f>
        <v>0</v>
      </c>
      <c r="AU770" s="1">
        <f>$A770*$O770</f>
        <v>0</v>
      </c>
      <c r="AV770" s="1">
        <f>IF($R770=0,0,INT($A770/$R770))</f>
        <v>0</v>
      </c>
      <c r="AW770" s="1">
        <f>$A770-$AV770*$R770</f>
        <v>0</v>
      </c>
    </row>
    <row r="771" ht="21.95" customHeight="1" outlineLevel="3" s="1" customFormat="1">
      <c r="A771" s="15"/>
      <c r="B771" s="16">
        <v>651</v>
      </c>
      <c r="C771" s="16">
        <v>976</v>
      </c>
      <c r="D771" s="16">
        <v>33682</v>
      </c>
      <c r="E771" s="18"/>
      <c r="F771" s="18" t="s">
        <v>57</v>
      </c>
      <c r="G771" s="18" t="s">
        <v>2537</v>
      </c>
      <c r="H771" s="18" t="s">
        <v>86</v>
      </c>
      <c r="I771" s="18"/>
      <c r="J771" s="16">
        <v>2025</v>
      </c>
      <c r="K771" s="18" t="s">
        <v>2538</v>
      </c>
      <c r="L771" s="16">
        <v>9785006305298</v>
      </c>
      <c r="M771" s="18" t="s">
        <v>2539</v>
      </c>
      <c r="N771" s="16">
        <v>227</v>
      </c>
      <c r="O771" s="19">
        <v>0.6</v>
      </c>
      <c r="P771" s="16">
        <v>170</v>
      </c>
      <c r="Q771" s="16">
        <v>240</v>
      </c>
      <c r="R771" s="16">
        <v>8</v>
      </c>
      <c r="S771" s="18" t="s">
        <v>123</v>
      </c>
      <c r="T771" s="18"/>
      <c r="U771" s="17">
        <v>3000</v>
      </c>
      <c r="V771" s="18" t="s">
        <v>54</v>
      </c>
      <c r="W771" s="18" t="s">
        <v>69</v>
      </c>
      <c r="X771" s="16">
        <v>22</v>
      </c>
      <c r="Y771" s="43" t="str">
        <f>HYPERLINK("","")</f>
      </c>
      <c r="Z771" s="18"/>
      <c r="AS771" s="1">
        <f>IF($A771&lt;&gt;0,1,0)</f>
        <v>0</v>
      </c>
      <c r="AT771" s="1">
        <f>$A771*$B771</f>
        <v>0</v>
      </c>
      <c r="AU771" s="1">
        <f>$A771*$O771</f>
        <v>0</v>
      </c>
      <c r="AV771" s="1">
        <f>IF($R771=0,0,INT($A771/$R771))</f>
        <v>0</v>
      </c>
      <c r="AW771" s="1">
        <f>$A771-$AV771*$R771</f>
        <v>0</v>
      </c>
    </row>
    <row r="772" ht="24.95" customHeight="1" outlineLevel="3" s="1" customFormat="1">
      <c r="A772" s="15"/>
      <c r="B772" s="16">
        <v>550</v>
      </c>
      <c r="C772" s="16">
        <v>852</v>
      </c>
      <c r="D772" s="16">
        <v>24833</v>
      </c>
      <c r="E772" s="18"/>
      <c r="F772" s="18" t="s">
        <v>758</v>
      </c>
      <c r="G772" s="18" t="s">
        <v>2540</v>
      </c>
      <c r="H772" s="18" t="s">
        <v>86</v>
      </c>
      <c r="I772" s="18" t="s">
        <v>74</v>
      </c>
      <c r="J772" s="16">
        <v>2026</v>
      </c>
      <c r="K772" s="18" t="s">
        <v>2541</v>
      </c>
      <c r="L772" s="16">
        <v>9785961479195</v>
      </c>
      <c r="M772" s="18" t="s">
        <v>2542</v>
      </c>
      <c r="N772" s="16">
        <v>192</v>
      </c>
      <c r="O772" s="19">
        <v>0.3</v>
      </c>
      <c r="P772" s="16">
        <v>140</v>
      </c>
      <c r="Q772" s="16">
        <v>200</v>
      </c>
      <c r="R772" s="16">
        <v>14</v>
      </c>
      <c r="S772" s="18" t="s">
        <v>43</v>
      </c>
      <c r="T772" s="18"/>
      <c r="U772" s="17">
        <v>3000</v>
      </c>
      <c r="V772" s="18" t="s">
        <v>44</v>
      </c>
      <c r="W772" s="18" t="s">
        <v>69</v>
      </c>
      <c r="X772" s="16">
        <v>10</v>
      </c>
      <c r="Y772" s="43" t="str">
        <f>HYPERLINK("https://api-enni.alpina.ru/FilePrivilegesApproval/156","https://api-enni.alpina.ru/FilePrivilegesApproval/156")</f>
        <v>https://api-enni.alpina.ru/FilePrivilegesApproval/156</v>
      </c>
      <c r="Z772" s="18" t="s">
        <v>185</v>
      </c>
      <c r="AS772" s="1">
        <f>IF($A772&lt;&gt;0,1,0)</f>
        <v>0</v>
      </c>
      <c r="AT772" s="1">
        <f>$A772*$B772</f>
        <v>0</v>
      </c>
      <c r="AU772" s="1">
        <f>$A772*$O772</f>
        <v>0</v>
      </c>
      <c r="AV772" s="1">
        <f>IF($R772=0,0,INT($A772/$R772))</f>
        <v>0</v>
      </c>
      <c r="AW772" s="1">
        <f>$A772-$AV772*$R772</f>
        <v>0</v>
      </c>
    </row>
    <row r="773" ht="24.95" customHeight="1" outlineLevel="3" s="1" customFormat="1">
      <c r="A773" s="15"/>
      <c r="B773" s="16">
        <v>690</v>
      </c>
      <c r="C773" s="17">
        <v>1035</v>
      </c>
      <c r="D773" s="16">
        <v>31726</v>
      </c>
      <c r="E773" s="18"/>
      <c r="F773" s="18" t="s">
        <v>2543</v>
      </c>
      <c r="G773" s="18" t="s">
        <v>2544</v>
      </c>
      <c r="H773" s="18" t="s">
        <v>86</v>
      </c>
      <c r="I773" s="18" t="s">
        <v>74</v>
      </c>
      <c r="J773" s="16">
        <v>2025</v>
      </c>
      <c r="K773" s="18" t="s">
        <v>2545</v>
      </c>
      <c r="L773" s="16">
        <v>9785006300019</v>
      </c>
      <c r="M773" s="18" t="s">
        <v>2546</v>
      </c>
      <c r="N773" s="16">
        <v>176</v>
      </c>
      <c r="O773" s="19">
        <v>0.48</v>
      </c>
      <c r="P773" s="16">
        <v>170</v>
      </c>
      <c r="Q773" s="16">
        <v>240</v>
      </c>
      <c r="R773" s="16">
        <v>10</v>
      </c>
      <c r="S773" s="18" t="s">
        <v>123</v>
      </c>
      <c r="T773" s="18"/>
      <c r="U773" s="17">
        <v>3000</v>
      </c>
      <c r="V773" s="18" t="s">
        <v>77</v>
      </c>
      <c r="W773" s="18" t="s">
        <v>55</v>
      </c>
      <c r="X773" s="16">
        <v>10</v>
      </c>
      <c r="Y773" s="43" t="str">
        <f>HYPERLINK("https://api-enni.alpina.ru/FilePrivilegesApproval/713","https://api-enni.alpina.ru/FilePrivilegesApproval/713")</f>
        <v>https://api-enni.alpina.ru/FilePrivilegesApproval/713</v>
      </c>
      <c r="Z773" s="18"/>
      <c r="AS773" s="1">
        <f>IF($A773&lt;&gt;0,1,0)</f>
        <v>0</v>
      </c>
      <c r="AT773" s="1">
        <f>$A773*$B773</f>
        <v>0</v>
      </c>
      <c r="AU773" s="1">
        <f>$A773*$O773</f>
        <v>0</v>
      </c>
      <c r="AV773" s="1">
        <f>IF($R773=0,0,INT($A773/$R773))</f>
        <v>0</v>
      </c>
      <c r="AW773" s="1">
        <f>$A773-$AV773*$R773</f>
        <v>0</v>
      </c>
    </row>
    <row r="774" ht="21.95" customHeight="1" outlineLevel="3" s="1" customFormat="1">
      <c r="A774" s="15"/>
      <c r="B774" s="16">
        <v>600</v>
      </c>
      <c r="C774" s="16">
        <v>900</v>
      </c>
      <c r="D774" s="16">
        <v>23262</v>
      </c>
      <c r="E774" s="18"/>
      <c r="F774" s="18" t="s">
        <v>1860</v>
      </c>
      <c r="G774" s="18" t="s">
        <v>2547</v>
      </c>
      <c r="H774" s="18" t="s">
        <v>86</v>
      </c>
      <c r="I774" s="18"/>
      <c r="J774" s="16">
        <v>2025</v>
      </c>
      <c r="K774" s="18" t="s">
        <v>2548</v>
      </c>
      <c r="L774" s="16">
        <v>9785961480108</v>
      </c>
      <c r="M774" s="18" t="s">
        <v>2549</v>
      </c>
      <c r="N774" s="16">
        <v>304</v>
      </c>
      <c r="O774" s="19">
        <v>0.43</v>
      </c>
      <c r="P774" s="16">
        <v>140</v>
      </c>
      <c r="Q774" s="16">
        <v>210</v>
      </c>
      <c r="R774" s="16">
        <v>14</v>
      </c>
      <c r="S774" s="18" t="s">
        <v>90</v>
      </c>
      <c r="T774" s="18"/>
      <c r="U774" s="17">
        <v>4000</v>
      </c>
      <c r="V774" s="18" t="s">
        <v>54</v>
      </c>
      <c r="W774" s="18" t="s">
        <v>91</v>
      </c>
      <c r="X774" s="16">
        <v>22</v>
      </c>
      <c r="Y774" s="43" t="str">
        <f>HYPERLINK("","")</f>
      </c>
      <c r="Z774" s="18"/>
      <c r="AS774" s="1">
        <f>IF($A774&lt;&gt;0,1,0)</f>
        <v>0</v>
      </c>
      <c r="AT774" s="1">
        <f>$A774*$B774</f>
        <v>0</v>
      </c>
      <c r="AU774" s="1">
        <f>$A774*$O774</f>
        <v>0</v>
      </c>
      <c r="AV774" s="1">
        <f>IF($R774=0,0,INT($A774/$R774))</f>
        <v>0</v>
      </c>
      <c r="AW774" s="1">
        <f>$A774-$AV774*$R774</f>
        <v>0</v>
      </c>
    </row>
    <row r="775" ht="21.95" customHeight="1" outlineLevel="3" s="1" customFormat="1">
      <c r="A775" s="15"/>
      <c r="B775" s="16">
        <v>740</v>
      </c>
      <c r="C775" s="17">
        <v>1073</v>
      </c>
      <c r="D775" s="16">
        <v>28454</v>
      </c>
      <c r="E775" s="18"/>
      <c r="F775" s="18" t="s">
        <v>1860</v>
      </c>
      <c r="G775" s="18" t="s">
        <v>2550</v>
      </c>
      <c r="H775" s="18" t="s">
        <v>86</v>
      </c>
      <c r="I775" s="18"/>
      <c r="J775" s="16">
        <v>2026</v>
      </c>
      <c r="K775" s="18" t="s">
        <v>2551</v>
      </c>
      <c r="L775" s="16">
        <v>9785961489002</v>
      </c>
      <c r="M775" s="18" t="s">
        <v>2552</v>
      </c>
      <c r="N775" s="16">
        <v>304</v>
      </c>
      <c r="O775" s="19">
        <v>0.4</v>
      </c>
      <c r="P775" s="16">
        <v>140</v>
      </c>
      <c r="Q775" s="16">
        <v>200</v>
      </c>
      <c r="R775" s="16">
        <v>14</v>
      </c>
      <c r="S775" s="18" t="s">
        <v>90</v>
      </c>
      <c r="T775" s="18"/>
      <c r="U775" s="17">
        <v>2500</v>
      </c>
      <c r="V775" s="18" t="s">
        <v>54</v>
      </c>
      <c r="W775" s="18" t="s">
        <v>91</v>
      </c>
      <c r="X775" s="16">
        <v>22</v>
      </c>
      <c r="Y775" s="43" t="str">
        <f>HYPERLINK("","")</f>
      </c>
      <c r="Z775" s="18"/>
      <c r="AS775" s="1">
        <f>IF($A775&lt;&gt;0,1,0)</f>
        <v>0</v>
      </c>
      <c r="AT775" s="1">
        <f>$A775*$B775</f>
        <v>0</v>
      </c>
      <c r="AU775" s="1">
        <f>$A775*$O775</f>
        <v>0</v>
      </c>
      <c r="AV775" s="1">
        <f>IF($R775=0,0,INT($A775/$R775))</f>
        <v>0</v>
      </c>
      <c r="AW775" s="1">
        <f>$A775-$AV775*$R775</f>
        <v>0</v>
      </c>
    </row>
    <row r="776" ht="21.95" customHeight="1" outlineLevel="3" s="1" customFormat="1">
      <c r="A776" s="15"/>
      <c r="B776" s="16">
        <v>905</v>
      </c>
      <c r="C776" s="17">
        <v>1267</v>
      </c>
      <c r="D776" s="16">
        <v>28008</v>
      </c>
      <c r="E776" s="18"/>
      <c r="F776" s="18" t="s">
        <v>469</v>
      </c>
      <c r="G776" s="18" t="s">
        <v>2553</v>
      </c>
      <c r="H776" s="18" t="s">
        <v>86</v>
      </c>
      <c r="I776" s="18" t="s">
        <v>74</v>
      </c>
      <c r="J776" s="16">
        <v>2024</v>
      </c>
      <c r="K776" s="18" t="s">
        <v>2554</v>
      </c>
      <c r="L776" s="16">
        <v>9785961487374</v>
      </c>
      <c r="M776" s="18" t="s">
        <v>2555</v>
      </c>
      <c r="N776" s="16">
        <v>432</v>
      </c>
      <c r="O776" s="19">
        <v>0.64</v>
      </c>
      <c r="P776" s="16">
        <v>150</v>
      </c>
      <c r="Q776" s="16">
        <v>220</v>
      </c>
      <c r="R776" s="16">
        <v>5</v>
      </c>
      <c r="S776" s="18" t="s">
        <v>43</v>
      </c>
      <c r="T776" s="18"/>
      <c r="U776" s="17">
        <v>3000</v>
      </c>
      <c r="V776" s="18" t="s">
        <v>54</v>
      </c>
      <c r="W776" s="18" t="s">
        <v>184</v>
      </c>
      <c r="X776" s="16">
        <v>22</v>
      </c>
      <c r="Y776" s="43" t="str">
        <f>HYPERLINK("","")</f>
      </c>
      <c r="Z776" s="18"/>
      <c r="AS776" s="1">
        <f>IF($A776&lt;&gt;0,1,0)</f>
        <v>0</v>
      </c>
      <c r="AT776" s="1">
        <f>$A776*$B776</f>
        <v>0</v>
      </c>
      <c r="AU776" s="1">
        <f>$A776*$O776</f>
        <v>0</v>
      </c>
      <c r="AV776" s="1">
        <f>IF($R776=0,0,INT($A776/$R776))</f>
        <v>0</v>
      </c>
      <c r="AW776" s="1">
        <f>$A776-$AV776*$R776</f>
        <v>0</v>
      </c>
    </row>
    <row r="777" ht="21.95" customHeight="1" outlineLevel="3" s="1" customFormat="1">
      <c r="A777" s="15"/>
      <c r="B777" s="16">
        <v>905</v>
      </c>
      <c r="C777" s="17">
        <v>1267</v>
      </c>
      <c r="D777" s="16">
        <v>28009</v>
      </c>
      <c r="E777" s="18"/>
      <c r="F777" s="18" t="s">
        <v>469</v>
      </c>
      <c r="G777" s="18" t="s">
        <v>2556</v>
      </c>
      <c r="H777" s="18" t="s">
        <v>86</v>
      </c>
      <c r="I777" s="18" t="s">
        <v>74</v>
      </c>
      <c r="J777" s="16">
        <v>2025</v>
      </c>
      <c r="K777" s="18" t="s">
        <v>2557</v>
      </c>
      <c r="L777" s="16">
        <v>9785961487398</v>
      </c>
      <c r="M777" s="18" t="s">
        <v>2558</v>
      </c>
      <c r="N777" s="16">
        <v>432</v>
      </c>
      <c r="O777" s="19">
        <v>0.64</v>
      </c>
      <c r="P777" s="16">
        <v>150</v>
      </c>
      <c r="Q777" s="16">
        <v>220</v>
      </c>
      <c r="R777" s="16">
        <v>5</v>
      </c>
      <c r="S777" s="18" t="s">
        <v>43</v>
      </c>
      <c r="T777" s="18"/>
      <c r="U777" s="17">
        <v>2000</v>
      </c>
      <c r="V777" s="18" t="s">
        <v>54</v>
      </c>
      <c r="W777" s="18" t="s">
        <v>184</v>
      </c>
      <c r="X777" s="16">
        <v>22</v>
      </c>
      <c r="Y777" s="43" t="str">
        <f>HYPERLINK("","")</f>
      </c>
      <c r="Z777" s="18"/>
      <c r="AS777" s="1">
        <f>IF($A777&lt;&gt;0,1,0)</f>
        <v>0</v>
      </c>
      <c r="AT777" s="1">
        <f>$A777*$B777</f>
        <v>0</v>
      </c>
      <c r="AU777" s="1">
        <f>$A777*$O777</f>
        <v>0</v>
      </c>
      <c r="AV777" s="1">
        <f>IF($R777=0,0,INT($A777/$R777))</f>
        <v>0</v>
      </c>
      <c r="AW777" s="1">
        <f>$A777-$AV777*$R777</f>
        <v>0</v>
      </c>
    </row>
    <row r="778" ht="21.95" customHeight="1" outlineLevel="3" s="1" customFormat="1">
      <c r="A778" s="15"/>
      <c r="B778" s="17">
        <v>1312</v>
      </c>
      <c r="C778" s="17">
        <v>1771</v>
      </c>
      <c r="D778" s="16">
        <v>35924</v>
      </c>
      <c r="E778" s="18"/>
      <c r="F778" s="18" t="s">
        <v>2559</v>
      </c>
      <c r="G778" s="18" t="s">
        <v>2560</v>
      </c>
      <c r="H778" s="18" t="s">
        <v>86</v>
      </c>
      <c r="I778" s="18"/>
      <c r="J778" s="16">
        <v>2026</v>
      </c>
      <c r="K778" s="18" t="s">
        <v>2561</v>
      </c>
      <c r="L778" s="16">
        <v>9785006315976</v>
      </c>
      <c r="M778" s="18" t="s">
        <v>2562</v>
      </c>
      <c r="N778" s="16">
        <v>352</v>
      </c>
      <c r="O778" s="19">
        <v>0.55</v>
      </c>
      <c r="P778" s="16">
        <v>150</v>
      </c>
      <c r="Q778" s="16">
        <v>220</v>
      </c>
      <c r="R778" s="16">
        <v>6</v>
      </c>
      <c r="S778" s="18" t="s">
        <v>43</v>
      </c>
      <c r="T778" s="18" t="s">
        <v>2563</v>
      </c>
      <c r="U778" s="17">
        <v>4000</v>
      </c>
      <c r="V778" s="18" t="s">
        <v>54</v>
      </c>
      <c r="W778" s="18" t="s">
        <v>184</v>
      </c>
      <c r="X778" s="16">
        <v>22</v>
      </c>
      <c r="Y778" s="43" t="str">
        <f>HYPERLINK("","")</f>
      </c>
      <c r="Z778" s="18"/>
      <c r="AS778" s="1">
        <f>IF($A778&lt;&gt;0,1,0)</f>
        <v>0</v>
      </c>
      <c r="AT778" s="1">
        <f>$A778*$B778</f>
        <v>0</v>
      </c>
      <c r="AU778" s="1">
        <f>$A778*$O778</f>
        <v>0</v>
      </c>
      <c r="AV778" s="1">
        <f>IF($R778=0,0,INT($A778/$R778))</f>
        <v>0</v>
      </c>
      <c r="AW778" s="1">
        <f>$A778-$AV778*$R778</f>
        <v>0</v>
      </c>
    </row>
    <row r="779" ht="21.95" customHeight="1" outlineLevel="3" s="1" customFormat="1">
      <c r="A779" s="15"/>
      <c r="B779" s="16">
        <v>702</v>
      </c>
      <c r="C779" s="17">
        <v>1018</v>
      </c>
      <c r="D779" s="16">
        <v>35577</v>
      </c>
      <c r="E779" s="18"/>
      <c r="F779" s="18" t="s">
        <v>125</v>
      </c>
      <c r="G779" s="18" t="s">
        <v>126</v>
      </c>
      <c r="H779" s="18" t="s">
        <v>86</v>
      </c>
      <c r="I779" s="18"/>
      <c r="J779" s="16">
        <v>2026</v>
      </c>
      <c r="K779" s="18" t="s">
        <v>127</v>
      </c>
      <c r="L779" s="16">
        <v>9785006312524</v>
      </c>
      <c r="M779" s="18" t="s">
        <v>128</v>
      </c>
      <c r="N779" s="16">
        <v>160</v>
      </c>
      <c r="O779" s="19">
        <v>0.46</v>
      </c>
      <c r="P779" s="16">
        <v>170</v>
      </c>
      <c r="Q779" s="16">
        <v>240</v>
      </c>
      <c r="R779" s="16">
        <v>10</v>
      </c>
      <c r="S779" s="18" t="s">
        <v>123</v>
      </c>
      <c r="T779" s="18" t="s">
        <v>129</v>
      </c>
      <c r="U779" s="17">
        <v>3000</v>
      </c>
      <c r="V779" s="18" t="s">
        <v>54</v>
      </c>
      <c r="W779" s="18" t="s">
        <v>69</v>
      </c>
      <c r="X779" s="16">
        <v>22</v>
      </c>
      <c r="Y779" s="43" t="str">
        <f>HYPERLINK("","")</f>
      </c>
      <c r="Z779" s="18" t="s">
        <v>78</v>
      </c>
      <c r="AS779" s="1">
        <f>IF($A779&lt;&gt;0,1,0)</f>
        <v>0</v>
      </c>
      <c r="AT779" s="1">
        <f>$A779*$B779</f>
        <v>0</v>
      </c>
      <c r="AU779" s="1">
        <f>$A779*$O779</f>
        <v>0</v>
      </c>
      <c r="AV779" s="1">
        <f>IF($R779=0,0,INT($A779/$R779))</f>
        <v>0</v>
      </c>
      <c r="AW779" s="1">
        <f>$A779-$AV779*$R779</f>
        <v>0</v>
      </c>
    </row>
    <row r="780" ht="21.95" customHeight="1" outlineLevel="3" s="1" customFormat="1">
      <c r="A780" s="15"/>
      <c r="B780" s="16">
        <v>702</v>
      </c>
      <c r="C780" s="17">
        <v>1018</v>
      </c>
      <c r="D780" s="16">
        <v>25328</v>
      </c>
      <c r="E780" s="18"/>
      <c r="F780" s="18" t="s">
        <v>125</v>
      </c>
      <c r="G780" s="18" t="s">
        <v>2564</v>
      </c>
      <c r="H780" s="18" t="s">
        <v>86</v>
      </c>
      <c r="I780" s="18"/>
      <c r="J780" s="16">
        <v>2025</v>
      </c>
      <c r="K780" s="18" t="s">
        <v>2565</v>
      </c>
      <c r="L780" s="16">
        <v>9785961486513</v>
      </c>
      <c r="M780" s="18" t="s">
        <v>2566</v>
      </c>
      <c r="N780" s="16">
        <v>160</v>
      </c>
      <c r="O780" s="19">
        <v>0.46</v>
      </c>
      <c r="P780" s="16">
        <v>170</v>
      </c>
      <c r="Q780" s="16">
        <v>240</v>
      </c>
      <c r="R780" s="16">
        <v>10</v>
      </c>
      <c r="S780" s="18" t="s">
        <v>123</v>
      </c>
      <c r="T780" s="18" t="s">
        <v>129</v>
      </c>
      <c r="U780" s="17">
        <v>4000</v>
      </c>
      <c r="V780" s="18" t="s">
        <v>54</v>
      </c>
      <c r="W780" s="18" t="s">
        <v>184</v>
      </c>
      <c r="X780" s="16">
        <v>22</v>
      </c>
      <c r="Y780" s="43" t="str">
        <f>HYPERLINK("","")</f>
      </c>
      <c r="Z780" s="18"/>
      <c r="AS780" s="1">
        <f>IF($A780&lt;&gt;0,1,0)</f>
        <v>0</v>
      </c>
      <c r="AT780" s="1">
        <f>$A780*$B780</f>
        <v>0</v>
      </c>
      <c r="AU780" s="1">
        <f>$A780*$O780</f>
        <v>0</v>
      </c>
      <c r="AV780" s="1">
        <f>IF($R780=0,0,INT($A780/$R780))</f>
        <v>0</v>
      </c>
      <c r="AW780" s="1">
        <f>$A780-$AV780*$R780</f>
        <v>0</v>
      </c>
    </row>
    <row r="781" ht="21.95" customHeight="1" outlineLevel="3" s="1" customFormat="1">
      <c r="A781" s="15"/>
      <c r="B781" s="16">
        <v>740</v>
      </c>
      <c r="C781" s="17">
        <v>1073</v>
      </c>
      <c r="D781" s="16">
        <v>27592</v>
      </c>
      <c r="E781" s="18"/>
      <c r="F781" s="18" t="s">
        <v>125</v>
      </c>
      <c r="G781" s="18" t="s">
        <v>2567</v>
      </c>
      <c r="H781" s="18" t="s">
        <v>86</v>
      </c>
      <c r="I781" s="18"/>
      <c r="J781" s="16">
        <v>2026</v>
      </c>
      <c r="K781" s="18" t="s">
        <v>2568</v>
      </c>
      <c r="L781" s="16">
        <v>9785961486520</v>
      </c>
      <c r="M781" s="18" t="s">
        <v>2569</v>
      </c>
      <c r="N781" s="16">
        <v>160</v>
      </c>
      <c r="O781" s="19">
        <v>0.45</v>
      </c>
      <c r="P781" s="16">
        <v>170</v>
      </c>
      <c r="Q781" s="16">
        <v>240</v>
      </c>
      <c r="R781" s="16">
        <v>10</v>
      </c>
      <c r="S781" s="18" t="s">
        <v>123</v>
      </c>
      <c r="T781" s="18" t="s">
        <v>129</v>
      </c>
      <c r="U781" s="17">
        <v>3000</v>
      </c>
      <c r="V781" s="18" t="s">
        <v>54</v>
      </c>
      <c r="W781" s="18" t="s">
        <v>91</v>
      </c>
      <c r="X781" s="16">
        <v>22</v>
      </c>
      <c r="Y781" s="43" t="str">
        <f>HYPERLINK("","")</f>
      </c>
      <c r="Z781" s="18" t="s">
        <v>835</v>
      </c>
      <c r="AS781" s="1">
        <f>IF($A781&lt;&gt;0,1,0)</f>
        <v>0</v>
      </c>
      <c r="AT781" s="1">
        <f>$A781*$B781</f>
        <v>0</v>
      </c>
      <c r="AU781" s="1">
        <f>$A781*$O781</f>
        <v>0</v>
      </c>
      <c r="AV781" s="1">
        <f>IF($R781=0,0,INT($A781/$R781))</f>
        <v>0</v>
      </c>
      <c r="AW781" s="1">
        <f>$A781-$AV781*$R781</f>
        <v>0</v>
      </c>
    </row>
    <row r="782" ht="21.95" customHeight="1" outlineLevel="3" s="1" customFormat="1">
      <c r="A782" s="15"/>
      <c r="B782" s="16">
        <v>702</v>
      </c>
      <c r="C782" s="17">
        <v>1018</v>
      </c>
      <c r="D782" s="16">
        <v>28449</v>
      </c>
      <c r="E782" s="18"/>
      <c r="F782" s="18" t="s">
        <v>125</v>
      </c>
      <c r="G782" s="18" t="s">
        <v>2570</v>
      </c>
      <c r="H782" s="18" t="s">
        <v>86</v>
      </c>
      <c r="I782" s="18"/>
      <c r="J782" s="16">
        <v>2025</v>
      </c>
      <c r="K782" s="18" t="s">
        <v>2571</v>
      </c>
      <c r="L782" s="16">
        <v>9785961488982</v>
      </c>
      <c r="M782" s="18" t="s">
        <v>2572</v>
      </c>
      <c r="N782" s="16">
        <v>160</v>
      </c>
      <c r="O782" s="19">
        <v>0.45</v>
      </c>
      <c r="P782" s="16">
        <v>170</v>
      </c>
      <c r="Q782" s="16">
        <v>240</v>
      </c>
      <c r="R782" s="16">
        <v>10</v>
      </c>
      <c r="S782" s="18" t="s">
        <v>123</v>
      </c>
      <c r="T782" s="18" t="s">
        <v>129</v>
      </c>
      <c r="U782" s="17">
        <v>3000</v>
      </c>
      <c r="V782" s="18" t="s">
        <v>54</v>
      </c>
      <c r="W782" s="18" t="s">
        <v>91</v>
      </c>
      <c r="X782" s="16">
        <v>22</v>
      </c>
      <c r="Y782" s="43" t="str">
        <f>HYPERLINK("","")</f>
      </c>
      <c r="Z782" s="18"/>
      <c r="AS782" s="1">
        <f>IF($A782&lt;&gt;0,1,0)</f>
        <v>0</v>
      </c>
      <c r="AT782" s="1">
        <f>$A782*$B782</f>
        <v>0</v>
      </c>
      <c r="AU782" s="1">
        <f>$A782*$O782</f>
        <v>0</v>
      </c>
      <c r="AV782" s="1">
        <f>IF($R782=0,0,INT($A782/$R782))</f>
        <v>0</v>
      </c>
      <c r="AW782" s="1">
        <f>$A782-$AV782*$R782</f>
        <v>0</v>
      </c>
    </row>
    <row r="783" ht="21.95" customHeight="1" outlineLevel="3" s="1" customFormat="1">
      <c r="A783" s="15"/>
      <c r="B783" s="16">
        <v>702</v>
      </c>
      <c r="C783" s="17">
        <v>1018</v>
      </c>
      <c r="D783" s="16">
        <v>28450</v>
      </c>
      <c r="E783" s="18"/>
      <c r="F783" s="18" t="s">
        <v>125</v>
      </c>
      <c r="G783" s="18" t="s">
        <v>2573</v>
      </c>
      <c r="H783" s="18" t="s">
        <v>86</v>
      </c>
      <c r="I783" s="18"/>
      <c r="J783" s="16">
        <v>2025</v>
      </c>
      <c r="K783" s="18" t="s">
        <v>2574</v>
      </c>
      <c r="L783" s="16">
        <v>9785961488999</v>
      </c>
      <c r="M783" s="18" t="s">
        <v>2575</v>
      </c>
      <c r="N783" s="16">
        <v>160</v>
      </c>
      <c r="O783" s="19">
        <v>0.45</v>
      </c>
      <c r="P783" s="16">
        <v>170</v>
      </c>
      <c r="Q783" s="16">
        <v>240</v>
      </c>
      <c r="R783" s="16">
        <v>10</v>
      </c>
      <c r="S783" s="18" t="s">
        <v>123</v>
      </c>
      <c r="T783" s="18" t="s">
        <v>129</v>
      </c>
      <c r="U783" s="17">
        <v>2000</v>
      </c>
      <c r="V783" s="18" t="s">
        <v>54</v>
      </c>
      <c r="W783" s="18" t="s">
        <v>91</v>
      </c>
      <c r="X783" s="16">
        <v>22</v>
      </c>
      <c r="Y783" s="43" t="str">
        <f>HYPERLINK("","")</f>
      </c>
      <c r="Z783" s="18"/>
      <c r="AS783" s="1">
        <f>IF($A783&lt;&gt;0,1,0)</f>
        <v>0</v>
      </c>
      <c r="AT783" s="1">
        <f>$A783*$B783</f>
        <v>0</v>
      </c>
      <c r="AU783" s="1">
        <f>$A783*$O783</f>
        <v>0</v>
      </c>
      <c r="AV783" s="1">
        <f>IF($R783=0,0,INT($A783/$R783))</f>
        <v>0</v>
      </c>
      <c r="AW783" s="1">
        <f>$A783-$AV783*$R783</f>
        <v>0</v>
      </c>
    </row>
    <row r="784" ht="21.95" customHeight="1" outlineLevel="3" s="1" customFormat="1">
      <c r="A784" s="15"/>
      <c r="B784" s="16">
        <v>740</v>
      </c>
      <c r="C784" s="17">
        <v>1073</v>
      </c>
      <c r="D784" s="16">
        <v>28448</v>
      </c>
      <c r="E784" s="18"/>
      <c r="F784" s="18" t="s">
        <v>125</v>
      </c>
      <c r="G784" s="18" t="s">
        <v>2576</v>
      </c>
      <c r="H784" s="18" t="s">
        <v>86</v>
      </c>
      <c r="I784" s="18"/>
      <c r="J784" s="16">
        <v>2026</v>
      </c>
      <c r="K784" s="18" t="s">
        <v>2577</v>
      </c>
      <c r="L784" s="16">
        <v>9785961488975</v>
      </c>
      <c r="M784" s="18" t="s">
        <v>2578</v>
      </c>
      <c r="N784" s="16">
        <v>160</v>
      </c>
      <c r="O784" s="19">
        <v>0.45</v>
      </c>
      <c r="P784" s="16">
        <v>170</v>
      </c>
      <c r="Q784" s="16">
        <v>250</v>
      </c>
      <c r="R784" s="16">
        <v>10</v>
      </c>
      <c r="S784" s="18" t="s">
        <v>123</v>
      </c>
      <c r="T784" s="18" t="s">
        <v>129</v>
      </c>
      <c r="U784" s="17">
        <v>3000</v>
      </c>
      <c r="V784" s="18" t="s">
        <v>54</v>
      </c>
      <c r="W784" s="18" t="s">
        <v>91</v>
      </c>
      <c r="X784" s="16">
        <v>22</v>
      </c>
      <c r="Y784" s="43" t="str">
        <f>HYPERLINK("","")</f>
      </c>
      <c r="Z784" s="18" t="s">
        <v>835</v>
      </c>
      <c r="AS784" s="1">
        <f>IF($A784&lt;&gt;0,1,0)</f>
        <v>0</v>
      </c>
      <c r="AT784" s="1">
        <f>$A784*$B784</f>
        <v>0</v>
      </c>
      <c r="AU784" s="1">
        <f>$A784*$O784</f>
        <v>0</v>
      </c>
      <c r="AV784" s="1">
        <f>IF($R784=0,0,INT($A784/$R784))</f>
        <v>0</v>
      </c>
      <c r="AW784" s="1">
        <f>$A784-$AV784*$R784</f>
        <v>0</v>
      </c>
    </row>
    <row r="785" ht="24.95" customHeight="1" outlineLevel="3" s="1" customFormat="1">
      <c r="A785" s="15"/>
      <c r="B785" s="16">
        <v>990</v>
      </c>
      <c r="C785" s="17">
        <v>1386</v>
      </c>
      <c r="D785" s="16">
        <v>32043</v>
      </c>
      <c r="E785" s="18"/>
      <c r="F785" s="18" t="s">
        <v>661</v>
      </c>
      <c r="G785" s="18" t="s">
        <v>662</v>
      </c>
      <c r="H785" s="18" t="s">
        <v>86</v>
      </c>
      <c r="I785" s="18" t="s">
        <v>74</v>
      </c>
      <c r="J785" s="16">
        <v>2026</v>
      </c>
      <c r="K785" s="18" t="s">
        <v>663</v>
      </c>
      <c r="L785" s="16">
        <v>9785006300989</v>
      </c>
      <c r="M785" s="18" t="s">
        <v>664</v>
      </c>
      <c r="N785" s="16">
        <v>216</v>
      </c>
      <c r="O785" s="19">
        <v>0.39</v>
      </c>
      <c r="P785" s="16">
        <v>150</v>
      </c>
      <c r="Q785" s="16">
        <v>220</v>
      </c>
      <c r="R785" s="16">
        <v>16</v>
      </c>
      <c r="S785" s="18" t="s">
        <v>43</v>
      </c>
      <c r="T785" s="18"/>
      <c r="U785" s="17">
        <v>2000</v>
      </c>
      <c r="V785" s="18" t="s">
        <v>54</v>
      </c>
      <c r="W785" s="18" t="s">
        <v>184</v>
      </c>
      <c r="X785" s="16">
        <v>22</v>
      </c>
      <c r="Y785" s="43" t="str">
        <f>HYPERLINK("","")</f>
      </c>
      <c r="Z785" s="18" t="s">
        <v>98</v>
      </c>
      <c r="AS785" s="1">
        <f>IF($A785&lt;&gt;0,1,0)</f>
        <v>0</v>
      </c>
      <c r="AT785" s="1">
        <f>$A785*$B785</f>
        <v>0</v>
      </c>
      <c r="AU785" s="1">
        <f>$A785*$O785</f>
        <v>0</v>
      </c>
      <c r="AV785" s="1">
        <f>IF($R785=0,0,INT($A785/$R785))</f>
        <v>0</v>
      </c>
      <c r="AW785" s="1">
        <f>$A785-$AV785*$R785</f>
        <v>0</v>
      </c>
    </row>
    <row r="786" ht="24.95" customHeight="1" outlineLevel="3" s="1" customFormat="1">
      <c r="A786" s="15"/>
      <c r="B786" s="16">
        <v>990</v>
      </c>
      <c r="C786" s="17">
        <v>1386</v>
      </c>
      <c r="D786" s="16">
        <v>32044</v>
      </c>
      <c r="E786" s="18"/>
      <c r="F786" s="18" t="s">
        <v>661</v>
      </c>
      <c r="G786" s="18" t="s">
        <v>665</v>
      </c>
      <c r="H786" s="18" t="s">
        <v>86</v>
      </c>
      <c r="I786" s="18" t="s">
        <v>74</v>
      </c>
      <c r="J786" s="16">
        <v>2026</v>
      </c>
      <c r="K786" s="18" t="s">
        <v>666</v>
      </c>
      <c r="L786" s="16">
        <v>9785006300996</v>
      </c>
      <c r="M786" s="18" t="s">
        <v>667</v>
      </c>
      <c r="N786" s="16">
        <v>216</v>
      </c>
      <c r="O786" s="19">
        <v>0.39</v>
      </c>
      <c r="P786" s="16">
        <v>150</v>
      </c>
      <c r="Q786" s="16">
        <v>220</v>
      </c>
      <c r="R786" s="16">
        <v>16</v>
      </c>
      <c r="S786" s="18" t="s">
        <v>43</v>
      </c>
      <c r="T786" s="18"/>
      <c r="U786" s="17">
        <v>3000</v>
      </c>
      <c r="V786" s="18" t="s">
        <v>54</v>
      </c>
      <c r="W786" s="18" t="s">
        <v>184</v>
      </c>
      <c r="X786" s="16">
        <v>22</v>
      </c>
      <c r="Y786" s="43" t="str">
        <f>HYPERLINK("","")</f>
      </c>
      <c r="Z786" s="18" t="s">
        <v>98</v>
      </c>
      <c r="AS786" s="1">
        <f>IF($A786&lt;&gt;0,1,0)</f>
        <v>0</v>
      </c>
      <c r="AT786" s="1">
        <f>$A786*$B786</f>
        <v>0</v>
      </c>
      <c r="AU786" s="1">
        <f>$A786*$O786</f>
        <v>0</v>
      </c>
      <c r="AV786" s="1">
        <f>IF($R786=0,0,INT($A786/$R786))</f>
        <v>0</v>
      </c>
      <c r="AW786" s="1">
        <f>$A786-$AV786*$R786</f>
        <v>0</v>
      </c>
    </row>
    <row r="787" ht="24.95" customHeight="1" outlineLevel="3" s="1" customFormat="1">
      <c r="A787" s="15"/>
      <c r="B787" s="16">
        <v>550</v>
      </c>
      <c r="C787" s="16">
        <v>852</v>
      </c>
      <c r="D787" s="16">
        <v>33783</v>
      </c>
      <c r="E787" s="18"/>
      <c r="F787" s="18" t="s">
        <v>2579</v>
      </c>
      <c r="G787" s="18" t="s">
        <v>2580</v>
      </c>
      <c r="H787" s="18" t="s">
        <v>86</v>
      </c>
      <c r="I787" s="18" t="s">
        <v>74</v>
      </c>
      <c r="J787" s="16">
        <v>2025</v>
      </c>
      <c r="K787" s="18" t="s">
        <v>2581</v>
      </c>
      <c r="L787" s="16">
        <v>9785006305588</v>
      </c>
      <c r="M787" s="18" t="s">
        <v>2582</v>
      </c>
      <c r="N787" s="16">
        <v>200</v>
      </c>
      <c r="O787" s="19">
        <v>0.51</v>
      </c>
      <c r="P787" s="16">
        <v>170</v>
      </c>
      <c r="Q787" s="16">
        <v>240</v>
      </c>
      <c r="R787" s="16">
        <v>8</v>
      </c>
      <c r="S787" s="18" t="s">
        <v>123</v>
      </c>
      <c r="T787" s="18" t="s">
        <v>1196</v>
      </c>
      <c r="U787" s="17">
        <v>2000</v>
      </c>
      <c r="V787" s="18" t="s">
        <v>77</v>
      </c>
      <c r="W787" s="18" t="s">
        <v>69</v>
      </c>
      <c r="X787" s="16">
        <v>10</v>
      </c>
      <c r="Y787" s="43" t="str">
        <f>HYPERLINK("https://api-enni.alpina.ru/FilePrivilegesApproval/953","https://api-enni.alpina.ru/FilePrivilegesApproval/953")</f>
        <v>https://api-enni.alpina.ru/FilePrivilegesApproval/953</v>
      </c>
      <c r="Z787" s="18"/>
      <c r="AS787" s="1">
        <f>IF($A787&lt;&gt;0,1,0)</f>
        <v>0</v>
      </c>
      <c r="AT787" s="1">
        <f>$A787*$B787</f>
        <v>0</v>
      </c>
      <c r="AU787" s="1">
        <f>$A787*$O787</f>
        <v>0</v>
      </c>
      <c r="AV787" s="1">
        <f>IF($R787=0,0,INT($A787/$R787))</f>
        <v>0</v>
      </c>
      <c r="AW787" s="1">
        <f>$A787-$AV787*$R787</f>
        <v>0</v>
      </c>
    </row>
    <row r="788" ht="21.95" customHeight="1" outlineLevel="3" s="1" customFormat="1">
      <c r="A788" s="15"/>
      <c r="B788" s="16">
        <v>590</v>
      </c>
      <c r="C788" s="16">
        <v>885</v>
      </c>
      <c r="D788" s="16">
        <v>26801</v>
      </c>
      <c r="E788" s="18"/>
      <c r="F788" s="18" t="s">
        <v>910</v>
      </c>
      <c r="G788" s="18" t="s">
        <v>2583</v>
      </c>
      <c r="H788" s="18" t="s">
        <v>86</v>
      </c>
      <c r="I788" s="18"/>
      <c r="J788" s="16">
        <v>2025</v>
      </c>
      <c r="K788" s="18" t="s">
        <v>2584</v>
      </c>
      <c r="L788" s="16">
        <v>9785961482638</v>
      </c>
      <c r="M788" s="18" t="s">
        <v>2585</v>
      </c>
      <c r="N788" s="16">
        <v>208</v>
      </c>
      <c r="O788" s="19">
        <v>0.33</v>
      </c>
      <c r="P788" s="16">
        <v>140</v>
      </c>
      <c r="Q788" s="16">
        <v>210</v>
      </c>
      <c r="R788" s="16">
        <v>12</v>
      </c>
      <c r="S788" s="18" t="s">
        <v>43</v>
      </c>
      <c r="T788" s="18"/>
      <c r="U788" s="17">
        <v>6000</v>
      </c>
      <c r="V788" s="18" t="s">
        <v>44</v>
      </c>
      <c r="W788" s="18" t="s">
        <v>69</v>
      </c>
      <c r="X788" s="16">
        <v>22</v>
      </c>
      <c r="Y788" s="43" t="str">
        <f>HYPERLINK("","")</f>
      </c>
      <c r="Z788" s="18"/>
      <c r="AS788" s="1">
        <f>IF($A788&lt;&gt;0,1,0)</f>
        <v>0</v>
      </c>
      <c r="AT788" s="1">
        <f>$A788*$B788</f>
        <v>0</v>
      </c>
      <c r="AU788" s="1">
        <f>$A788*$O788</f>
        <v>0</v>
      </c>
      <c r="AV788" s="1">
        <f>IF($R788=0,0,INT($A788/$R788))</f>
        <v>0</v>
      </c>
      <c r="AW788" s="1">
        <f>$A788-$AV788*$R788</f>
        <v>0</v>
      </c>
    </row>
    <row r="789" ht="21.95" customHeight="1" outlineLevel="3" s="1" customFormat="1">
      <c r="A789" s="15"/>
      <c r="B789" s="16">
        <v>702</v>
      </c>
      <c r="C789" s="17">
        <v>1018</v>
      </c>
      <c r="D789" s="16">
        <v>35429</v>
      </c>
      <c r="E789" s="18"/>
      <c r="F789" s="18" t="s">
        <v>2586</v>
      </c>
      <c r="G789" s="18" t="s">
        <v>2587</v>
      </c>
      <c r="H789" s="18" t="s">
        <v>86</v>
      </c>
      <c r="I789" s="18"/>
      <c r="J789" s="16">
        <v>2025</v>
      </c>
      <c r="K789" s="18" t="s">
        <v>2588</v>
      </c>
      <c r="L789" s="16">
        <v>9785006313316</v>
      </c>
      <c r="M789" s="18" t="s">
        <v>2589</v>
      </c>
      <c r="N789" s="16">
        <v>280</v>
      </c>
      <c r="O789" s="19">
        <v>0.37</v>
      </c>
      <c r="P789" s="16">
        <v>150</v>
      </c>
      <c r="Q789" s="16">
        <v>220</v>
      </c>
      <c r="R789" s="16">
        <v>12</v>
      </c>
      <c r="S789" s="18" t="s">
        <v>43</v>
      </c>
      <c r="T789" s="18"/>
      <c r="U789" s="17">
        <v>3000</v>
      </c>
      <c r="V789" s="18" t="s">
        <v>54</v>
      </c>
      <c r="W789" s="18" t="s">
        <v>91</v>
      </c>
      <c r="X789" s="16">
        <v>22</v>
      </c>
      <c r="Y789" s="43" t="str">
        <f>HYPERLINK("","")</f>
      </c>
      <c r="Z789" s="18"/>
      <c r="AS789" s="1">
        <f>IF($A789&lt;&gt;0,1,0)</f>
        <v>0</v>
      </c>
      <c r="AT789" s="1">
        <f>$A789*$B789</f>
        <v>0</v>
      </c>
      <c r="AU789" s="1">
        <f>$A789*$O789</f>
        <v>0</v>
      </c>
      <c r="AV789" s="1">
        <f>IF($R789=0,0,INT($A789/$R789))</f>
        <v>0</v>
      </c>
      <c r="AW789" s="1">
        <f>$A789-$AV789*$R789</f>
        <v>0</v>
      </c>
    </row>
    <row r="790" ht="24.95" customHeight="1" outlineLevel="3" s="1" customFormat="1">
      <c r="A790" s="15"/>
      <c r="B790" s="16">
        <v>550</v>
      </c>
      <c r="C790" s="16">
        <v>852</v>
      </c>
      <c r="D790" s="16">
        <v>31673</v>
      </c>
      <c r="E790" s="18"/>
      <c r="F790" s="18" t="s">
        <v>2590</v>
      </c>
      <c r="G790" s="18" t="s">
        <v>2591</v>
      </c>
      <c r="H790" s="18" t="s">
        <v>86</v>
      </c>
      <c r="I790" s="18" t="s">
        <v>74</v>
      </c>
      <c r="J790" s="16">
        <v>2025</v>
      </c>
      <c r="K790" s="18" t="s">
        <v>2592</v>
      </c>
      <c r="L790" s="16">
        <v>9785961499858</v>
      </c>
      <c r="M790" s="18" t="s">
        <v>2593</v>
      </c>
      <c r="N790" s="16">
        <v>248</v>
      </c>
      <c r="O790" s="19">
        <v>0.62</v>
      </c>
      <c r="P790" s="16">
        <v>170</v>
      </c>
      <c r="Q790" s="16">
        <v>240</v>
      </c>
      <c r="R790" s="16">
        <v>8</v>
      </c>
      <c r="S790" s="18" t="s">
        <v>123</v>
      </c>
      <c r="T790" s="18" t="s">
        <v>1196</v>
      </c>
      <c r="U790" s="17">
        <v>3000</v>
      </c>
      <c r="V790" s="18" t="s">
        <v>77</v>
      </c>
      <c r="W790" s="18" t="s">
        <v>91</v>
      </c>
      <c r="X790" s="16">
        <v>10</v>
      </c>
      <c r="Y790" s="43" t="str">
        <f>HYPERLINK("https://api-enni.alpina.ru/FilePrivilegesApproval/873","https://api-enni.alpina.ru/FilePrivilegesApproval/873")</f>
        <v>https://api-enni.alpina.ru/FilePrivilegesApproval/873</v>
      </c>
      <c r="Z790" s="18"/>
      <c r="AS790" s="1">
        <f>IF($A790&lt;&gt;0,1,0)</f>
        <v>0</v>
      </c>
      <c r="AT790" s="1">
        <f>$A790*$B790</f>
        <v>0</v>
      </c>
      <c r="AU790" s="1">
        <f>$A790*$O790</f>
        <v>0</v>
      </c>
      <c r="AV790" s="1">
        <f>IF($R790=0,0,INT($A790/$R790))</f>
        <v>0</v>
      </c>
      <c r="AW790" s="1">
        <f>$A790-$AV790*$R790</f>
        <v>0</v>
      </c>
    </row>
    <row r="791" ht="21.95" customHeight="1" outlineLevel="3" s="1" customFormat="1">
      <c r="A791" s="15"/>
      <c r="B791" s="16">
        <v>651</v>
      </c>
      <c r="C791" s="16">
        <v>976</v>
      </c>
      <c r="D791" s="16">
        <v>28677</v>
      </c>
      <c r="E791" s="18"/>
      <c r="F791" s="18" t="s">
        <v>57</v>
      </c>
      <c r="G791" s="18" t="s">
        <v>2594</v>
      </c>
      <c r="H791" s="18" t="s">
        <v>86</v>
      </c>
      <c r="I791" s="18"/>
      <c r="J791" s="16">
        <v>2025</v>
      </c>
      <c r="K791" s="18" t="s">
        <v>2595</v>
      </c>
      <c r="L791" s="16">
        <v>9785961489651</v>
      </c>
      <c r="M791" s="18" t="s">
        <v>2596</v>
      </c>
      <c r="N791" s="16">
        <v>376</v>
      </c>
      <c r="O791" s="19">
        <v>0.54</v>
      </c>
      <c r="P791" s="16">
        <v>150</v>
      </c>
      <c r="Q791" s="16">
        <v>220</v>
      </c>
      <c r="R791" s="16">
        <v>10</v>
      </c>
      <c r="S791" s="18" t="s">
        <v>43</v>
      </c>
      <c r="T791" s="18"/>
      <c r="U791" s="17">
        <v>3000</v>
      </c>
      <c r="V791" s="18" t="s">
        <v>77</v>
      </c>
      <c r="W791" s="18" t="s">
        <v>91</v>
      </c>
      <c r="X791" s="16">
        <v>22</v>
      </c>
      <c r="Y791" s="43" t="str">
        <f>HYPERLINK("","")</f>
      </c>
      <c r="Z791" s="18"/>
      <c r="AS791" s="1">
        <f>IF($A791&lt;&gt;0,1,0)</f>
        <v>0</v>
      </c>
      <c r="AT791" s="1">
        <f>$A791*$B791</f>
        <v>0</v>
      </c>
      <c r="AU791" s="1">
        <f>$A791*$O791</f>
        <v>0</v>
      </c>
      <c r="AV791" s="1">
        <f>IF($R791=0,0,INT($A791/$R791))</f>
        <v>0</v>
      </c>
      <c r="AW791" s="1">
        <f>$A791-$AV791*$R791</f>
        <v>0</v>
      </c>
    </row>
    <row r="792" ht="21.95" customHeight="1" outlineLevel="3" s="1" customFormat="1">
      <c r="A792" s="15"/>
      <c r="B792" s="16">
        <v>651</v>
      </c>
      <c r="C792" s="16">
        <v>976</v>
      </c>
      <c r="D792" s="16">
        <v>31380</v>
      </c>
      <c r="E792" s="18"/>
      <c r="F792" s="18" t="s">
        <v>57</v>
      </c>
      <c r="G792" s="18" t="s">
        <v>2597</v>
      </c>
      <c r="H792" s="18" t="s">
        <v>86</v>
      </c>
      <c r="I792" s="18"/>
      <c r="J792" s="16">
        <v>2025</v>
      </c>
      <c r="K792" s="18" t="s">
        <v>2598</v>
      </c>
      <c r="L792" s="16">
        <v>9785961498424</v>
      </c>
      <c r="M792" s="18" t="s">
        <v>2599</v>
      </c>
      <c r="N792" s="16">
        <v>376</v>
      </c>
      <c r="O792" s="19">
        <v>0.54</v>
      </c>
      <c r="P792" s="16">
        <v>150</v>
      </c>
      <c r="Q792" s="16">
        <v>220</v>
      </c>
      <c r="R792" s="16">
        <v>10</v>
      </c>
      <c r="S792" s="18" t="s">
        <v>43</v>
      </c>
      <c r="T792" s="18"/>
      <c r="U792" s="17">
        <v>2000</v>
      </c>
      <c r="V792" s="18" t="s">
        <v>77</v>
      </c>
      <c r="W792" s="18" t="s">
        <v>91</v>
      </c>
      <c r="X792" s="16">
        <v>22</v>
      </c>
      <c r="Y792" s="43" t="str">
        <f>HYPERLINK("","")</f>
      </c>
      <c r="Z792" s="18"/>
      <c r="AS792" s="1">
        <f>IF($A792&lt;&gt;0,1,0)</f>
        <v>0</v>
      </c>
      <c r="AT792" s="1">
        <f>$A792*$B792</f>
        <v>0</v>
      </c>
      <c r="AU792" s="1">
        <f>$A792*$O792</f>
        <v>0</v>
      </c>
      <c r="AV792" s="1">
        <f>IF($R792=0,0,INT($A792/$R792))</f>
        <v>0</v>
      </c>
      <c r="AW792" s="1">
        <f>$A792-$AV792*$R792</f>
        <v>0</v>
      </c>
    </row>
    <row r="793" ht="21.95" customHeight="1" outlineLevel="3" s="1" customFormat="1">
      <c r="A793" s="15"/>
      <c r="B793" s="16">
        <v>690</v>
      </c>
      <c r="C793" s="17">
        <v>1035</v>
      </c>
      <c r="D793" s="16">
        <v>28666</v>
      </c>
      <c r="E793" s="18"/>
      <c r="F793" s="18" t="s">
        <v>57</v>
      </c>
      <c r="G793" s="18" t="s">
        <v>2600</v>
      </c>
      <c r="H793" s="18" t="s">
        <v>86</v>
      </c>
      <c r="I793" s="18"/>
      <c r="J793" s="16">
        <v>2026</v>
      </c>
      <c r="K793" s="18" t="s">
        <v>2601</v>
      </c>
      <c r="L793" s="16">
        <v>9785961489590</v>
      </c>
      <c r="M793" s="18" t="s">
        <v>2602</v>
      </c>
      <c r="N793" s="16">
        <v>376</v>
      </c>
      <c r="O793" s="19">
        <v>0.54</v>
      </c>
      <c r="P793" s="16">
        <v>150</v>
      </c>
      <c r="Q793" s="16">
        <v>220</v>
      </c>
      <c r="R793" s="16">
        <v>10</v>
      </c>
      <c r="S793" s="18" t="s">
        <v>43</v>
      </c>
      <c r="T793" s="18"/>
      <c r="U793" s="17">
        <v>4000</v>
      </c>
      <c r="V793" s="18" t="s">
        <v>77</v>
      </c>
      <c r="W793" s="18" t="s">
        <v>91</v>
      </c>
      <c r="X793" s="16">
        <v>22</v>
      </c>
      <c r="Y793" s="43" t="str">
        <f>HYPERLINK("","")</f>
      </c>
      <c r="Z793" s="18" t="s">
        <v>1220</v>
      </c>
      <c r="AS793" s="1">
        <f>IF($A793&lt;&gt;0,1,0)</f>
        <v>0</v>
      </c>
      <c r="AT793" s="1">
        <f>$A793*$B793</f>
        <v>0</v>
      </c>
      <c r="AU793" s="1">
        <f>$A793*$O793</f>
        <v>0</v>
      </c>
      <c r="AV793" s="1">
        <f>IF($R793=0,0,INT($A793/$R793))</f>
        <v>0</v>
      </c>
      <c r="AW793" s="1">
        <f>$A793-$AV793*$R793</f>
        <v>0</v>
      </c>
    </row>
    <row r="794" ht="21.95" customHeight="1" outlineLevel="3" s="1" customFormat="1">
      <c r="A794" s="15"/>
      <c r="B794" s="16">
        <v>651</v>
      </c>
      <c r="C794" s="16">
        <v>976</v>
      </c>
      <c r="D794" s="16">
        <v>31378</v>
      </c>
      <c r="E794" s="18"/>
      <c r="F794" s="18" t="s">
        <v>57</v>
      </c>
      <c r="G794" s="18" t="s">
        <v>2603</v>
      </c>
      <c r="H794" s="18" t="s">
        <v>86</v>
      </c>
      <c r="I794" s="18"/>
      <c r="J794" s="16">
        <v>2025</v>
      </c>
      <c r="K794" s="18" t="s">
        <v>2604</v>
      </c>
      <c r="L794" s="16">
        <v>9785961498417</v>
      </c>
      <c r="M794" s="18" t="s">
        <v>2605</v>
      </c>
      <c r="N794" s="16">
        <v>376</v>
      </c>
      <c r="O794" s="19">
        <v>0.55</v>
      </c>
      <c r="P794" s="16">
        <v>150</v>
      </c>
      <c r="Q794" s="16">
        <v>220</v>
      </c>
      <c r="R794" s="16">
        <v>10</v>
      </c>
      <c r="S794" s="18" t="s">
        <v>43</v>
      </c>
      <c r="T794" s="18"/>
      <c r="U794" s="17">
        <v>2000</v>
      </c>
      <c r="V794" s="18" t="s">
        <v>77</v>
      </c>
      <c r="W794" s="18" t="s">
        <v>91</v>
      </c>
      <c r="X794" s="16">
        <v>22</v>
      </c>
      <c r="Y794" s="43" t="str">
        <f>HYPERLINK("","")</f>
      </c>
      <c r="Z794" s="18"/>
      <c r="AS794" s="1">
        <f>IF($A794&lt;&gt;0,1,0)</f>
        <v>0</v>
      </c>
      <c r="AT794" s="1">
        <f>$A794*$B794</f>
        <v>0</v>
      </c>
      <c r="AU794" s="1">
        <f>$A794*$O794</f>
        <v>0</v>
      </c>
      <c r="AV794" s="1">
        <f>IF($R794=0,0,INT($A794/$R794))</f>
        <v>0</v>
      </c>
      <c r="AW794" s="1">
        <f>$A794-$AV794*$R794</f>
        <v>0</v>
      </c>
    </row>
    <row r="795" ht="21.95" customHeight="1" outlineLevel="3" s="1" customFormat="1">
      <c r="A795" s="15"/>
      <c r="B795" s="16">
        <v>590</v>
      </c>
      <c r="C795" s="16">
        <v>885</v>
      </c>
      <c r="D795" s="16">
        <v>26782</v>
      </c>
      <c r="E795" s="18"/>
      <c r="F795" s="18" t="s">
        <v>57</v>
      </c>
      <c r="G795" s="18" t="s">
        <v>2606</v>
      </c>
      <c r="H795" s="18" t="s">
        <v>86</v>
      </c>
      <c r="I795" s="18" t="s">
        <v>74</v>
      </c>
      <c r="J795" s="16">
        <v>2026</v>
      </c>
      <c r="K795" s="18" t="s">
        <v>2607</v>
      </c>
      <c r="L795" s="16">
        <v>9785961483048</v>
      </c>
      <c r="M795" s="18" t="s">
        <v>2608</v>
      </c>
      <c r="N795" s="16">
        <v>370</v>
      </c>
      <c r="O795" s="19">
        <v>0.5</v>
      </c>
      <c r="P795" s="16">
        <v>150</v>
      </c>
      <c r="Q795" s="16">
        <v>220</v>
      </c>
      <c r="R795" s="16">
        <v>10</v>
      </c>
      <c r="S795" s="18" t="s">
        <v>43</v>
      </c>
      <c r="T795" s="18"/>
      <c r="U795" s="17">
        <v>3000</v>
      </c>
      <c r="V795" s="18" t="s">
        <v>77</v>
      </c>
      <c r="W795" s="18" t="s">
        <v>91</v>
      </c>
      <c r="X795" s="16">
        <v>22</v>
      </c>
      <c r="Y795" s="43" t="str">
        <f>HYPERLINK("","")</f>
      </c>
      <c r="Z795" s="18"/>
      <c r="AS795" s="1">
        <f>IF($A795&lt;&gt;0,1,0)</f>
        <v>0</v>
      </c>
      <c r="AT795" s="1">
        <f>$A795*$B795</f>
        <v>0</v>
      </c>
      <c r="AU795" s="1">
        <f>$A795*$O795</f>
        <v>0</v>
      </c>
      <c r="AV795" s="1">
        <f>IF($R795=0,0,INT($A795/$R795))</f>
        <v>0</v>
      </c>
      <c r="AW795" s="1">
        <f>$A795-$AV795*$R795</f>
        <v>0</v>
      </c>
    </row>
    <row r="796" ht="21.95" customHeight="1" outlineLevel="3" s="1" customFormat="1">
      <c r="A796" s="15"/>
      <c r="B796" s="16">
        <v>590</v>
      </c>
      <c r="C796" s="16">
        <v>885</v>
      </c>
      <c r="D796" s="16">
        <v>27236</v>
      </c>
      <c r="E796" s="18"/>
      <c r="F796" s="18" t="s">
        <v>57</v>
      </c>
      <c r="G796" s="18" t="s">
        <v>2609</v>
      </c>
      <c r="H796" s="18" t="s">
        <v>86</v>
      </c>
      <c r="I796" s="18" t="s">
        <v>74</v>
      </c>
      <c r="J796" s="16">
        <v>2026</v>
      </c>
      <c r="K796" s="18" t="s">
        <v>2610</v>
      </c>
      <c r="L796" s="16">
        <v>9785961484236</v>
      </c>
      <c r="M796" s="18" t="s">
        <v>2611</v>
      </c>
      <c r="N796" s="16">
        <v>370</v>
      </c>
      <c r="O796" s="19">
        <v>0.55</v>
      </c>
      <c r="P796" s="16">
        <v>150</v>
      </c>
      <c r="Q796" s="16">
        <v>220</v>
      </c>
      <c r="R796" s="16">
        <v>10</v>
      </c>
      <c r="S796" s="18" t="s">
        <v>43</v>
      </c>
      <c r="T796" s="18"/>
      <c r="U796" s="17">
        <v>3000</v>
      </c>
      <c r="V796" s="18" t="s">
        <v>77</v>
      </c>
      <c r="W796" s="18" t="s">
        <v>91</v>
      </c>
      <c r="X796" s="16">
        <v>22</v>
      </c>
      <c r="Y796" s="43" t="str">
        <f>HYPERLINK("","")</f>
      </c>
      <c r="Z796" s="18"/>
      <c r="AS796" s="1">
        <f>IF($A796&lt;&gt;0,1,0)</f>
        <v>0</v>
      </c>
      <c r="AT796" s="1">
        <f>$A796*$B796</f>
        <v>0</v>
      </c>
      <c r="AU796" s="1">
        <f>$A796*$O796</f>
        <v>0</v>
      </c>
      <c r="AV796" s="1">
        <f>IF($R796=0,0,INT($A796/$R796))</f>
        <v>0</v>
      </c>
      <c r="AW796" s="1">
        <f>$A796-$AV796*$R796</f>
        <v>0</v>
      </c>
    </row>
    <row r="797" ht="21.95" customHeight="1" outlineLevel="3" s="1" customFormat="1">
      <c r="A797" s="15"/>
      <c r="B797" s="16">
        <v>549</v>
      </c>
      <c r="C797" s="16">
        <v>851</v>
      </c>
      <c r="D797" s="16">
        <v>27837</v>
      </c>
      <c r="E797" s="18"/>
      <c r="F797" s="18" t="s">
        <v>57</v>
      </c>
      <c r="G797" s="18" t="s">
        <v>2612</v>
      </c>
      <c r="H797" s="18" t="s">
        <v>86</v>
      </c>
      <c r="I797" s="18" t="s">
        <v>74</v>
      </c>
      <c r="J797" s="16">
        <v>2025</v>
      </c>
      <c r="K797" s="18" t="s">
        <v>2613</v>
      </c>
      <c r="L797" s="16">
        <v>9785961486452</v>
      </c>
      <c r="M797" s="18" t="s">
        <v>2614</v>
      </c>
      <c r="N797" s="16">
        <v>370</v>
      </c>
      <c r="O797" s="19">
        <v>0.54</v>
      </c>
      <c r="P797" s="16">
        <v>150</v>
      </c>
      <c r="Q797" s="16">
        <v>220</v>
      </c>
      <c r="R797" s="16">
        <v>10</v>
      </c>
      <c r="S797" s="18" t="s">
        <v>43</v>
      </c>
      <c r="T797" s="18"/>
      <c r="U797" s="17">
        <v>5000</v>
      </c>
      <c r="V797" s="18" t="s">
        <v>77</v>
      </c>
      <c r="W797" s="18" t="s">
        <v>91</v>
      </c>
      <c r="X797" s="16">
        <v>22</v>
      </c>
      <c r="Y797" s="43" t="str">
        <f>HYPERLINK("","")</f>
      </c>
      <c r="Z797" s="18"/>
      <c r="AS797" s="1">
        <f>IF($A797&lt;&gt;0,1,0)</f>
        <v>0</v>
      </c>
      <c r="AT797" s="1">
        <f>$A797*$B797</f>
        <v>0</v>
      </c>
      <c r="AU797" s="1">
        <f>$A797*$O797</f>
        <v>0</v>
      </c>
      <c r="AV797" s="1">
        <f>IF($R797=0,0,INT($A797/$R797))</f>
        <v>0</v>
      </c>
      <c r="AW797" s="1">
        <f>$A797-$AV797*$R797</f>
        <v>0</v>
      </c>
    </row>
    <row r="798" ht="21.95" customHeight="1" outlineLevel="3" s="1" customFormat="1">
      <c r="A798" s="15"/>
      <c r="B798" s="16">
        <v>549</v>
      </c>
      <c r="C798" s="16">
        <v>851</v>
      </c>
      <c r="D798" s="16">
        <v>27838</v>
      </c>
      <c r="E798" s="18"/>
      <c r="F798" s="18" t="s">
        <v>57</v>
      </c>
      <c r="G798" s="18" t="s">
        <v>2615</v>
      </c>
      <c r="H798" s="18" t="s">
        <v>86</v>
      </c>
      <c r="I798" s="18" t="s">
        <v>74</v>
      </c>
      <c r="J798" s="16">
        <v>2025</v>
      </c>
      <c r="K798" s="18" t="s">
        <v>2616</v>
      </c>
      <c r="L798" s="16">
        <v>9785961486469</v>
      </c>
      <c r="M798" s="18" t="s">
        <v>2617</v>
      </c>
      <c r="N798" s="16">
        <v>370</v>
      </c>
      <c r="O798" s="19">
        <v>0.54</v>
      </c>
      <c r="P798" s="16">
        <v>150</v>
      </c>
      <c r="Q798" s="16">
        <v>220</v>
      </c>
      <c r="R798" s="16">
        <v>10</v>
      </c>
      <c r="S798" s="18" t="s">
        <v>43</v>
      </c>
      <c r="T798" s="18"/>
      <c r="U798" s="17">
        <v>2500</v>
      </c>
      <c r="V798" s="18" t="s">
        <v>77</v>
      </c>
      <c r="W798" s="18" t="s">
        <v>91</v>
      </c>
      <c r="X798" s="16">
        <v>22</v>
      </c>
      <c r="Y798" s="43" t="str">
        <f>HYPERLINK("","")</f>
      </c>
      <c r="Z798" s="18"/>
      <c r="AS798" s="1">
        <f>IF($A798&lt;&gt;0,1,0)</f>
        <v>0</v>
      </c>
      <c r="AT798" s="1">
        <f>$A798*$B798</f>
        <v>0</v>
      </c>
      <c r="AU798" s="1">
        <f>$A798*$O798</f>
        <v>0</v>
      </c>
      <c r="AV798" s="1">
        <f>IF($R798=0,0,INT($A798/$R798))</f>
        <v>0</v>
      </c>
      <c r="AW798" s="1">
        <f>$A798-$AV798*$R798</f>
        <v>0</v>
      </c>
    </row>
    <row r="799" ht="21.95" customHeight="1" outlineLevel="3" s="1" customFormat="1">
      <c r="A799" s="15"/>
      <c r="B799" s="16">
        <v>590</v>
      </c>
      <c r="C799" s="16">
        <v>885</v>
      </c>
      <c r="D799" s="16">
        <v>29012</v>
      </c>
      <c r="E799" s="18"/>
      <c r="F799" s="18" t="s">
        <v>57</v>
      </c>
      <c r="G799" s="18" t="s">
        <v>782</v>
      </c>
      <c r="H799" s="18" t="s">
        <v>86</v>
      </c>
      <c r="I799" s="18" t="s">
        <v>74</v>
      </c>
      <c r="J799" s="16">
        <v>2026</v>
      </c>
      <c r="K799" s="18" t="s">
        <v>783</v>
      </c>
      <c r="L799" s="16">
        <v>9785961491043</v>
      </c>
      <c r="M799" s="18" t="s">
        <v>784</v>
      </c>
      <c r="N799" s="16">
        <v>370</v>
      </c>
      <c r="O799" s="19">
        <v>0.54</v>
      </c>
      <c r="P799" s="16">
        <v>150</v>
      </c>
      <c r="Q799" s="16">
        <v>220</v>
      </c>
      <c r="R799" s="16">
        <v>10</v>
      </c>
      <c r="S799" s="18" t="s">
        <v>43</v>
      </c>
      <c r="T799" s="18"/>
      <c r="U799" s="17">
        <v>10000</v>
      </c>
      <c r="V799" s="18" t="s">
        <v>77</v>
      </c>
      <c r="W799" s="18" t="s">
        <v>91</v>
      </c>
      <c r="X799" s="16">
        <v>22</v>
      </c>
      <c r="Y799" s="43" t="str">
        <f>HYPERLINK("","")</f>
      </c>
      <c r="Z799" s="18" t="s">
        <v>545</v>
      </c>
      <c r="AS799" s="1">
        <f>IF($A799&lt;&gt;0,1,0)</f>
        <v>0</v>
      </c>
      <c r="AT799" s="1">
        <f>$A799*$B799</f>
        <v>0</v>
      </c>
      <c r="AU799" s="1">
        <f>$A799*$O799</f>
        <v>0</v>
      </c>
      <c r="AV799" s="1">
        <f>IF($R799=0,0,INT($A799/$R799))</f>
        <v>0</v>
      </c>
      <c r="AW799" s="1">
        <f>$A799-$AV799*$R799</f>
        <v>0</v>
      </c>
    </row>
    <row r="800" ht="21.95" customHeight="1" outlineLevel="3" s="1" customFormat="1">
      <c r="A800" s="15"/>
      <c r="B800" s="16">
        <v>590</v>
      </c>
      <c r="C800" s="16">
        <v>885</v>
      </c>
      <c r="D800" s="16">
        <v>32843</v>
      </c>
      <c r="E800" s="18"/>
      <c r="F800" s="18" t="s">
        <v>57</v>
      </c>
      <c r="G800" s="18" t="s">
        <v>2618</v>
      </c>
      <c r="H800" s="18" t="s">
        <v>86</v>
      </c>
      <c r="I800" s="18" t="s">
        <v>74</v>
      </c>
      <c r="J800" s="16">
        <v>2026</v>
      </c>
      <c r="K800" s="18" t="s">
        <v>2619</v>
      </c>
      <c r="L800" s="16">
        <v>9785006303195</v>
      </c>
      <c r="M800" s="18" t="s">
        <v>2620</v>
      </c>
      <c r="N800" s="16">
        <v>370</v>
      </c>
      <c r="O800" s="19">
        <v>0.55</v>
      </c>
      <c r="P800" s="16">
        <v>150</v>
      </c>
      <c r="Q800" s="16">
        <v>220</v>
      </c>
      <c r="R800" s="16">
        <v>10</v>
      </c>
      <c r="S800" s="18" t="s">
        <v>43</v>
      </c>
      <c r="T800" s="18"/>
      <c r="U800" s="17">
        <v>3000</v>
      </c>
      <c r="V800" s="18" t="s">
        <v>77</v>
      </c>
      <c r="W800" s="18" t="s">
        <v>91</v>
      </c>
      <c r="X800" s="16">
        <v>22</v>
      </c>
      <c r="Y800" s="43" t="str">
        <f>HYPERLINK("","")</f>
      </c>
      <c r="Z800" s="18"/>
      <c r="AS800" s="1">
        <f>IF($A800&lt;&gt;0,1,0)</f>
        <v>0</v>
      </c>
      <c r="AT800" s="1">
        <f>$A800*$B800</f>
        <v>0</v>
      </c>
      <c r="AU800" s="1">
        <f>$A800*$O800</f>
        <v>0</v>
      </c>
      <c r="AV800" s="1">
        <f>IF($R800=0,0,INT($A800/$R800))</f>
        <v>0</v>
      </c>
      <c r="AW800" s="1">
        <f>$A800-$AV800*$R800</f>
        <v>0</v>
      </c>
    </row>
    <row r="801" ht="21.95" customHeight="1" outlineLevel="3" s="1" customFormat="1">
      <c r="A801" s="15"/>
      <c r="B801" s="16">
        <v>549</v>
      </c>
      <c r="C801" s="16">
        <v>851</v>
      </c>
      <c r="D801" s="16">
        <v>32844</v>
      </c>
      <c r="E801" s="18"/>
      <c r="F801" s="18" t="s">
        <v>57</v>
      </c>
      <c r="G801" s="18" t="s">
        <v>2621</v>
      </c>
      <c r="H801" s="18" t="s">
        <v>86</v>
      </c>
      <c r="I801" s="18" t="s">
        <v>74</v>
      </c>
      <c r="J801" s="16">
        <v>2025</v>
      </c>
      <c r="K801" s="18" t="s">
        <v>2622</v>
      </c>
      <c r="L801" s="16">
        <v>9785006303201</v>
      </c>
      <c r="M801" s="18" t="s">
        <v>2623</v>
      </c>
      <c r="N801" s="16">
        <v>370</v>
      </c>
      <c r="O801" s="19">
        <v>0.55</v>
      </c>
      <c r="P801" s="16">
        <v>150</v>
      </c>
      <c r="Q801" s="16">
        <v>220</v>
      </c>
      <c r="R801" s="16">
        <v>10</v>
      </c>
      <c r="S801" s="18" t="s">
        <v>43</v>
      </c>
      <c r="T801" s="18"/>
      <c r="U801" s="17">
        <v>3000</v>
      </c>
      <c r="V801" s="18" t="s">
        <v>77</v>
      </c>
      <c r="W801" s="18" t="s">
        <v>91</v>
      </c>
      <c r="X801" s="16">
        <v>22</v>
      </c>
      <c r="Y801" s="43" t="str">
        <f>HYPERLINK("","")</f>
      </c>
      <c r="Z801" s="18"/>
      <c r="AS801" s="1">
        <f>IF($A801&lt;&gt;0,1,0)</f>
        <v>0</v>
      </c>
      <c r="AT801" s="1">
        <f>$A801*$B801</f>
        <v>0</v>
      </c>
      <c r="AU801" s="1">
        <f>$A801*$O801</f>
        <v>0</v>
      </c>
      <c r="AV801" s="1">
        <f>IF($R801=0,0,INT($A801/$R801))</f>
        <v>0</v>
      </c>
      <c r="AW801" s="1">
        <f>$A801-$AV801*$R801</f>
        <v>0</v>
      </c>
    </row>
    <row r="802" ht="24.95" customHeight="1" outlineLevel="3" s="1" customFormat="1">
      <c r="A802" s="15"/>
      <c r="B802" s="16">
        <v>550</v>
      </c>
      <c r="C802" s="16">
        <v>852</v>
      </c>
      <c r="D802" s="16">
        <v>31291</v>
      </c>
      <c r="E802" s="18"/>
      <c r="F802" s="18" t="s">
        <v>2624</v>
      </c>
      <c r="G802" s="18" t="s">
        <v>2625</v>
      </c>
      <c r="H802" s="18" t="s">
        <v>86</v>
      </c>
      <c r="I802" s="18" t="s">
        <v>74</v>
      </c>
      <c r="J802" s="16">
        <v>2025</v>
      </c>
      <c r="K802" s="18" t="s">
        <v>2626</v>
      </c>
      <c r="L802" s="16">
        <v>9785961498127</v>
      </c>
      <c r="M802" s="18" t="s">
        <v>2627</v>
      </c>
      <c r="N802" s="16">
        <v>174</v>
      </c>
      <c r="O802" s="19">
        <v>0.41</v>
      </c>
      <c r="P802" s="16">
        <v>170</v>
      </c>
      <c r="Q802" s="16">
        <v>240</v>
      </c>
      <c r="R802" s="16">
        <v>10</v>
      </c>
      <c r="S802" s="18" t="s">
        <v>123</v>
      </c>
      <c r="T802" s="18" t="s">
        <v>1196</v>
      </c>
      <c r="U802" s="17">
        <v>2000</v>
      </c>
      <c r="V802" s="18" t="s">
        <v>77</v>
      </c>
      <c r="W802" s="18" t="s">
        <v>69</v>
      </c>
      <c r="X802" s="16">
        <v>10</v>
      </c>
      <c r="Y802" s="43" t="str">
        <f>HYPERLINK("https://api-enni.alpina.ru/FilePrivilegesApproval/782","https://api-enni.alpina.ru/FilePrivilegesApproval/782")</f>
        <v>https://api-enni.alpina.ru/FilePrivilegesApproval/782</v>
      </c>
      <c r="Z802" s="18"/>
      <c r="AS802" s="1">
        <f>IF($A802&lt;&gt;0,1,0)</f>
        <v>0</v>
      </c>
      <c r="AT802" s="1">
        <f>$A802*$B802</f>
        <v>0</v>
      </c>
      <c r="AU802" s="1">
        <f>$A802*$O802</f>
        <v>0</v>
      </c>
      <c r="AV802" s="1">
        <f>IF($R802=0,0,INT($A802/$R802))</f>
        <v>0</v>
      </c>
      <c r="AW802" s="1">
        <f>$A802-$AV802*$R802</f>
        <v>0</v>
      </c>
    </row>
    <row r="803" ht="21.95" customHeight="1" outlineLevel="3" s="1" customFormat="1">
      <c r="A803" s="15"/>
      <c r="B803" s="16">
        <v>590</v>
      </c>
      <c r="C803" s="16">
        <v>885</v>
      </c>
      <c r="D803" s="16">
        <v>32630</v>
      </c>
      <c r="E803" s="18"/>
      <c r="F803" s="18" t="s">
        <v>1555</v>
      </c>
      <c r="G803" s="18" t="s">
        <v>2628</v>
      </c>
      <c r="H803" s="18" t="s">
        <v>86</v>
      </c>
      <c r="I803" s="18"/>
      <c r="J803" s="16">
        <v>2026</v>
      </c>
      <c r="K803" s="18" t="s">
        <v>2629</v>
      </c>
      <c r="L803" s="16">
        <v>9785006302792</v>
      </c>
      <c r="M803" s="18" t="s">
        <v>2630</v>
      </c>
      <c r="N803" s="16">
        <v>186</v>
      </c>
      <c r="O803" s="19">
        <v>0.34</v>
      </c>
      <c r="P803" s="16">
        <v>150</v>
      </c>
      <c r="Q803" s="16">
        <v>220</v>
      </c>
      <c r="R803" s="16">
        <v>16</v>
      </c>
      <c r="S803" s="18" t="s">
        <v>43</v>
      </c>
      <c r="T803" s="18"/>
      <c r="U803" s="17">
        <v>5000</v>
      </c>
      <c r="V803" s="18" t="s">
        <v>77</v>
      </c>
      <c r="W803" s="18" t="s">
        <v>69</v>
      </c>
      <c r="X803" s="16">
        <v>22</v>
      </c>
      <c r="Y803" s="43" t="str">
        <f>HYPERLINK("","")</f>
      </c>
      <c r="Z803" s="18" t="s">
        <v>251</v>
      </c>
      <c r="AS803" s="1">
        <f>IF($A803&lt;&gt;0,1,0)</f>
        <v>0</v>
      </c>
      <c r="AT803" s="1">
        <f>$A803*$B803</f>
        <v>0</v>
      </c>
      <c r="AU803" s="1">
        <f>$A803*$O803</f>
        <v>0</v>
      </c>
      <c r="AV803" s="1">
        <f>IF($R803=0,0,INT($A803/$R803))</f>
        <v>0</v>
      </c>
      <c r="AW803" s="1">
        <f>$A803-$AV803*$R803</f>
        <v>0</v>
      </c>
    </row>
    <row r="804" ht="21.95" customHeight="1" outlineLevel="3" s="1" customFormat="1">
      <c r="A804" s="15"/>
      <c r="B804" s="16">
        <v>498</v>
      </c>
      <c r="C804" s="16">
        <v>772</v>
      </c>
      <c r="D804" s="16">
        <v>30608</v>
      </c>
      <c r="E804" s="18"/>
      <c r="F804" s="18" t="s">
        <v>2631</v>
      </c>
      <c r="G804" s="18" t="s">
        <v>2632</v>
      </c>
      <c r="H804" s="18" t="s">
        <v>86</v>
      </c>
      <c r="I804" s="18" t="s">
        <v>87</v>
      </c>
      <c r="J804" s="16">
        <v>2025</v>
      </c>
      <c r="K804" s="18" t="s">
        <v>2633</v>
      </c>
      <c r="L804" s="16">
        <v>9785961496048</v>
      </c>
      <c r="M804" s="18" t="s">
        <v>2634</v>
      </c>
      <c r="N804" s="16">
        <v>192</v>
      </c>
      <c r="O804" s="19">
        <v>0.31</v>
      </c>
      <c r="P804" s="16">
        <v>140</v>
      </c>
      <c r="Q804" s="16">
        <v>210</v>
      </c>
      <c r="R804" s="16">
        <v>20</v>
      </c>
      <c r="S804" s="18" t="s">
        <v>43</v>
      </c>
      <c r="T804" s="18"/>
      <c r="U804" s="17">
        <v>3000</v>
      </c>
      <c r="V804" s="18" t="s">
        <v>1667</v>
      </c>
      <c r="W804" s="18" t="s">
        <v>91</v>
      </c>
      <c r="X804" s="16">
        <v>22</v>
      </c>
      <c r="Y804" s="43" t="str">
        <f>HYPERLINK("","")</f>
      </c>
      <c r="Z804" s="18"/>
      <c r="AS804" s="1">
        <f>IF($A804&lt;&gt;0,1,0)</f>
        <v>0</v>
      </c>
      <c r="AT804" s="1">
        <f>$A804*$B804</f>
        <v>0</v>
      </c>
      <c r="AU804" s="1">
        <f>$A804*$O804</f>
        <v>0</v>
      </c>
      <c r="AV804" s="1">
        <f>IF($R804=0,0,INT($A804/$R804))</f>
        <v>0</v>
      </c>
      <c r="AW804" s="1">
        <f>$A804-$AV804*$R804</f>
        <v>0</v>
      </c>
    </row>
    <row r="805" ht="24.95" customHeight="1" outlineLevel="3" s="1" customFormat="1">
      <c r="A805" s="15"/>
      <c r="B805" s="16">
        <v>790</v>
      </c>
      <c r="C805" s="17">
        <v>1146</v>
      </c>
      <c r="D805" s="16">
        <v>22773</v>
      </c>
      <c r="E805" s="18"/>
      <c r="F805" s="18" t="s">
        <v>1924</v>
      </c>
      <c r="G805" s="18" t="s">
        <v>2635</v>
      </c>
      <c r="H805" s="18" t="s">
        <v>86</v>
      </c>
      <c r="I805" s="18" t="s">
        <v>74</v>
      </c>
      <c r="J805" s="16">
        <v>2026</v>
      </c>
      <c r="K805" s="18" t="s">
        <v>2636</v>
      </c>
      <c r="L805" s="16">
        <v>9785961462623</v>
      </c>
      <c r="M805" s="18" t="s">
        <v>2637</v>
      </c>
      <c r="N805" s="16">
        <v>310</v>
      </c>
      <c r="O805" s="19">
        <v>0.6</v>
      </c>
      <c r="P805" s="16">
        <v>170</v>
      </c>
      <c r="Q805" s="16">
        <v>240</v>
      </c>
      <c r="R805" s="16">
        <v>6</v>
      </c>
      <c r="S805" s="18" t="s">
        <v>123</v>
      </c>
      <c r="T805" s="18"/>
      <c r="U805" s="17">
        <v>3000</v>
      </c>
      <c r="V805" s="18" t="s">
        <v>44</v>
      </c>
      <c r="W805" s="18" t="s">
        <v>91</v>
      </c>
      <c r="X805" s="16">
        <v>10</v>
      </c>
      <c r="Y805" s="43" t="str">
        <f>HYPERLINK("https://api-enni.alpina.ru/FilePrivilegesApproval/177","https://api-enni.alpina.ru/FilePrivilegesApproval/177")</f>
        <v>https://api-enni.alpina.ru/FilePrivilegesApproval/177</v>
      </c>
      <c r="Z805" s="18" t="s">
        <v>1228</v>
      </c>
      <c r="AS805" s="1">
        <f>IF($A805&lt;&gt;0,1,0)</f>
        <v>0</v>
      </c>
      <c r="AT805" s="1">
        <f>$A805*$B805</f>
        <v>0</v>
      </c>
      <c r="AU805" s="1">
        <f>$A805*$O805</f>
        <v>0</v>
      </c>
      <c r="AV805" s="1">
        <f>IF($R805=0,0,INT($A805/$R805))</f>
        <v>0</v>
      </c>
      <c r="AW805" s="1">
        <f>$A805-$AV805*$R805</f>
        <v>0</v>
      </c>
    </row>
    <row r="806" ht="21.95" customHeight="1" outlineLevel="3" s="1" customFormat="1">
      <c r="A806" s="15"/>
      <c r="B806" s="16">
        <v>600</v>
      </c>
      <c r="C806" s="16">
        <v>900</v>
      </c>
      <c r="D806" s="16">
        <v>25607</v>
      </c>
      <c r="E806" s="18"/>
      <c r="F806" s="18" t="s">
        <v>57</v>
      </c>
      <c r="G806" s="18" t="s">
        <v>2638</v>
      </c>
      <c r="H806" s="18" t="s">
        <v>86</v>
      </c>
      <c r="I806" s="18" t="s">
        <v>74</v>
      </c>
      <c r="J806" s="16">
        <v>2025</v>
      </c>
      <c r="K806" s="18" t="s">
        <v>2639</v>
      </c>
      <c r="L806" s="16">
        <v>9785961478808</v>
      </c>
      <c r="M806" s="18" t="s">
        <v>2640</v>
      </c>
      <c r="N806" s="16">
        <v>202</v>
      </c>
      <c r="O806" s="19">
        <v>0.3</v>
      </c>
      <c r="P806" s="16">
        <v>150</v>
      </c>
      <c r="Q806" s="16">
        <v>210</v>
      </c>
      <c r="R806" s="16">
        <v>16</v>
      </c>
      <c r="S806" s="18" t="s">
        <v>43</v>
      </c>
      <c r="T806" s="18"/>
      <c r="U806" s="17">
        <v>3000</v>
      </c>
      <c r="V806" s="18" t="s">
        <v>44</v>
      </c>
      <c r="W806" s="18" t="s">
        <v>69</v>
      </c>
      <c r="X806" s="16">
        <v>22</v>
      </c>
      <c r="Y806" s="43" t="str">
        <f>HYPERLINK("","")</f>
      </c>
      <c r="Z806" s="18"/>
      <c r="AS806" s="1">
        <f>IF($A806&lt;&gt;0,1,0)</f>
        <v>0</v>
      </c>
      <c r="AT806" s="1">
        <f>$A806*$B806</f>
        <v>0</v>
      </c>
      <c r="AU806" s="1">
        <f>$A806*$O806</f>
        <v>0</v>
      </c>
      <c r="AV806" s="1">
        <f>IF($R806=0,0,INT($A806/$R806))</f>
        <v>0</v>
      </c>
      <c r="AW806" s="1">
        <f>$A806-$AV806*$R806</f>
        <v>0</v>
      </c>
    </row>
    <row r="807" ht="11.1" customHeight="1" outlineLevel="2">
      <c r="A807" s="41" t="s">
        <v>2641</v>
      </c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24"/>
    </row>
    <row r="808" ht="24.95" customHeight="1" outlineLevel="3" s="1" customFormat="1">
      <c r="A808" s="15"/>
      <c r="B808" s="16">
        <v>290</v>
      </c>
      <c r="C808" s="16">
        <v>464</v>
      </c>
      <c r="D808" s="16">
        <v>1716</v>
      </c>
      <c r="E808" s="18"/>
      <c r="F808" s="18" t="s">
        <v>2642</v>
      </c>
      <c r="G808" s="18" t="s">
        <v>2643</v>
      </c>
      <c r="H808" s="18" t="s">
        <v>86</v>
      </c>
      <c r="I808" s="18"/>
      <c r="J808" s="16">
        <v>2026</v>
      </c>
      <c r="K808" s="18" t="s">
        <v>2644</v>
      </c>
      <c r="L808" s="16">
        <v>9785961466638</v>
      </c>
      <c r="M808" s="18" t="s">
        <v>2645</v>
      </c>
      <c r="N808" s="16">
        <v>128</v>
      </c>
      <c r="O808" s="19">
        <v>0.12</v>
      </c>
      <c r="P808" s="16">
        <v>110</v>
      </c>
      <c r="Q808" s="16">
        <v>170</v>
      </c>
      <c r="R808" s="16">
        <v>28</v>
      </c>
      <c r="S808" s="18" t="s">
        <v>873</v>
      </c>
      <c r="T808" s="18"/>
      <c r="U808" s="17">
        <v>2000</v>
      </c>
      <c r="V808" s="18" t="s">
        <v>44</v>
      </c>
      <c r="W808" s="18" t="s">
        <v>184</v>
      </c>
      <c r="X808" s="16">
        <v>10</v>
      </c>
      <c r="Y808" s="43" t="str">
        <f>HYPERLINK("https://api-enni.alpina.ru/FilePrivilegesApproval/2","https://api-enni.alpina.ru/FilePrivilegesApproval/2")</f>
        <v>https://api-enni.alpina.ru/FilePrivilegesApproval/2</v>
      </c>
      <c r="Z808" s="18" t="s">
        <v>744</v>
      </c>
      <c r="AS808" s="1">
        <f>IF($A808&lt;&gt;0,1,0)</f>
        <v>0</v>
      </c>
      <c r="AT808" s="1">
        <f>$A808*$B808</f>
        <v>0</v>
      </c>
      <c r="AU808" s="1">
        <f>$A808*$O808</f>
        <v>0</v>
      </c>
      <c r="AV808" s="1">
        <f>IF($R808=0,0,INT($A808/$R808))</f>
        <v>0</v>
      </c>
      <c r="AW808" s="1">
        <f>$A808-$AV808*$R808</f>
        <v>0</v>
      </c>
    </row>
    <row r="809" ht="24.95" customHeight="1" outlineLevel="3" s="1" customFormat="1">
      <c r="A809" s="15"/>
      <c r="B809" s="16">
        <v>890</v>
      </c>
      <c r="C809" s="17">
        <v>1246</v>
      </c>
      <c r="D809" s="16">
        <v>4252</v>
      </c>
      <c r="E809" s="18"/>
      <c r="F809" s="18" t="s">
        <v>561</v>
      </c>
      <c r="G809" s="18" t="s">
        <v>2646</v>
      </c>
      <c r="H809" s="18" t="s">
        <v>86</v>
      </c>
      <c r="I809" s="18"/>
      <c r="J809" s="16">
        <v>2025</v>
      </c>
      <c r="K809" s="18" t="s">
        <v>2647</v>
      </c>
      <c r="L809" s="16">
        <v>9785961466492</v>
      </c>
      <c r="M809" s="18" t="s">
        <v>2648</v>
      </c>
      <c r="N809" s="16">
        <v>168</v>
      </c>
      <c r="O809" s="19">
        <v>0.41</v>
      </c>
      <c r="P809" s="16">
        <v>240</v>
      </c>
      <c r="Q809" s="16">
        <v>190</v>
      </c>
      <c r="R809" s="16">
        <v>12</v>
      </c>
      <c r="S809" s="18" t="s">
        <v>328</v>
      </c>
      <c r="T809" s="18"/>
      <c r="U809" s="17">
        <v>2000</v>
      </c>
      <c r="V809" s="18" t="s">
        <v>44</v>
      </c>
      <c r="W809" s="18" t="s">
        <v>184</v>
      </c>
      <c r="X809" s="16">
        <v>10</v>
      </c>
      <c r="Y809" s="43" t="str">
        <f>HYPERLINK("https://api-enni.alpina.ru/FilePrivilegesApproval/2","https://api-enni.alpina.ru/FilePrivilegesApproval/2")</f>
        <v>https://api-enni.alpina.ru/FilePrivilegesApproval/2</v>
      </c>
      <c r="Z809" s="18"/>
      <c r="AS809" s="1">
        <f>IF($A809&lt;&gt;0,1,0)</f>
        <v>0</v>
      </c>
      <c r="AT809" s="1">
        <f>$A809*$B809</f>
        <v>0</v>
      </c>
      <c r="AU809" s="1">
        <f>$A809*$O809</f>
        <v>0</v>
      </c>
      <c r="AV809" s="1">
        <f>IF($R809=0,0,INT($A809/$R809))</f>
        <v>0</v>
      </c>
      <c r="AW809" s="1">
        <f>$A809-$AV809*$R809</f>
        <v>0</v>
      </c>
    </row>
    <row r="810" ht="24.95" customHeight="1" outlineLevel="3" s="1" customFormat="1">
      <c r="A810" s="15"/>
      <c r="B810" s="16">
        <v>340</v>
      </c>
      <c r="C810" s="16">
        <v>544</v>
      </c>
      <c r="D810" s="16">
        <v>28483</v>
      </c>
      <c r="E810" s="18"/>
      <c r="F810" s="18" t="s">
        <v>2649</v>
      </c>
      <c r="G810" s="18" t="s">
        <v>2650</v>
      </c>
      <c r="H810" s="18" t="s">
        <v>86</v>
      </c>
      <c r="I810" s="18"/>
      <c r="J810" s="16">
        <v>2026</v>
      </c>
      <c r="K810" s="18" t="s">
        <v>2651</v>
      </c>
      <c r="L810" s="16">
        <v>9785961489101</v>
      </c>
      <c r="M810" s="18" t="s">
        <v>2652</v>
      </c>
      <c r="N810" s="16">
        <v>234</v>
      </c>
      <c r="O810" s="19">
        <v>0.16</v>
      </c>
      <c r="P810" s="16">
        <v>120</v>
      </c>
      <c r="Q810" s="16">
        <v>170</v>
      </c>
      <c r="R810" s="16">
        <v>16</v>
      </c>
      <c r="S810" s="18" t="s">
        <v>190</v>
      </c>
      <c r="T810" s="18" t="s">
        <v>2653</v>
      </c>
      <c r="U810" s="17">
        <v>3000</v>
      </c>
      <c r="V810" s="18" t="s">
        <v>44</v>
      </c>
      <c r="W810" s="18" t="s">
        <v>184</v>
      </c>
      <c r="X810" s="16">
        <v>10</v>
      </c>
      <c r="Y810" s="43" t="str">
        <f>HYPERLINK("https://api-enni.alpina.ru/FilePrivilegesApproval/280","https://api-enni.alpina.ru/FilePrivilegesApproval/280")</f>
        <v>https://api-enni.alpina.ru/FilePrivilegesApproval/280</v>
      </c>
      <c r="Z810" s="18" t="s">
        <v>1945</v>
      </c>
      <c r="AS810" s="1">
        <f>IF($A810&lt;&gt;0,1,0)</f>
        <v>0</v>
      </c>
      <c r="AT810" s="1">
        <f>$A810*$B810</f>
        <v>0</v>
      </c>
      <c r="AU810" s="1">
        <f>$A810*$O810</f>
        <v>0</v>
      </c>
      <c r="AV810" s="1">
        <f>IF($R810=0,0,INT($A810/$R810))</f>
        <v>0</v>
      </c>
      <c r="AW810" s="1">
        <f>$A810-$AV810*$R810</f>
        <v>0</v>
      </c>
    </row>
    <row r="811" ht="24.95" customHeight="1" outlineLevel="3" s="1" customFormat="1">
      <c r="A811" s="15"/>
      <c r="B811" s="16">
        <v>640</v>
      </c>
      <c r="C811" s="16">
        <v>960</v>
      </c>
      <c r="D811" s="16">
        <v>8794</v>
      </c>
      <c r="E811" s="18"/>
      <c r="F811" s="18" t="s">
        <v>713</v>
      </c>
      <c r="G811" s="18" t="s">
        <v>2654</v>
      </c>
      <c r="H811" s="18" t="s">
        <v>86</v>
      </c>
      <c r="I811" s="18"/>
      <c r="J811" s="16">
        <v>2025</v>
      </c>
      <c r="K811" s="18" t="s">
        <v>2655</v>
      </c>
      <c r="L811" s="16">
        <v>9785961469974</v>
      </c>
      <c r="M811" s="18" t="s">
        <v>2656</v>
      </c>
      <c r="N811" s="16">
        <v>186</v>
      </c>
      <c r="O811" s="19">
        <v>0.35</v>
      </c>
      <c r="P811" s="16">
        <v>146</v>
      </c>
      <c r="Q811" s="16">
        <v>216</v>
      </c>
      <c r="R811" s="16">
        <v>20</v>
      </c>
      <c r="S811" s="18" t="s">
        <v>43</v>
      </c>
      <c r="T811" s="18"/>
      <c r="U811" s="17">
        <v>2000</v>
      </c>
      <c r="V811" s="18" t="s">
        <v>77</v>
      </c>
      <c r="W811" s="18" t="s">
        <v>184</v>
      </c>
      <c r="X811" s="16">
        <v>10</v>
      </c>
      <c r="Y811" s="43" t="str">
        <f>HYPERLINK("https://api-enni.alpina.ru/FilePrivilegesApproval/2","https://api-enni.alpina.ru/FilePrivilegesApproval/2")</f>
        <v>https://api-enni.alpina.ru/FilePrivilegesApproval/2</v>
      </c>
      <c r="Z811" s="18"/>
      <c r="AS811" s="1">
        <f>IF($A811&lt;&gt;0,1,0)</f>
        <v>0</v>
      </c>
      <c r="AT811" s="1">
        <f>$A811*$B811</f>
        <v>0</v>
      </c>
      <c r="AU811" s="1">
        <f>$A811*$O811</f>
        <v>0</v>
      </c>
      <c r="AV811" s="1">
        <f>IF($R811=0,0,INT($A811/$R811))</f>
        <v>0</v>
      </c>
      <c r="AW811" s="1">
        <f>$A811-$AV811*$R811</f>
        <v>0</v>
      </c>
    </row>
    <row r="812" ht="24.95" customHeight="1" outlineLevel="3" s="1" customFormat="1">
      <c r="A812" s="15"/>
      <c r="B812" s="16">
        <v>640</v>
      </c>
      <c r="C812" s="16">
        <v>960</v>
      </c>
      <c r="D812" s="16">
        <v>29818</v>
      </c>
      <c r="E812" s="18"/>
      <c r="F812" s="18" t="s">
        <v>2657</v>
      </c>
      <c r="G812" s="18" t="s">
        <v>2658</v>
      </c>
      <c r="H812" s="18" t="s">
        <v>86</v>
      </c>
      <c r="I812" s="18"/>
      <c r="J812" s="16">
        <v>2025</v>
      </c>
      <c r="K812" s="18" t="s">
        <v>2659</v>
      </c>
      <c r="L812" s="16">
        <v>9785961493962</v>
      </c>
      <c r="M812" s="18" t="s">
        <v>2660</v>
      </c>
      <c r="N812" s="16">
        <v>338</v>
      </c>
      <c r="O812" s="19">
        <v>0.5</v>
      </c>
      <c r="P812" s="16">
        <v>150</v>
      </c>
      <c r="Q812" s="16">
        <v>220</v>
      </c>
      <c r="R812" s="16">
        <v>12</v>
      </c>
      <c r="S812" s="18" t="s">
        <v>43</v>
      </c>
      <c r="T812" s="18"/>
      <c r="U812" s="17">
        <v>3000</v>
      </c>
      <c r="V812" s="18" t="s">
        <v>77</v>
      </c>
      <c r="W812" s="18" t="s">
        <v>91</v>
      </c>
      <c r="X812" s="16">
        <v>10</v>
      </c>
      <c r="Y812" s="43" t="str">
        <f>HYPERLINK("https://api-enni.alpina.ru/FilePrivilegesApproval/724","https://api-enni.alpina.ru/FilePrivilegesApproval/724")</f>
        <v>https://api-enni.alpina.ru/FilePrivilegesApproval/724</v>
      </c>
      <c r="Z812" s="18"/>
      <c r="AS812" s="1">
        <f>IF($A812&lt;&gt;0,1,0)</f>
        <v>0</v>
      </c>
      <c r="AT812" s="1">
        <f>$A812*$B812</f>
        <v>0</v>
      </c>
      <c r="AU812" s="1">
        <f>$A812*$O812</f>
        <v>0</v>
      </c>
      <c r="AV812" s="1">
        <f>IF($R812=0,0,INT($A812/$R812))</f>
        <v>0</v>
      </c>
      <c r="AW812" s="1">
        <f>$A812-$AV812*$R812</f>
        <v>0</v>
      </c>
    </row>
    <row r="813" ht="24.95" customHeight="1" outlineLevel="3" s="1" customFormat="1">
      <c r="A813" s="15"/>
      <c r="B813" s="16">
        <v>990</v>
      </c>
      <c r="C813" s="17">
        <v>1386</v>
      </c>
      <c r="D813" s="16">
        <v>1655</v>
      </c>
      <c r="E813" s="18"/>
      <c r="F813" s="18" t="s">
        <v>2661</v>
      </c>
      <c r="G813" s="18" t="s">
        <v>2662</v>
      </c>
      <c r="H813" s="18" t="s">
        <v>86</v>
      </c>
      <c r="I813" s="18" t="s">
        <v>74</v>
      </c>
      <c r="J813" s="16">
        <v>2026</v>
      </c>
      <c r="K813" s="18" t="s">
        <v>2663</v>
      </c>
      <c r="L813" s="16">
        <v>9785961468687</v>
      </c>
      <c r="M813" s="18" t="s">
        <v>2664</v>
      </c>
      <c r="N813" s="16">
        <v>416</v>
      </c>
      <c r="O813" s="19">
        <v>0.57</v>
      </c>
      <c r="P813" s="16">
        <v>150</v>
      </c>
      <c r="Q813" s="16">
        <v>220</v>
      </c>
      <c r="R813" s="16">
        <v>10</v>
      </c>
      <c r="S813" s="18" t="s">
        <v>43</v>
      </c>
      <c r="T813" s="18"/>
      <c r="U813" s="17">
        <v>2000</v>
      </c>
      <c r="V813" s="18" t="s">
        <v>77</v>
      </c>
      <c r="W813" s="18" t="s">
        <v>184</v>
      </c>
      <c r="X813" s="16">
        <v>10</v>
      </c>
      <c r="Y813" s="43" t="str">
        <f>HYPERLINK("https://api-enni.alpina.ru/FilePrivilegesApproval/156","https://api-enni.alpina.ru/FilePrivilegesApproval/156")</f>
        <v>https://api-enni.alpina.ru/FilePrivilegesApproval/156</v>
      </c>
      <c r="Z813" s="18" t="s">
        <v>744</v>
      </c>
      <c r="AS813" s="1">
        <f>IF($A813&lt;&gt;0,1,0)</f>
        <v>0</v>
      </c>
      <c r="AT813" s="1">
        <f>$A813*$B813</f>
        <v>0</v>
      </c>
      <c r="AU813" s="1">
        <f>$A813*$O813</f>
        <v>0</v>
      </c>
      <c r="AV813" s="1">
        <f>IF($R813=0,0,INT($A813/$R813))</f>
        <v>0</v>
      </c>
      <c r="AW813" s="1">
        <f>$A813-$AV813*$R813</f>
        <v>0</v>
      </c>
    </row>
    <row r="814" ht="24.95" customHeight="1" outlineLevel="3" s="1" customFormat="1">
      <c r="A814" s="15"/>
      <c r="B814" s="16">
        <v>740</v>
      </c>
      <c r="C814" s="17">
        <v>1073</v>
      </c>
      <c r="D814" s="16">
        <v>928</v>
      </c>
      <c r="E814" s="18"/>
      <c r="F814" s="18" t="s">
        <v>2661</v>
      </c>
      <c r="G814" s="18" t="s">
        <v>2665</v>
      </c>
      <c r="H814" s="18" t="s">
        <v>86</v>
      </c>
      <c r="I814" s="18" t="s">
        <v>74</v>
      </c>
      <c r="J814" s="16">
        <v>2025</v>
      </c>
      <c r="K814" s="18" t="s">
        <v>2666</v>
      </c>
      <c r="L814" s="16">
        <v>9785961468670</v>
      </c>
      <c r="M814" s="18" t="s">
        <v>2667</v>
      </c>
      <c r="N814" s="16">
        <v>416</v>
      </c>
      <c r="O814" s="19">
        <v>0.51</v>
      </c>
      <c r="P814" s="16">
        <v>140</v>
      </c>
      <c r="Q814" s="16">
        <v>210</v>
      </c>
      <c r="R814" s="16">
        <v>10</v>
      </c>
      <c r="S814" s="18" t="s">
        <v>43</v>
      </c>
      <c r="T814" s="18"/>
      <c r="U814" s="17">
        <v>5000</v>
      </c>
      <c r="V814" s="18" t="s">
        <v>44</v>
      </c>
      <c r="W814" s="18" t="s">
        <v>184</v>
      </c>
      <c r="X814" s="16">
        <v>10</v>
      </c>
      <c r="Y814" s="43" t="str">
        <f>HYPERLINK("https://api-enni.alpina.ru/FilePrivilegesApproval/156","https://api-enni.alpina.ru/FilePrivilegesApproval/156")</f>
        <v>https://api-enni.alpina.ru/FilePrivilegesApproval/156</v>
      </c>
      <c r="Z814" s="18"/>
      <c r="AS814" s="1">
        <f>IF($A814&lt;&gt;0,1,0)</f>
        <v>0</v>
      </c>
      <c r="AT814" s="1">
        <f>$A814*$B814</f>
        <v>0</v>
      </c>
      <c r="AU814" s="1">
        <f>$A814*$O814</f>
        <v>0</v>
      </c>
      <c r="AV814" s="1">
        <f>IF($R814=0,0,INT($A814/$R814))</f>
        <v>0</v>
      </c>
      <c r="AW814" s="1">
        <f>$A814-$AV814*$R814</f>
        <v>0</v>
      </c>
    </row>
    <row r="815" ht="24.95" customHeight="1" outlineLevel="3" s="1" customFormat="1">
      <c r="A815" s="15"/>
      <c r="B815" s="16">
        <v>740</v>
      </c>
      <c r="C815" s="17">
        <v>1073</v>
      </c>
      <c r="D815" s="16">
        <v>9082</v>
      </c>
      <c r="E815" s="18"/>
      <c r="F815" s="18" t="s">
        <v>2668</v>
      </c>
      <c r="G815" s="18" t="s">
        <v>2669</v>
      </c>
      <c r="H815" s="18" t="s">
        <v>86</v>
      </c>
      <c r="I815" s="18" t="s">
        <v>74</v>
      </c>
      <c r="J815" s="16">
        <v>2025</v>
      </c>
      <c r="K815" s="18" t="s">
        <v>2670</v>
      </c>
      <c r="L815" s="16">
        <v>9785961420555</v>
      </c>
      <c r="M815" s="18" t="s">
        <v>2671</v>
      </c>
      <c r="N815" s="16">
        <v>144</v>
      </c>
      <c r="O815" s="19">
        <v>0.23</v>
      </c>
      <c r="P815" s="16">
        <v>160</v>
      </c>
      <c r="Q815" s="16">
        <v>240</v>
      </c>
      <c r="R815" s="16">
        <v>20</v>
      </c>
      <c r="S815" s="18" t="s">
        <v>123</v>
      </c>
      <c r="T815" s="18"/>
      <c r="U815" s="17">
        <v>1000</v>
      </c>
      <c r="V815" s="18" t="s">
        <v>44</v>
      </c>
      <c r="W815" s="18" t="s">
        <v>184</v>
      </c>
      <c r="X815" s="16">
        <v>10</v>
      </c>
      <c r="Y815" s="43" t="str">
        <f>HYPERLINK("https://api-enni.alpina.ru/FilePrivilegesApproval/132","https://api-enni.alpina.ru/FilePrivilegesApproval/132")</f>
        <v>https://api-enni.alpina.ru/FilePrivilegesApproval/132</v>
      </c>
      <c r="Z815" s="18"/>
      <c r="AS815" s="1">
        <f>IF($A815&lt;&gt;0,1,0)</f>
        <v>0</v>
      </c>
      <c r="AT815" s="1">
        <f>$A815*$B815</f>
        <v>0</v>
      </c>
      <c r="AU815" s="1">
        <f>$A815*$O815</f>
        <v>0</v>
      </c>
      <c r="AV815" s="1">
        <f>IF($R815=0,0,INT($A815/$R815))</f>
        <v>0</v>
      </c>
      <c r="AW815" s="1">
        <f>$A815-$AV815*$R815</f>
        <v>0</v>
      </c>
    </row>
    <row r="816" ht="21.95" customHeight="1" outlineLevel="3" s="1" customFormat="1">
      <c r="A816" s="15"/>
      <c r="B816" s="16">
        <v>690</v>
      </c>
      <c r="C816" s="17">
        <v>1035</v>
      </c>
      <c r="D816" s="16">
        <v>32336</v>
      </c>
      <c r="E816" s="18"/>
      <c r="F816" s="18" t="s">
        <v>643</v>
      </c>
      <c r="G816" s="18" t="s">
        <v>647</v>
      </c>
      <c r="H816" s="18" t="s">
        <v>86</v>
      </c>
      <c r="I816" s="18" t="s">
        <v>74</v>
      </c>
      <c r="J816" s="16">
        <v>2026</v>
      </c>
      <c r="K816" s="18" t="s">
        <v>648</v>
      </c>
      <c r="L816" s="16">
        <v>9785006301924</v>
      </c>
      <c r="M816" s="18" t="s">
        <v>649</v>
      </c>
      <c r="N816" s="16">
        <v>208</v>
      </c>
      <c r="O816" s="19">
        <v>0.36</v>
      </c>
      <c r="P816" s="16">
        <v>150</v>
      </c>
      <c r="Q816" s="16">
        <v>220</v>
      </c>
      <c r="R816" s="16">
        <v>16</v>
      </c>
      <c r="S816" s="18" t="s">
        <v>43</v>
      </c>
      <c r="T816" s="18"/>
      <c r="U816" s="17">
        <v>2000</v>
      </c>
      <c r="V816" s="18" t="s">
        <v>77</v>
      </c>
      <c r="W816" s="18" t="s">
        <v>184</v>
      </c>
      <c r="X816" s="16">
        <v>10</v>
      </c>
      <c r="Y816" s="43" t="str">
        <f>HYPERLINK("","")</f>
      </c>
      <c r="Z816" s="18" t="s">
        <v>98</v>
      </c>
      <c r="AS816" s="1">
        <f>IF($A816&lt;&gt;0,1,0)</f>
        <v>0</v>
      </c>
      <c r="AT816" s="1">
        <f>$A816*$B816</f>
        <v>0</v>
      </c>
      <c r="AU816" s="1">
        <f>$A816*$O816</f>
        <v>0</v>
      </c>
      <c r="AV816" s="1">
        <f>IF($R816=0,0,INT($A816/$R816))</f>
        <v>0</v>
      </c>
      <c r="AW816" s="1">
        <f>$A816-$AV816*$R816</f>
        <v>0</v>
      </c>
    </row>
    <row r="817" ht="24.95" customHeight="1" outlineLevel="3" s="1" customFormat="1">
      <c r="A817" s="15"/>
      <c r="B817" s="16">
        <v>890</v>
      </c>
      <c r="C817" s="17">
        <v>1246</v>
      </c>
      <c r="D817" s="16">
        <v>22623</v>
      </c>
      <c r="E817" s="18"/>
      <c r="F817" s="18" t="s">
        <v>2672</v>
      </c>
      <c r="G817" s="18" t="s">
        <v>2673</v>
      </c>
      <c r="H817" s="18" t="s">
        <v>95</v>
      </c>
      <c r="I817" s="18"/>
      <c r="J817" s="16">
        <v>2021</v>
      </c>
      <c r="K817" s="18" t="s">
        <v>2674</v>
      </c>
      <c r="L817" s="16">
        <v>9785907394612</v>
      </c>
      <c r="M817" s="18" t="s">
        <v>2675</v>
      </c>
      <c r="N817" s="16">
        <v>176</v>
      </c>
      <c r="O817" s="19">
        <v>0.31</v>
      </c>
      <c r="P817" s="16">
        <v>146</v>
      </c>
      <c r="Q817" s="16">
        <v>216</v>
      </c>
      <c r="R817" s="16">
        <v>12</v>
      </c>
      <c r="S817" s="18" t="s">
        <v>43</v>
      </c>
      <c r="T817" s="18"/>
      <c r="U817" s="17">
        <v>1500</v>
      </c>
      <c r="V817" s="18" t="s">
        <v>77</v>
      </c>
      <c r="W817" s="18" t="s">
        <v>91</v>
      </c>
      <c r="X817" s="16">
        <v>10</v>
      </c>
      <c r="Y817" s="43" t="str">
        <f>HYPERLINK("https://api-enni.alpina.ru/FilePrivilegesApproval/120","https://api-enni.alpina.ru/FilePrivilegesApproval/120")</f>
        <v>https://api-enni.alpina.ru/FilePrivilegesApproval/120</v>
      </c>
      <c r="Z817" s="18"/>
      <c r="AS817" s="1">
        <f>IF($A817&lt;&gt;0,1,0)</f>
        <v>0</v>
      </c>
      <c r="AT817" s="1">
        <f>$A817*$B817</f>
        <v>0</v>
      </c>
      <c r="AU817" s="1">
        <f>$A817*$O817</f>
        <v>0</v>
      </c>
      <c r="AV817" s="1">
        <f>IF($R817=0,0,INT($A817/$R817))</f>
        <v>0</v>
      </c>
      <c r="AW817" s="1">
        <f>$A817-$AV817*$R817</f>
        <v>0</v>
      </c>
    </row>
    <row r="818" ht="24.95" customHeight="1" outlineLevel="3" s="1" customFormat="1">
      <c r="A818" s="15"/>
      <c r="B818" s="16">
        <v>890</v>
      </c>
      <c r="C818" s="17">
        <v>1246</v>
      </c>
      <c r="D818" s="16">
        <v>37002</v>
      </c>
      <c r="E818" s="18"/>
      <c r="F818" s="18" t="s">
        <v>174</v>
      </c>
      <c r="G818" s="18" t="s">
        <v>175</v>
      </c>
      <c r="H818" s="18" t="s">
        <v>95</v>
      </c>
      <c r="I818" s="18"/>
      <c r="J818" s="16">
        <v>2026</v>
      </c>
      <c r="K818" s="18" t="s">
        <v>176</v>
      </c>
      <c r="L818" s="16">
        <v>9785002060160</v>
      </c>
      <c r="M818" s="18" t="s">
        <v>177</v>
      </c>
      <c r="N818" s="16">
        <v>352</v>
      </c>
      <c r="O818" s="19">
        <v>0.51</v>
      </c>
      <c r="P818" s="16">
        <v>150</v>
      </c>
      <c r="Q818" s="16">
        <v>220</v>
      </c>
      <c r="R818" s="16">
        <v>10</v>
      </c>
      <c r="S818" s="18" t="s">
        <v>43</v>
      </c>
      <c r="T818" s="18"/>
      <c r="U818" s="17">
        <v>1000</v>
      </c>
      <c r="V818" s="18" t="s">
        <v>77</v>
      </c>
      <c r="W818" s="18" t="s">
        <v>91</v>
      </c>
      <c r="X818" s="16">
        <v>10</v>
      </c>
      <c r="Y818" s="43" t="str">
        <f>HYPERLINK("https://api-enni.alpina.ru/FilePrivilegesApproval/1181","https://api-enni.alpina.ru/FilePrivilegesApproval/1181")</f>
        <v>https://api-enni.alpina.ru/FilePrivilegesApproval/1181</v>
      </c>
      <c r="Z818" s="18" t="s">
        <v>178</v>
      </c>
      <c r="AS818" s="1">
        <f>IF($A818&lt;&gt;0,1,0)</f>
        <v>0</v>
      </c>
      <c r="AT818" s="1">
        <f>$A818*$B818</f>
        <v>0</v>
      </c>
      <c r="AU818" s="1">
        <f>$A818*$O818</f>
        <v>0</v>
      </c>
      <c r="AV818" s="1">
        <f>IF($R818=0,0,INT($A818/$R818))</f>
        <v>0</v>
      </c>
      <c r="AW818" s="1">
        <f>$A818-$AV818*$R818</f>
        <v>0</v>
      </c>
    </row>
    <row r="819" ht="24.95" customHeight="1" outlineLevel="3" s="1" customFormat="1">
      <c r="A819" s="25"/>
      <c r="B819" s="26">
        <v>790</v>
      </c>
      <c r="C819" s="29">
        <v>1146</v>
      </c>
      <c r="D819" s="26">
        <v>29460</v>
      </c>
      <c r="E819" s="27"/>
      <c r="F819" s="27" t="s">
        <v>2676</v>
      </c>
      <c r="G819" s="27" t="s">
        <v>2677</v>
      </c>
      <c r="H819" s="27" t="s">
        <v>86</v>
      </c>
      <c r="I819" s="27" t="s">
        <v>74</v>
      </c>
      <c r="J819" s="26">
        <v>2025</v>
      </c>
      <c r="K819" s="27" t="s">
        <v>2678</v>
      </c>
      <c r="L819" s="26">
        <v>9785961492637</v>
      </c>
      <c r="M819" s="27" t="s">
        <v>2679</v>
      </c>
      <c r="N819" s="26">
        <v>352</v>
      </c>
      <c r="O819" s="28">
        <v>0.53</v>
      </c>
      <c r="P819" s="26">
        <v>150</v>
      </c>
      <c r="Q819" s="26">
        <v>220</v>
      </c>
      <c r="R819" s="26">
        <v>5</v>
      </c>
      <c r="S819" s="27" t="s">
        <v>43</v>
      </c>
      <c r="T819" s="27"/>
      <c r="U819" s="29">
        <v>1000</v>
      </c>
      <c r="V819" s="27" t="s">
        <v>77</v>
      </c>
      <c r="W819" s="27" t="s">
        <v>69</v>
      </c>
      <c r="X819" s="26">
        <v>10</v>
      </c>
      <c r="Y819" s="45" t="str">
        <f>HYPERLINK("https://api-enni.alpina.ru/FilePrivilegesApproval/700","https://api-enni.alpina.ru/FilePrivilegesApproval/700")</f>
        <v>https://api-enni.alpina.ru/FilePrivilegesApproval/700</v>
      </c>
      <c r="Z819" s="27"/>
      <c r="AS819" s="1">
        <f>IF($A819&lt;&gt;0,1,0)</f>
        <v>0</v>
      </c>
      <c r="AT819" s="1">
        <f>$A819*$B819</f>
        <v>0</v>
      </c>
      <c r="AU819" s="1">
        <f>$A819*$O819</f>
        <v>0</v>
      </c>
      <c r="AV819" s="1">
        <f>IF($R819=0,0,INT($A819/$R819))</f>
        <v>0</v>
      </c>
      <c r="AW819" s="1">
        <f>$A819-$AV819*$R819</f>
        <v>0</v>
      </c>
    </row>
    <row r="820" ht="24.95" customHeight="1" outlineLevel="3" s="1" customFormat="1">
      <c r="A820" s="15"/>
      <c r="B820" s="16">
        <v>490</v>
      </c>
      <c r="C820" s="16">
        <v>760</v>
      </c>
      <c r="D820" s="16">
        <v>36924</v>
      </c>
      <c r="E820" s="18"/>
      <c r="F820" s="18" t="s">
        <v>256</v>
      </c>
      <c r="G820" s="18" t="s">
        <v>261</v>
      </c>
      <c r="H820" s="18" t="s">
        <v>86</v>
      </c>
      <c r="I820" s="18"/>
      <c r="J820" s="16">
        <v>2026</v>
      </c>
      <c r="K820" s="18" t="s">
        <v>262</v>
      </c>
      <c r="L820" s="16">
        <v>9785006318380</v>
      </c>
      <c r="M820" s="18" t="s">
        <v>263</v>
      </c>
      <c r="N820" s="16">
        <v>221</v>
      </c>
      <c r="O820" s="19">
        <v>0.24</v>
      </c>
      <c r="P820" s="16">
        <v>130</v>
      </c>
      <c r="Q820" s="16">
        <v>200</v>
      </c>
      <c r="R820" s="16">
        <v>20</v>
      </c>
      <c r="S820" s="18" t="s">
        <v>90</v>
      </c>
      <c r="T820" s="18" t="s">
        <v>260</v>
      </c>
      <c r="U820" s="17">
        <v>5000</v>
      </c>
      <c r="V820" s="18" t="s">
        <v>44</v>
      </c>
      <c r="W820" s="18" t="s">
        <v>91</v>
      </c>
      <c r="X820" s="16">
        <v>10</v>
      </c>
      <c r="Y820" s="43" t="str">
        <f>HYPERLINK("https://api-enni.alpina.ru/FilePrivilegesApproval/1189","https://api-enni.alpina.ru/FilePrivilegesApproval/1189")</f>
        <v>https://api-enni.alpina.ru/FilePrivilegesApproval/1189</v>
      </c>
      <c r="Z820" s="18" t="s">
        <v>78</v>
      </c>
      <c r="AS820" s="1">
        <f>IF($A820&lt;&gt;0,1,0)</f>
        <v>0</v>
      </c>
      <c r="AT820" s="1">
        <f>$A820*$B820</f>
        <v>0</v>
      </c>
      <c r="AU820" s="1">
        <f>$A820*$O820</f>
        <v>0</v>
      </c>
      <c r="AV820" s="1">
        <f>IF($R820=0,0,INT($A820/$R820))</f>
        <v>0</v>
      </c>
      <c r="AW820" s="1">
        <f>$A820-$AV820*$R820</f>
        <v>0</v>
      </c>
    </row>
    <row r="821" ht="24.95" customHeight="1" outlineLevel="3" s="1" customFormat="1">
      <c r="A821" s="15"/>
      <c r="B821" s="16">
        <v>540</v>
      </c>
      <c r="C821" s="16">
        <v>837</v>
      </c>
      <c r="D821" s="16">
        <v>4882</v>
      </c>
      <c r="E821" s="18"/>
      <c r="F821" s="18" t="s">
        <v>2680</v>
      </c>
      <c r="G821" s="18" t="s">
        <v>2681</v>
      </c>
      <c r="H821" s="18" t="s">
        <v>95</v>
      </c>
      <c r="I821" s="18"/>
      <c r="J821" s="16">
        <v>2026</v>
      </c>
      <c r="K821" s="18" t="s">
        <v>2682</v>
      </c>
      <c r="L821" s="16">
        <v>9785907470187</v>
      </c>
      <c r="M821" s="18" t="s">
        <v>2683</v>
      </c>
      <c r="N821" s="16">
        <v>216</v>
      </c>
      <c r="O821" s="19">
        <v>0.67</v>
      </c>
      <c r="P821" s="16">
        <v>153</v>
      </c>
      <c r="Q821" s="16">
        <v>216</v>
      </c>
      <c r="R821" s="16">
        <v>10</v>
      </c>
      <c r="S821" s="18" t="s">
        <v>43</v>
      </c>
      <c r="T821" s="18"/>
      <c r="U821" s="17">
        <v>1000</v>
      </c>
      <c r="V821" s="18" t="s">
        <v>77</v>
      </c>
      <c r="W821" s="18" t="s">
        <v>184</v>
      </c>
      <c r="X821" s="16">
        <v>10</v>
      </c>
      <c r="Y821" s="43" t="str">
        <f>HYPERLINK("https://api-enni.alpina.ru/FilePrivilegesApproval/2","https://api-enni.alpina.ru/FilePrivilegesApproval/2")</f>
        <v>https://api-enni.alpina.ru/FilePrivilegesApproval/2</v>
      </c>
      <c r="Z821" s="18" t="s">
        <v>1220</v>
      </c>
      <c r="AS821" s="1">
        <f>IF($A821&lt;&gt;0,1,0)</f>
        <v>0</v>
      </c>
      <c r="AT821" s="1">
        <f>$A821*$B821</f>
        <v>0</v>
      </c>
      <c r="AU821" s="1">
        <f>$A821*$O821</f>
        <v>0</v>
      </c>
      <c r="AV821" s="1">
        <f>IF($R821=0,0,INT($A821/$R821))</f>
        <v>0</v>
      </c>
      <c r="AW821" s="1">
        <f>$A821-$AV821*$R821</f>
        <v>0</v>
      </c>
    </row>
    <row r="822" ht="24.95" customHeight="1" outlineLevel="3" s="1" customFormat="1">
      <c r="A822" s="25"/>
      <c r="B822" s="26">
        <v>740</v>
      </c>
      <c r="C822" s="29">
        <v>1073</v>
      </c>
      <c r="D822" s="26">
        <v>24320</v>
      </c>
      <c r="E822" s="27"/>
      <c r="F822" s="27" t="s">
        <v>174</v>
      </c>
      <c r="G822" s="27" t="s">
        <v>2684</v>
      </c>
      <c r="H822" s="27" t="s">
        <v>95</v>
      </c>
      <c r="I822" s="27"/>
      <c r="J822" s="26">
        <v>2025</v>
      </c>
      <c r="K822" s="27" t="s">
        <v>2685</v>
      </c>
      <c r="L822" s="26">
        <v>9785907534285</v>
      </c>
      <c r="M822" s="27" t="s">
        <v>2686</v>
      </c>
      <c r="N822" s="26">
        <v>192</v>
      </c>
      <c r="O822" s="28">
        <v>0.34</v>
      </c>
      <c r="P822" s="26">
        <v>160</v>
      </c>
      <c r="Q822" s="26">
        <v>220</v>
      </c>
      <c r="R822" s="26">
        <v>20</v>
      </c>
      <c r="S822" s="27" t="s">
        <v>43</v>
      </c>
      <c r="T822" s="27"/>
      <c r="U822" s="29">
        <v>1000</v>
      </c>
      <c r="V822" s="27" t="s">
        <v>77</v>
      </c>
      <c r="W822" s="27" t="s">
        <v>91</v>
      </c>
      <c r="X822" s="26">
        <v>10</v>
      </c>
      <c r="Y822" s="45" t="str">
        <f>HYPERLINK("https://api-enni.alpina.ru/FilePrivilegesApproval/275","https://api-enni.alpina.ru/FilePrivilegesApproval/275")</f>
        <v>https://api-enni.alpina.ru/FilePrivilegesApproval/275</v>
      </c>
      <c r="Z822" s="27" t="s">
        <v>545</v>
      </c>
      <c r="AS822" s="1">
        <f>IF($A822&lt;&gt;0,1,0)</f>
        <v>0</v>
      </c>
      <c r="AT822" s="1">
        <f>$A822*$B822</f>
        <v>0</v>
      </c>
      <c r="AU822" s="1">
        <f>$A822*$O822</f>
        <v>0</v>
      </c>
      <c r="AV822" s="1">
        <f>IF($R822=0,0,INT($A822/$R822))</f>
        <v>0</v>
      </c>
      <c r="AW822" s="1">
        <f>$A822-$AV822*$R822</f>
        <v>0</v>
      </c>
    </row>
    <row r="823" ht="24.95" customHeight="1" outlineLevel="3" s="1" customFormat="1">
      <c r="A823" s="15"/>
      <c r="B823" s="16">
        <v>990</v>
      </c>
      <c r="C823" s="17">
        <v>1386</v>
      </c>
      <c r="D823" s="16">
        <v>5058</v>
      </c>
      <c r="E823" s="18"/>
      <c r="F823" s="18" t="s">
        <v>2661</v>
      </c>
      <c r="G823" s="18" t="s">
        <v>2687</v>
      </c>
      <c r="H823" s="18" t="s">
        <v>86</v>
      </c>
      <c r="I823" s="18" t="s">
        <v>74</v>
      </c>
      <c r="J823" s="16">
        <v>2026</v>
      </c>
      <c r="K823" s="18" t="s">
        <v>2688</v>
      </c>
      <c r="L823" s="16">
        <v>9785961471281</v>
      </c>
      <c r="M823" s="18" t="s">
        <v>2689</v>
      </c>
      <c r="N823" s="16">
        <v>385</v>
      </c>
      <c r="O823" s="19">
        <v>0.74</v>
      </c>
      <c r="P823" s="16">
        <v>170</v>
      </c>
      <c r="Q823" s="16">
        <v>240</v>
      </c>
      <c r="R823" s="16">
        <v>6</v>
      </c>
      <c r="S823" s="18" t="s">
        <v>123</v>
      </c>
      <c r="T823" s="18"/>
      <c r="U823" s="17">
        <v>1500</v>
      </c>
      <c r="V823" s="18" t="s">
        <v>77</v>
      </c>
      <c r="W823" s="18" t="s">
        <v>184</v>
      </c>
      <c r="X823" s="16">
        <v>10</v>
      </c>
      <c r="Y823" s="43" t="str">
        <f>HYPERLINK("https://api-enni.alpina.ru/FilePrivilegesApproval/2","https://api-enni.alpina.ru/FilePrivilegesApproval/2")</f>
        <v>https://api-enni.alpina.ru/FilePrivilegesApproval/2</v>
      </c>
      <c r="Z823" s="18" t="s">
        <v>113</v>
      </c>
      <c r="AS823" s="1">
        <f>IF($A823&lt;&gt;0,1,0)</f>
        <v>0</v>
      </c>
      <c r="AT823" s="1">
        <f>$A823*$B823</f>
        <v>0</v>
      </c>
      <c r="AU823" s="1">
        <f>$A823*$O823</f>
        <v>0</v>
      </c>
      <c r="AV823" s="1">
        <f>IF($R823=0,0,INT($A823/$R823))</f>
        <v>0</v>
      </c>
      <c r="AW823" s="1">
        <f>$A823-$AV823*$R823</f>
        <v>0</v>
      </c>
    </row>
    <row r="824" ht="24.95" customHeight="1" outlineLevel="3" s="1" customFormat="1">
      <c r="A824" s="15"/>
      <c r="B824" s="16">
        <v>690</v>
      </c>
      <c r="C824" s="17">
        <v>1035</v>
      </c>
      <c r="D824" s="16">
        <v>8317</v>
      </c>
      <c r="E824" s="18"/>
      <c r="F824" s="18" t="s">
        <v>654</v>
      </c>
      <c r="G824" s="18" t="s">
        <v>2690</v>
      </c>
      <c r="H824" s="18" t="s">
        <v>86</v>
      </c>
      <c r="I824" s="18"/>
      <c r="J824" s="16">
        <v>2026</v>
      </c>
      <c r="K824" s="18" t="s">
        <v>2691</v>
      </c>
      <c r="L824" s="16">
        <v>9785961466690</v>
      </c>
      <c r="M824" s="18" t="s">
        <v>2692</v>
      </c>
      <c r="N824" s="16">
        <v>140</v>
      </c>
      <c r="O824" s="19">
        <v>0.29</v>
      </c>
      <c r="P824" s="16">
        <v>153</v>
      </c>
      <c r="Q824" s="16">
        <v>216</v>
      </c>
      <c r="R824" s="16">
        <v>10</v>
      </c>
      <c r="S824" s="18" t="s">
        <v>43</v>
      </c>
      <c r="T824" s="18"/>
      <c r="U824" s="17">
        <v>1000</v>
      </c>
      <c r="V824" s="18" t="s">
        <v>77</v>
      </c>
      <c r="W824" s="18" t="s">
        <v>184</v>
      </c>
      <c r="X824" s="16">
        <v>10</v>
      </c>
      <c r="Y824" s="43" t="str">
        <f>HYPERLINK("https://api-enni.alpina.ru/FilePrivilegesApproval/156","https://api-enni.alpina.ru/FilePrivilegesApproval/156")</f>
        <v>https://api-enni.alpina.ru/FilePrivilegesApproval/156</v>
      </c>
      <c r="Z824" s="18"/>
      <c r="AS824" s="1">
        <f>IF($A824&lt;&gt;0,1,0)</f>
        <v>0</v>
      </c>
      <c r="AT824" s="1">
        <f>$A824*$B824</f>
        <v>0</v>
      </c>
      <c r="AU824" s="1">
        <f>$A824*$O824</f>
        <v>0</v>
      </c>
      <c r="AV824" s="1">
        <f>IF($R824=0,0,INT($A824/$R824))</f>
        <v>0</v>
      </c>
      <c r="AW824" s="1">
        <f>$A824-$AV824*$R824</f>
        <v>0</v>
      </c>
    </row>
    <row r="825" ht="11.1" customHeight="1" outlineLevel="2">
      <c r="A825" s="41" t="s">
        <v>2693</v>
      </c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24"/>
    </row>
    <row r="826" ht="24.95" customHeight="1" outlineLevel="3" s="1" customFormat="1">
      <c r="A826" s="15"/>
      <c r="B826" s="16">
        <v>340</v>
      </c>
      <c r="C826" s="16">
        <v>544</v>
      </c>
      <c r="D826" s="16">
        <v>12405</v>
      </c>
      <c r="E826" s="18"/>
      <c r="F826" s="18" t="s">
        <v>2694</v>
      </c>
      <c r="G826" s="18" t="s">
        <v>2695</v>
      </c>
      <c r="H826" s="18" t="s">
        <v>86</v>
      </c>
      <c r="I826" s="18" t="s">
        <v>74</v>
      </c>
      <c r="J826" s="16">
        <v>2025</v>
      </c>
      <c r="K826" s="18" t="s">
        <v>2696</v>
      </c>
      <c r="L826" s="16">
        <v>9785961425185</v>
      </c>
      <c r="M826" s="18" t="s">
        <v>2697</v>
      </c>
      <c r="N826" s="16">
        <v>262</v>
      </c>
      <c r="O826" s="19">
        <v>0.15</v>
      </c>
      <c r="P826" s="16">
        <v>120</v>
      </c>
      <c r="Q826" s="16">
        <v>170</v>
      </c>
      <c r="R826" s="16">
        <v>40</v>
      </c>
      <c r="S826" s="18" t="s">
        <v>190</v>
      </c>
      <c r="T826" s="18" t="s">
        <v>451</v>
      </c>
      <c r="U826" s="17">
        <v>2000</v>
      </c>
      <c r="V826" s="18" t="s">
        <v>44</v>
      </c>
      <c r="W826" s="18" t="s">
        <v>184</v>
      </c>
      <c r="X826" s="16">
        <v>10</v>
      </c>
      <c r="Y826" s="43" t="str">
        <f>HYPERLINK("https://api-enni.alpina.ru/FilePrivilegesApproval/157","https://api-enni.alpina.ru/FilePrivilegesApproval/157")</f>
        <v>https://api-enni.alpina.ru/FilePrivilegesApproval/157</v>
      </c>
      <c r="Z826" s="18"/>
      <c r="AS826" s="1">
        <f>IF($A826&lt;&gt;0,1,0)</f>
        <v>0</v>
      </c>
      <c r="AT826" s="1">
        <f>$A826*$B826</f>
        <v>0</v>
      </c>
      <c r="AU826" s="1">
        <f>$A826*$O826</f>
        <v>0</v>
      </c>
      <c r="AV826" s="1">
        <f>IF($R826=0,0,INT($A826/$R826))</f>
        <v>0</v>
      </c>
      <c r="AW826" s="1">
        <f>$A826-$AV826*$R826</f>
        <v>0</v>
      </c>
    </row>
    <row r="827" ht="24.95" customHeight="1" outlineLevel="3" s="1" customFormat="1">
      <c r="A827" s="15"/>
      <c r="B827" s="16">
        <v>340</v>
      </c>
      <c r="C827" s="16">
        <v>544</v>
      </c>
      <c r="D827" s="16">
        <v>12081</v>
      </c>
      <c r="E827" s="18"/>
      <c r="F827" s="18" t="s">
        <v>447</v>
      </c>
      <c r="G827" s="18" t="s">
        <v>448</v>
      </c>
      <c r="H827" s="18" t="s">
        <v>86</v>
      </c>
      <c r="I827" s="18" t="s">
        <v>74</v>
      </c>
      <c r="J827" s="16">
        <v>2026</v>
      </c>
      <c r="K827" s="18" t="s">
        <v>449</v>
      </c>
      <c r="L827" s="16">
        <v>9785961421330</v>
      </c>
      <c r="M827" s="18" t="s">
        <v>450</v>
      </c>
      <c r="N827" s="16">
        <v>243</v>
      </c>
      <c r="O827" s="19">
        <v>0.17</v>
      </c>
      <c r="P827" s="16">
        <v>120</v>
      </c>
      <c r="Q827" s="16">
        <v>170</v>
      </c>
      <c r="R827" s="16">
        <v>14</v>
      </c>
      <c r="S827" s="18" t="s">
        <v>190</v>
      </c>
      <c r="T827" s="18" t="s">
        <v>451</v>
      </c>
      <c r="U827" s="17">
        <v>4000</v>
      </c>
      <c r="V827" s="18" t="s">
        <v>44</v>
      </c>
      <c r="W827" s="18" t="s">
        <v>184</v>
      </c>
      <c r="X827" s="16">
        <v>10</v>
      </c>
      <c r="Y827" s="43" t="str">
        <f>HYPERLINK("https://api-enni.alpina.ru/FilePrivilegesApproval/121","https://api-enni.alpina.ru/FilePrivilegesApproval/121")</f>
        <v>https://api-enni.alpina.ru/FilePrivilegesApproval/121</v>
      </c>
      <c r="Z827" s="18"/>
      <c r="AS827" s="1">
        <f>IF($A827&lt;&gt;0,1,0)</f>
        <v>0</v>
      </c>
      <c r="AT827" s="1">
        <f>$A827*$B827</f>
        <v>0</v>
      </c>
      <c r="AU827" s="1">
        <f>$A827*$O827</f>
        <v>0</v>
      </c>
      <c r="AV827" s="1">
        <f>IF($R827=0,0,INT($A827/$R827))</f>
        <v>0</v>
      </c>
      <c r="AW827" s="1">
        <f>$A827-$AV827*$R827</f>
        <v>0</v>
      </c>
    </row>
    <row r="828" ht="24.95" customHeight="1" outlineLevel="3" s="1" customFormat="1">
      <c r="A828" s="15"/>
      <c r="B828" s="16">
        <v>340</v>
      </c>
      <c r="C828" s="16">
        <v>544</v>
      </c>
      <c r="D828" s="16">
        <v>16033</v>
      </c>
      <c r="E828" s="18"/>
      <c r="F828" s="18" t="s">
        <v>2203</v>
      </c>
      <c r="G828" s="18" t="s">
        <v>2698</v>
      </c>
      <c r="H828" s="18" t="s">
        <v>86</v>
      </c>
      <c r="I828" s="18" t="s">
        <v>74</v>
      </c>
      <c r="J828" s="16">
        <v>2025</v>
      </c>
      <c r="K828" s="18" t="s">
        <v>2699</v>
      </c>
      <c r="L828" s="16">
        <v>9785961428889</v>
      </c>
      <c r="M828" s="18" t="s">
        <v>2700</v>
      </c>
      <c r="N828" s="16">
        <v>304</v>
      </c>
      <c r="O828" s="19">
        <v>0.19</v>
      </c>
      <c r="P828" s="16">
        <v>115</v>
      </c>
      <c r="Q828" s="16">
        <v>165</v>
      </c>
      <c r="R828" s="16">
        <v>20</v>
      </c>
      <c r="S828" s="18" t="s">
        <v>190</v>
      </c>
      <c r="T828" s="18" t="s">
        <v>451</v>
      </c>
      <c r="U828" s="17">
        <v>3000</v>
      </c>
      <c r="V828" s="18" t="s">
        <v>44</v>
      </c>
      <c r="W828" s="18" t="s">
        <v>184</v>
      </c>
      <c r="X828" s="16">
        <v>10</v>
      </c>
      <c r="Y828" s="43" t="str">
        <f>HYPERLINK("https://api-enni.alpina.ru/FilePrivilegesApproval/121","https://api-enni.alpina.ru/FilePrivilegesApproval/121")</f>
        <v>https://api-enni.alpina.ru/FilePrivilegesApproval/121</v>
      </c>
      <c r="Z828" s="18"/>
      <c r="AS828" s="1">
        <f>IF($A828&lt;&gt;0,1,0)</f>
        <v>0</v>
      </c>
      <c r="AT828" s="1">
        <f>$A828*$B828</f>
        <v>0</v>
      </c>
      <c r="AU828" s="1">
        <f>$A828*$O828</f>
        <v>0</v>
      </c>
      <c r="AV828" s="1">
        <f>IF($R828=0,0,INT($A828/$R828))</f>
        <v>0</v>
      </c>
      <c r="AW828" s="1">
        <f>$A828-$AV828*$R828</f>
        <v>0</v>
      </c>
    </row>
    <row r="829" ht="24.95" customHeight="1" outlineLevel="3" s="1" customFormat="1">
      <c r="A829" s="15"/>
      <c r="B829" s="16">
        <v>340</v>
      </c>
      <c r="C829" s="16">
        <v>544</v>
      </c>
      <c r="D829" s="16">
        <v>12728</v>
      </c>
      <c r="E829" s="18"/>
      <c r="F829" s="18" t="s">
        <v>2087</v>
      </c>
      <c r="G829" s="18" t="s">
        <v>2701</v>
      </c>
      <c r="H829" s="18" t="s">
        <v>86</v>
      </c>
      <c r="I829" s="18" t="s">
        <v>74</v>
      </c>
      <c r="J829" s="16">
        <v>2025</v>
      </c>
      <c r="K829" s="18" t="s">
        <v>2702</v>
      </c>
      <c r="L829" s="16">
        <v>9785961426823</v>
      </c>
      <c r="M829" s="18" t="s">
        <v>2703</v>
      </c>
      <c r="N829" s="16">
        <v>288</v>
      </c>
      <c r="O829" s="19">
        <v>0.19</v>
      </c>
      <c r="P829" s="16">
        <v>115</v>
      </c>
      <c r="Q829" s="16">
        <v>165</v>
      </c>
      <c r="R829" s="16">
        <v>12</v>
      </c>
      <c r="S829" s="18" t="s">
        <v>190</v>
      </c>
      <c r="T829" s="18" t="s">
        <v>451</v>
      </c>
      <c r="U829" s="17">
        <v>5000</v>
      </c>
      <c r="V829" s="18" t="s">
        <v>44</v>
      </c>
      <c r="W829" s="18" t="s">
        <v>184</v>
      </c>
      <c r="X829" s="16">
        <v>10</v>
      </c>
      <c r="Y829" s="43" t="str">
        <f>HYPERLINK("https://api-enni.alpina.ru/FilePrivilegesApproval/128","https://api-enni.alpina.ru/FilePrivilegesApproval/128")</f>
        <v>https://api-enni.alpina.ru/FilePrivilegesApproval/128</v>
      </c>
      <c r="Z829" s="18"/>
      <c r="AS829" s="1">
        <f>IF($A829&lt;&gt;0,1,0)</f>
        <v>0</v>
      </c>
      <c r="AT829" s="1">
        <f>$A829*$B829</f>
        <v>0</v>
      </c>
      <c r="AU829" s="1">
        <f>$A829*$O829</f>
        <v>0</v>
      </c>
      <c r="AV829" s="1">
        <f>IF($R829=0,0,INT($A829/$R829))</f>
        <v>0</v>
      </c>
      <c r="AW829" s="1">
        <f>$A829-$AV829*$R829</f>
        <v>0</v>
      </c>
    </row>
    <row r="830" ht="24.95" customHeight="1" outlineLevel="3" s="1" customFormat="1">
      <c r="A830" s="15"/>
      <c r="B830" s="16">
        <v>690</v>
      </c>
      <c r="C830" s="17">
        <v>1035</v>
      </c>
      <c r="D830" s="16">
        <v>6590</v>
      </c>
      <c r="E830" s="18"/>
      <c r="F830" s="18" t="s">
        <v>2087</v>
      </c>
      <c r="G830" s="18" t="s">
        <v>2704</v>
      </c>
      <c r="H830" s="18" t="s">
        <v>86</v>
      </c>
      <c r="I830" s="18" t="s">
        <v>74</v>
      </c>
      <c r="J830" s="16">
        <v>2025</v>
      </c>
      <c r="K830" s="18" t="s">
        <v>2705</v>
      </c>
      <c r="L830" s="16">
        <v>9785961469677</v>
      </c>
      <c r="M830" s="18" t="s">
        <v>2706</v>
      </c>
      <c r="N830" s="16">
        <v>240</v>
      </c>
      <c r="O830" s="19">
        <v>0.39</v>
      </c>
      <c r="P830" s="16">
        <v>150</v>
      </c>
      <c r="Q830" s="16">
        <v>220</v>
      </c>
      <c r="R830" s="16">
        <v>16</v>
      </c>
      <c r="S830" s="18" t="s">
        <v>43</v>
      </c>
      <c r="T830" s="18"/>
      <c r="U830" s="17">
        <v>2000</v>
      </c>
      <c r="V830" s="18" t="s">
        <v>77</v>
      </c>
      <c r="W830" s="18" t="s">
        <v>184</v>
      </c>
      <c r="X830" s="16">
        <v>10</v>
      </c>
      <c r="Y830" s="43" t="str">
        <f>HYPERLINK("https://api-enni.alpina.ru/FilePrivilegesApproval/2","https://api-enni.alpina.ru/FilePrivilegesApproval/2")</f>
        <v>https://api-enni.alpina.ru/FilePrivilegesApproval/2</v>
      </c>
      <c r="Z830" s="18"/>
      <c r="AS830" s="1">
        <f>IF($A830&lt;&gt;0,1,0)</f>
        <v>0</v>
      </c>
      <c r="AT830" s="1">
        <f>$A830*$B830</f>
        <v>0</v>
      </c>
      <c r="AU830" s="1">
        <f>$A830*$O830</f>
        <v>0</v>
      </c>
      <c r="AV830" s="1">
        <f>IF($R830=0,0,INT($A830/$R830))</f>
        <v>0</v>
      </c>
      <c r="AW830" s="1">
        <f>$A830-$AV830*$R830</f>
        <v>0</v>
      </c>
    </row>
    <row r="831" ht="24.95" customHeight="1" outlineLevel="3" s="1" customFormat="1">
      <c r="A831" s="15"/>
      <c r="B831" s="16">
        <v>440</v>
      </c>
      <c r="C831" s="16">
        <v>682</v>
      </c>
      <c r="D831" s="16">
        <v>12092</v>
      </c>
      <c r="E831" s="18"/>
      <c r="F831" s="18" t="s">
        <v>2707</v>
      </c>
      <c r="G831" s="18" t="s">
        <v>2708</v>
      </c>
      <c r="H831" s="18" t="s">
        <v>73</v>
      </c>
      <c r="I831" s="18" t="s">
        <v>74</v>
      </c>
      <c r="J831" s="16">
        <v>2026</v>
      </c>
      <c r="K831" s="18" t="s">
        <v>2709</v>
      </c>
      <c r="L831" s="16">
        <v>9785001390992</v>
      </c>
      <c r="M831" s="18" t="s">
        <v>2710</v>
      </c>
      <c r="N831" s="16">
        <v>416</v>
      </c>
      <c r="O831" s="19">
        <v>0.27</v>
      </c>
      <c r="P831" s="16">
        <v>120</v>
      </c>
      <c r="Q831" s="16">
        <v>170</v>
      </c>
      <c r="R831" s="16">
        <v>14</v>
      </c>
      <c r="S831" s="18" t="s">
        <v>190</v>
      </c>
      <c r="T831" s="18" t="s">
        <v>451</v>
      </c>
      <c r="U831" s="17">
        <v>1976</v>
      </c>
      <c r="V831" s="18" t="s">
        <v>44</v>
      </c>
      <c r="W831" s="18" t="s">
        <v>184</v>
      </c>
      <c r="X831" s="16">
        <v>10</v>
      </c>
      <c r="Y831" s="43" t="str">
        <f>HYPERLINK("https://api-enni.alpina.ru/FilePrivilegesApproval/147","https://api-enni.alpina.ru/FilePrivilegesApproval/147")</f>
        <v>https://api-enni.alpina.ru/FilePrivilegesApproval/147</v>
      </c>
      <c r="Z831" s="18"/>
      <c r="AS831" s="1">
        <f>IF($A831&lt;&gt;0,1,0)</f>
        <v>0</v>
      </c>
      <c r="AT831" s="1">
        <f>$A831*$B831</f>
        <v>0</v>
      </c>
      <c r="AU831" s="1">
        <f>$A831*$O831</f>
        <v>0</v>
      </c>
      <c r="AV831" s="1">
        <f>IF($R831=0,0,INT($A831/$R831))</f>
        <v>0</v>
      </c>
      <c r="AW831" s="1">
        <f>$A831-$AV831*$R831</f>
        <v>0</v>
      </c>
    </row>
    <row r="832" ht="24.95" customHeight="1" outlineLevel="3" s="1" customFormat="1">
      <c r="A832" s="15"/>
      <c r="B832" s="16">
        <v>340</v>
      </c>
      <c r="C832" s="16">
        <v>544</v>
      </c>
      <c r="D832" s="16">
        <v>26941</v>
      </c>
      <c r="E832" s="18"/>
      <c r="F832" s="18" t="s">
        <v>1582</v>
      </c>
      <c r="G832" s="18" t="s">
        <v>2711</v>
      </c>
      <c r="H832" s="18" t="s">
        <v>86</v>
      </c>
      <c r="I832" s="18" t="s">
        <v>74</v>
      </c>
      <c r="J832" s="16">
        <v>2025</v>
      </c>
      <c r="K832" s="18" t="s">
        <v>2712</v>
      </c>
      <c r="L832" s="16">
        <v>9785961483413</v>
      </c>
      <c r="M832" s="18" t="s">
        <v>2713</v>
      </c>
      <c r="N832" s="16">
        <v>336</v>
      </c>
      <c r="O832" s="19">
        <v>0.26</v>
      </c>
      <c r="P832" s="16">
        <v>120</v>
      </c>
      <c r="Q832" s="16">
        <v>170</v>
      </c>
      <c r="R832" s="16">
        <v>10</v>
      </c>
      <c r="S832" s="18" t="s">
        <v>190</v>
      </c>
      <c r="T832" s="18" t="s">
        <v>451</v>
      </c>
      <c r="U832" s="17">
        <v>6000</v>
      </c>
      <c r="V832" s="18" t="s">
        <v>44</v>
      </c>
      <c r="W832" s="18" t="s">
        <v>69</v>
      </c>
      <c r="X832" s="16">
        <v>10</v>
      </c>
      <c r="Y832" s="43" t="str">
        <f>HYPERLINK("https://api-enni.alpina.ru/FilePrivilegesApproval/163","https://api-enni.alpina.ru/FilePrivilegesApproval/163")</f>
        <v>https://api-enni.alpina.ru/FilePrivilegesApproval/163</v>
      </c>
      <c r="Z832" s="18"/>
      <c r="AS832" s="1">
        <f>IF($A832&lt;&gt;0,1,0)</f>
        <v>0</v>
      </c>
      <c r="AT832" s="1">
        <f>$A832*$B832</f>
        <v>0</v>
      </c>
      <c r="AU832" s="1">
        <f>$A832*$O832</f>
        <v>0</v>
      </c>
      <c r="AV832" s="1">
        <f>IF($R832=0,0,INT($A832/$R832))</f>
        <v>0</v>
      </c>
      <c r="AW832" s="1">
        <f>$A832-$AV832*$R832</f>
        <v>0</v>
      </c>
    </row>
    <row r="833" ht="24.95" customHeight="1" outlineLevel="3" s="1" customFormat="1">
      <c r="A833" s="15"/>
      <c r="B833" s="16">
        <v>390</v>
      </c>
      <c r="C833" s="16">
        <v>624</v>
      </c>
      <c r="D833" s="16">
        <v>11078</v>
      </c>
      <c r="E833" s="18"/>
      <c r="F833" s="18" t="s">
        <v>469</v>
      </c>
      <c r="G833" s="18" t="s">
        <v>2714</v>
      </c>
      <c r="H833" s="18" t="s">
        <v>86</v>
      </c>
      <c r="I833" s="18" t="s">
        <v>74</v>
      </c>
      <c r="J833" s="16">
        <v>2023</v>
      </c>
      <c r="K833" s="18" t="s">
        <v>2715</v>
      </c>
      <c r="L833" s="16">
        <v>9785961411041</v>
      </c>
      <c r="M833" s="18" t="s">
        <v>2716</v>
      </c>
      <c r="N833" s="16">
        <v>576</v>
      </c>
      <c r="O833" s="19">
        <v>0.37</v>
      </c>
      <c r="P833" s="16">
        <v>120</v>
      </c>
      <c r="Q833" s="16">
        <v>170</v>
      </c>
      <c r="R833" s="16">
        <v>6</v>
      </c>
      <c r="S833" s="18" t="s">
        <v>190</v>
      </c>
      <c r="T833" s="18" t="s">
        <v>451</v>
      </c>
      <c r="U833" s="17">
        <v>4000</v>
      </c>
      <c r="V833" s="18" t="s">
        <v>44</v>
      </c>
      <c r="W833" s="18" t="s">
        <v>184</v>
      </c>
      <c r="X833" s="16">
        <v>10</v>
      </c>
      <c r="Y833" s="43" t="str">
        <f>HYPERLINK("https://api-enni.alpina.ru/FilePrivilegesApproval/152","https://api-enni.alpina.ru/FilePrivilegesApproval/152")</f>
        <v>https://api-enni.alpina.ru/FilePrivilegesApproval/152</v>
      </c>
      <c r="Z833" s="18"/>
      <c r="AS833" s="1">
        <f>IF($A833&lt;&gt;0,1,0)</f>
        <v>0</v>
      </c>
      <c r="AT833" s="1">
        <f>$A833*$B833</f>
        <v>0</v>
      </c>
      <c r="AU833" s="1">
        <f>$A833*$O833</f>
        <v>0</v>
      </c>
      <c r="AV833" s="1">
        <f>IF($R833=0,0,INT($A833/$R833))</f>
        <v>0</v>
      </c>
      <c r="AW833" s="1">
        <f>$A833-$AV833*$R833</f>
        <v>0</v>
      </c>
    </row>
    <row r="834" ht="24.95" customHeight="1" outlineLevel="3" s="1" customFormat="1">
      <c r="A834" s="15"/>
      <c r="B834" s="16">
        <v>440</v>
      </c>
      <c r="C834" s="16">
        <v>682</v>
      </c>
      <c r="D834" s="16">
        <v>31029</v>
      </c>
      <c r="E834" s="18"/>
      <c r="F834" s="18" t="s">
        <v>2717</v>
      </c>
      <c r="G834" s="18" t="s">
        <v>2718</v>
      </c>
      <c r="H834" s="18" t="s">
        <v>86</v>
      </c>
      <c r="I834" s="18" t="s">
        <v>74</v>
      </c>
      <c r="J834" s="16">
        <v>2026</v>
      </c>
      <c r="K834" s="18" t="s">
        <v>2719</v>
      </c>
      <c r="L834" s="16">
        <v>9785961497236</v>
      </c>
      <c r="M834" s="18" t="s">
        <v>2720</v>
      </c>
      <c r="N834" s="16">
        <v>540</v>
      </c>
      <c r="O834" s="19">
        <v>0.35</v>
      </c>
      <c r="P834" s="16">
        <v>120</v>
      </c>
      <c r="Q834" s="16">
        <v>170</v>
      </c>
      <c r="R834" s="16">
        <v>8</v>
      </c>
      <c r="S834" s="18" t="s">
        <v>190</v>
      </c>
      <c r="T834" s="18" t="s">
        <v>451</v>
      </c>
      <c r="U834" s="17">
        <v>3000</v>
      </c>
      <c r="V834" s="18" t="s">
        <v>44</v>
      </c>
      <c r="W834" s="18" t="s">
        <v>69</v>
      </c>
      <c r="X834" s="16">
        <v>10</v>
      </c>
      <c r="Y834" s="43" t="str">
        <f>HYPERLINK("https://api-enni.alpina.ru/FilePrivilegesApproval/507","https://api-enni.alpina.ru/FilePrivilegesApproval/507")</f>
        <v>https://api-enni.alpina.ru/FilePrivilegesApproval/507</v>
      </c>
      <c r="Z834" s="18"/>
      <c r="AS834" s="1">
        <f>IF($A834&lt;&gt;0,1,0)</f>
        <v>0</v>
      </c>
      <c r="AT834" s="1">
        <f>$A834*$B834</f>
        <v>0</v>
      </c>
      <c r="AU834" s="1">
        <f>$A834*$O834</f>
        <v>0</v>
      </c>
      <c r="AV834" s="1">
        <f>IF($R834=0,0,INT($A834/$R834))</f>
        <v>0</v>
      </c>
      <c r="AW834" s="1">
        <f>$A834-$AV834*$R834</f>
        <v>0</v>
      </c>
    </row>
    <row r="835" ht="24.95" customHeight="1" outlineLevel="3" s="1" customFormat="1">
      <c r="A835" s="15"/>
      <c r="B835" s="16">
        <v>340</v>
      </c>
      <c r="C835" s="16">
        <v>544</v>
      </c>
      <c r="D835" s="16">
        <v>11085</v>
      </c>
      <c r="E835" s="18"/>
      <c r="F835" s="18" t="s">
        <v>2721</v>
      </c>
      <c r="G835" s="18" t="s">
        <v>2722</v>
      </c>
      <c r="H835" s="18" t="s">
        <v>86</v>
      </c>
      <c r="I835" s="18" t="s">
        <v>74</v>
      </c>
      <c r="J835" s="16">
        <v>2026</v>
      </c>
      <c r="K835" s="18" t="s">
        <v>2723</v>
      </c>
      <c r="L835" s="16">
        <v>9785961411829</v>
      </c>
      <c r="M835" s="18" t="s">
        <v>2724</v>
      </c>
      <c r="N835" s="16">
        <v>224</v>
      </c>
      <c r="O835" s="19">
        <v>0.15</v>
      </c>
      <c r="P835" s="16">
        <v>115</v>
      </c>
      <c r="Q835" s="16">
        <v>165</v>
      </c>
      <c r="R835" s="16">
        <v>16</v>
      </c>
      <c r="S835" s="18" t="s">
        <v>190</v>
      </c>
      <c r="T835" s="18" t="s">
        <v>451</v>
      </c>
      <c r="U835" s="17">
        <v>3000</v>
      </c>
      <c r="V835" s="18" t="s">
        <v>44</v>
      </c>
      <c r="W835" s="18" t="s">
        <v>69</v>
      </c>
      <c r="X835" s="16">
        <v>10</v>
      </c>
      <c r="Y835" s="43" t="str">
        <f>HYPERLINK("https://api-enni.alpina.ru/FilePrivilegesApproval/156","https://api-enni.alpina.ru/FilePrivilegesApproval/156")</f>
        <v>https://api-enni.alpina.ru/FilePrivilegesApproval/156</v>
      </c>
      <c r="Z835" s="18" t="s">
        <v>251</v>
      </c>
      <c r="AS835" s="1">
        <f>IF($A835&lt;&gt;0,1,0)</f>
        <v>0</v>
      </c>
      <c r="AT835" s="1">
        <f>$A835*$B835</f>
        <v>0</v>
      </c>
      <c r="AU835" s="1">
        <f>$A835*$O835</f>
        <v>0</v>
      </c>
      <c r="AV835" s="1">
        <f>IF($R835=0,0,INT($A835/$R835))</f>
        <v>0</v>
      </c>
      <c r="AW835" s="1">
        <f>$A835-$AV835*$R835</f>
        <v>0</v>
      </c>
    </row>
    <row r="836" ht="24.95" customHeight="1" outlineLevel="3" s="1" customFormat="1">
      <c r="A836" s="15"/>
      <c r="B836" s="16">
        <v>390</v>
      </c>
      <c r="C836" s="16">
        <v>624</v>
      </c>
      <c r="D836" s="16">
        <v>12494</v>
      </c>
      <c r="E836" s="18"/>
      <c r="F836" s="18" t="s">
        <v>2725</v>
      </c>
      <c r="G836" s="18" t="s">
        <v>2726</v>
      </c>
      <c r="H836" s="18" t="s">
        <v>86</v>
      </c>
      <c r="I836" s="18" t="s">
        <v>74</v>
      </c>
      <c r="J836" s="16">
        <v>2026</v>
      </c>
      <c r="K836" s="18" t="s">
        <v>2727</v>
      </c>
      <c r="L836" s="16">
        <v>9785961425802</v>
      </c>
      <c r="M836" s="18" t="s">
        <v>2728</v>
      </c>
      <c r="N836" s="16">
        <v>412</v>
      </c>
      <c r="O836" s="19">
        <v>0.27</v>
      </c>
      <c r="P836" s="16">
        <v>170</v>
      </c>
      <c r="Q836" s="16">
        <v>170</v>
      </c>
      <c r="R836" s="16">
        <v>8</v>
      </c>
      <c r="S836" s="18" t="s">
        <v>190</v>
      </c>
      <c r="T836" s="18" t="s">
        <v>451</v>
      </c>
      <c r="U836" s="17">
        <v>3000</v>
      </c>
      <c r="V836" s="18" t="s">
        <v>44</v>
      </c>
      <c r="W836" s="18" t="s">
        <v>184</v>
      </c>
      <c r="X836" s="16">
        <v>10</v>
      </c>
      <c r="Y836" s="43" t="str">
        <f>HYPERLINK("https://api-enni.alpina.ru/FilePrivilegesApproval/158","https://api-enni.alpina.ru/FilePrivilegesApproval/158")</f>
        <v>https://api-enni.alpina.ru/FilePrivilegesApproval/158</v>
      </c>
      <c r="Z836" s="18" t="s">
        <v>717</v>
      </c>
      <c r="AS836" s="1">
        <f>IF($A836&lt;&gt;0,1,0)</f>
        <v>0</v>
      </c>
      <c r="AT836" s="1">
        <f>$A836*$B836</f>
        <v>0</v>
      </c>
      <c r="AU836" s="1">
        <f>$A836*$O836</f>
        <v>0</v>
      </c>
      <c r="AV836" s="1">
        <f>IF($R836=0,0,INT($A836/$R836))</f>
        <v>0</v>
      </c>
      <c r="AW836" s="1">
        <f>$A836-$AV836*$R836</f>
        <v>0</v>
      </c>
    </row>
    <row r="837" ht="24.95" customHeight="1" outlineLevel="3" s="1" customFormat="1">
      <c r="A837" s="15"/>
      <c r="B837" s="16">
        <v>340</v>
      </c>
      <c r="C837" s="16">
        <v>544</v>
      </c>
      <c r="D837" s="16">
        <v>30640</v>
      </c>
      <c r="E837" s="18"/>
      <c r="F837" s="18" t="s">
        <v>1404</v>
      </c>
      <c r="G837" s="18" t="s">
        <v>2729</v>
      </c>
      <c r="H837" s="18" t="s">
        <v>86</v>
      </c>
      <c r="I837" s="18" t="s">
        <v>160</v>
      </c>
      <c r="J837" s="16">
        <v>2025</v>
      </c>
      <c r="K837" s="18" t="s">
        <v>2730</v>
      </c>
      <c r="L837" s="16">
        <v>9785961496093</v>
      </c>
      <c r="M837" s="18" t="s">
        <v>2731</v>
      </c>
      <c r="N837" s="16">
        <v>288</v>
      </c>
      <c r="O837" s="19">
        <v>0.19</v>
      </c>
      <c r="P837" s="16">
        <v>120</v>
      </c>
      <c r="Q837" s="16">
        <v>170</v>
      </c>
      <c r="R837" s="16">
        <v>20</v>
      </c>
      <c r="S837" s="18" t="s">
        <v>190</v>
      </c>
      <c r="T837" s="18" t="s">
        <v>451</v>
      </c>
      <c r="U837" s="17">
        <v>2000</v>
      </c>
      <c r="V837" s="18" t="s">
        <v>44</v>
      </c>
      <c r="W837" s="18" t="s">
        <v>184</v>
      </c>
      <c r="X837" s="16">
        <v>10</v>
      </c>
      <c r="Y837" s="43" t="str">
        <f>HYPERLINK("https://api-enni.alpina.ru/FilePrivilegesApproval/125","https://api-enni.alpina.ru/FilePrivilegesApproval/125")</f>
        <v>https://api-enni.alpina.ru/FilePrivilegesApproval/125</v>
      </c>
      <c r="Z837" s="18"/>
      <c r="AS837" s="1">
        <f>IF($A837&lt;&gt;0,1,0)</f>
        <v>0</v>
      </c>
      <c r="AT837" s="1">
        <f>$A837*$B837</f>
        <v>0</v>
      </c>
      <c r="AU837" s="1">
        <f>$A837*$O837</f>
        <v>0</v>
      </c>
      <c r="AV837" s="1">
        <f>IF($R837=0,0,INT($A837/$R837))</f>
        <v>0</v>
      </c>
      <c r="AW837" s="1">
        <f>$A837-$AV837*$R837</f>
        <v>0</v>
      </c>
    </row>
    <row r="838" ht="24.95" customHeight="1" outlineLevel="3" s="1" customFormat="1">
      <c r="A838" s="15"/>
      <c r="B838" s="16">
        <v>390</v>
      </c>
      <c r="C838" s="16">
        <v>624</v>
      </c>
      <c r="D838" s="16">
        <v>11080</v>
      </c>
      <c r="E838" s="18"/>
      <c r="F838" s="18" t="s">
        <v>2732</v>
      </c>
      <c r="G838" s="18" t="s">
        <v>2733</v>
      </c>
      <c r="H838" s="18" t="s">
        <v>86</v>
      </c>
      <c r="I838" s="18" t="s">
        <v>74</v>
      </c>
      <c r="J838" s="16">
        <v>2025</v>
      </c>
      <c r="K838" s="18" t="s">
        <v>2734</v>
      </c>
      <c r="L838" s="16">
        <v>9785961411751</v>
      </c>
      <c r="M838" s="18" t="s">
        <v>2735</v>
      </c>
      <c r="N838" s="16">
        <v>400</v>
      </c>
      <c r="O838" s="19">
        <v>0.26</v>
      </c>
      <c r="P838" s="16">
        <v>120</v>
      </c>
      <c r="Q838" s="16">
        <v>170</v>
      </c>
      <c r="R838" s="16">
        <v>10</v>
      </c>
      <c r="S838" s="18" t="s">
        <v>190</v>
      </c>
      <c r="T838" s="18" t="s">
        <v>451</v>
      </c>
      <c r="U838" s="17">
        <v>4000</v>
      </c>
      <c r="V838" s="18" t="s">
        <v>44</v>
      </c>
      <c r="W838" s="18" t="s">
        <v>184</v>
      </c>
      <c r="X838" s="16">
        <v>10</v>
      </c>
      <c r="Y838" s="43" t="str">
        <f>HYPERLINK("https://api-enni.alpina.ru/FilePrivilegesApproval/152","https://api-enni.alpina.ru/FilePrivilegesApproval/152")</f>
        <v>https://api-enni.alpina.ru/FilePrivilegesApproval/152</v>
      </c>
      <c r="Z838" s="18"/>
      <c r="AS838" s="1">
        <f>IF($A838&lt;&gt;0,1,0)</f>
        <v>0</v>
      </c>
      <c r="AT838" s="1">
        <f>$A838*$B838</f>
        <v>0</v>
      </c>
      <c r="AU838" s="1">
        <f>$A838*$O838</f>
        <v>0</v>
      </c>
      <c r="AV838" s="1">
        <f>IF($R838=0,0,INT($A838/$R838))</f>
        <v>0</v>
      </c>
      <c r="AW838" s="1">
        <f>$A838-$AV838*$R838</f>
        <v>0</v>
      </c>
    </row>
    <row r="839" ht="24.95" customHeight="1" outlineLevel="3" s="1" customFormat="1">
      <c r="A839" s="15"/>
      <c r="B839" s="16">
        <v>340</v>
      </c>
      <c r="C839" s="16">
        <v>544</v>
      </c>
      <c r="D839" s="16">
        <v>11082</v>
      </c>
      <c r="E839" s="18"/>
      <c r="F839" s="18" t="s">
        <v>643</v>
      </c>
      <c r="G839" s="18" t="s">
        <v>644</v>
      </c>
      <c r="H839" s="18" t="s">
        <v>86</v>
      </c>
      <c r="I839" s="18" t="s">
        <v>74</v>
      </c>
      <c r="J839" s="16">
        <v>2025</v>
      </c>
      <c r="K839" s="18" t="s">
        <v>645</v>
      </c>
      <c r="L839" s="16">
        <v>9785961411799</v>
      </c>
      <c r="M839" s="18" t="s">
        <v>646</v>
      </c>
      <c r="N839" s="16">
        <v>224</v>
      </c>
      <c r="O839" s="19">
        <v>0.15</v>
      </c>
      <c r="P839" s="16">
        <v>115</v>
      </c>
      <c r="Q839" s="16">
        <v>165</v>
      </c>
      <c r="R839" s="16">
        <v>14</v>
      </c>
      <c r="S839" s="18" t="s">
        <v>190</v>
      </c>
      <c r="T839" s="18" t="s">
        <v>451</v>
      </c>
      <c r="U839" s="17">
        <v>20000</v>
      </c>
      <c r="V839" s="18" t="s">
        <v>44</v>
      </c>
      <c r="W839" s="18" t="s">
        <v>184</v>
      </c>
      <c r="X839" s="16">
        <v>10</v>
      </c>
      <c r="Y839" s="43" t="str">
        <f>HYPERLINK("https://api-enni.alpina.ru/FilePrivilegesApproval/152","https://api-enni.alpina.ru/FilePrivilegesApproval/152")</f>
        <v>https://api-enni.alpina.ru/FilePrivilegesApproval/152</v>
      </c>
      <c r="Z839" s="18"/>
      <c r="AS839" s="1">
        <f>IF($A839&lt;&gt;0,1,0)</f>
        <v>0</v>
      </c>
      <c r="AT839" s="1">
        <f>$A839*$B839</f>
        <v>0</v>
      </c>
      <c r="AU839" s="1">
        <f>$A839*$O839</f>
        <v>0</v>
      </c>
      <c r="AV839" s="1">
        <f>IF($R839=0,0,INT($A839/$R839))</f>
        <v>0</v>
      </c>
      <c r="AW839" s="1">
        <f>$A839-$AV839*$R839</f>
        <v>0</v>
      </c>
    </row>
    <row r="840" ht="24.95" customHeight="1" outlineLevel="3" s="1" customFormat="1">
      <c r="A840" s="15"/>
      <c r="B840" s="16">
        <v>340</v>
      </c>
      <c r="C840" s="16">
        <v>544</v>
      </c>
      <c r="D840" s="16">
        <v>12631</v>
      </c>
      <c r="E840" s="18"/>
      <c r="F840" s="18" t="s">
        <v>2736</v>
      </c>
      <c r="G840" s="18" t="s">
        <v>2737</v>
      </c>
      <c r="H840" s="18" t="s">
        <v>86</v>
      </c>
      <c r="I840" s="18"/>
      <c r="J840" s="16">
        <v>2025</v>
      </c>
      <c r="K840" s="18" t="s">
        <v>2738</v>
      </c>
      <c r="L840" s="16">
        <v>9785961426441</v>
      </c>
      <c r="M840" s="18" t="s">
        <v>2739</v>
      </c>
      <c r="N840" s="16">
        <v>312</v>
      </c>
      <c r="O840" s="19">
        <v>0.21</v>
      </c>
      <c r="P840" s="16">
        <v>120</v>
      </c>
      <c r="Q840" s="16">
        <v>170</v>
      </c>
      <c r="R840" s="16">
        <v>12</v>
      </c>
      <c r="S840" s="18" t="s">
        <v>190</v>
      </c>
      <c r="T840" s="18" t="s">
        <v>451</v>
      </c>
      <c r="U840" s="17">
        <v>2000</v>
      </c>
      <c r="V840" s="18" t="s">
        <v>44</v>
      </c>
      <c r="W840" s="18" t="s">
        <v>184</v>
      </c>
      <c r="X840" s="16">
        <v>10</v>
      </c>
      <c r="Y840" s="43" t="str">
        <f>HYPERLINK("https://api-enni.alpina.ru/FilePrivilegesApproval/141","https://api-enni.alpina.ru/FilePrivilegesApproval/141")</f>
        <v>https://api-enni.alpina.ru/FilePrivilegesApproval/141</v>
      </c>
      <c r="Z840" s="18"/>
      <c r="AS840" s="1">
        <f>IF($A840&lt;&gt;0,1,0)</f>
        <v>0</v>
      </c>
      <c r="AT840" s="1">
        <f>$A840*$B840</f>
        <v>0</v>
      </c>
      <c r="AU840" s="1">
        <f>$A840*$O840</f>
        <v>0</v>
      </c>
      <c r="AV840" s="1">
        <f>IF($R840=0,0,INT($A840/$R840))</f>
        <v>0</v>
      </c>
      <c r="AW840" s="1">
        <f>$A840-$AV840*$R840</f>
        <v>0</v>
      </c>
    </row>
    <row r="841" ht="24.95" customHeight="1" outlineLevel="3" s="1" customFormat="1">
      <c r="A841" s="15"/>
      <c r="B841" s="16">
        <v>390</v>
      </c>
      <c r="C841" s="16">
        <v>624</v>
      </c>
      <c r="D841" s="16">
        <v>12407</v>
      </c>
      <c r="E841" s="18"/>
      <c r="F841" s="18" t="s">
        <v>2740</v>
      </c>
      <c r="G841" s="18" t="s">
        <v>2741</v>
      </c>
      <c r="H841" s="18" t="s">
        <v>86</v>
      </c>
      <c r="I841" s="18" t="s">
        <v>74</v>
      </c>
      <c r="J841" s="16">
        <v>2025</v>
      </c>
      <c r="K841" s="18" t="s">
        <v>2742</v>
      </c>
      <c r="L841" s="16">
        <v>9785961425222</v>
      </c>
      <c r="M841" s="18" t="s">
        <v>2743</v>
      </c>
      <c r="N841" s="16">
        <v>324</v>
      </c>
      <c r="O841" s="19">
        <v>0.22</v>
      </c>
      <c r="P841" s="16">
        <v>115</v>
      </c>
      <c r="Q841" s="16">
        <v>165</v>
      </c>
      <c r="R841" s="16">
        <v>10</v>
      </c>
      <c r="S841" s="18" t="s">
        <v>190</v>
      </c>
      <c r="T841" s="18" t="s">
        <v>451</v>
      </c>
      <c r="U841" s="17">
        <v>7000</v>
      </c>
      <c r="V841" s="18" t="s">
        <v>44</v>
      </c>
      <c r="W841" s="18" t="s">
        <v>184</v>
      </c>
      <c r="X841" s="16">
        <v>10</v>
      </c>
      <c r="Y841" s="43" t="str">
        <f>HYPERLINK("https://api-enni.alpina.ru/FilePrivilegesApproval/125","https://api-enni.alpina.ru/FilePrivilegesApproval/125")</f>
        <v>https://api-enni.alpina.ru/FilePrivilegesApproval/125</v>
      </c>
      <c r="Z841" s="18"/>
      <c r="AS841" s="1">
        <f>IF($A841&lt;&gt;0,1,0)</f>
        <v>0</v>
      </c>
      <c r="AT841" s="1">
        <f>$A841*$B841</f>
        <v>0</v>
      </c>
      <c r="AU841" s="1">
        <f>$A841*$O841</f>
        <v>0</v>
      </c>
      <c r="AV841" s="1">
        <f>IF($R841=0,0,INT($A841/$R841))</f>
        <v>0</v>
      </c>
      <c r="AW841" s="1">
        <f>$A841-$AV841*$R841</f>
        <v>0</v>
      </c>
    </row>
    <row r="842" ht="24.95" customHeight="1" outlineLevel="3" s="1" customFormat="1">
      <c r="A842" s="15"/>
      <c r="B842" s="16">
        <v>390</v>
      </c>
      <c r="C842" s="16">
        <v>624</v>
      </c>
      <c r="D842" s="16">
        <v>12082</v>
      </c>
      <c r="E842" s="18"/>
      <c r="F842" s="18" t="s">
        <v>2744</v>
      </c>
      <c r="G842" s="18" t="s">
        <v>2745</v>
      </c>
      <c r="H842" s="18" t="s">
        <v>86</v>
      </c>
      <c r="I842" s="18" t="s">
        <v>74</v>
      </c>
      <c r="J842" s="16">
        <v>2025</v>
      </c>
      <c r="K842" s="18" t="s">
        <v>2746</v>
      </c>
      <c r="L842" s="16">
        <v>9785961422641</v>
      </c>
      <c r="M842" s="18" t="s">
        <v>2747</v>
      </c>
      <c r="N842" s="16">
        <v>296</v>
      </c>
      <c r="O842" s="19">
        <v>0.2</v>
      </c>
      <c r="P842" s="16">
        <v>120</v>
      </c>
      <c r="Q842" s="16">
        <v>170</v>
      </c>
      <c r="R842" s="16">
        <v>20</v>
      </c>
      <c r="S842" s="18" t="s">
        <v>190</v>
      </c>
      <c r="T842" s="18" t="s">
        <v>451</v>
      </c>
      <c r="U842" s="17">
        <v>2000</v>
      </c>
      <c r="V842" s="18" t="s">
        <v>44</v>
      </c>
      <c r="W842" s="18" t="s">
        <v>184</v>
      </c>
      <c r="X842" s="16">
        <v>10</v>
      </c>
      <c r="Y842" s="43" t="str">
        <f>HYPERLINK("https://api-enni.alpina.ru/FilePrivilegesApproval/152","https://api-enni.alpina.ru/FilePrivilegesApproval/152")</f>
        <v>https://api-enni.alpina.ru/FilePrivilegesApproval/152</v>
      </c>
      <c r="Z842" s="18"/>
      <c r="AS842" s="1">
        <f>IF($A842&lt;&gt;0,1,0)</f>
        <v>0</v>
      </c>
      <c r="AT842" s="1">
        <f>$A842*$B842</f>
        <v>0</v>
      </c>
      <c r="AU842" s="1">
        <f>$A842*$O842</f>
        <v>0</v>
      </c>
      <c r="AV842" s="1">
        <f>IF($R842=0,0,INT($A842/$R842))</f>
        <v>0</v>
      </c>
      <c r="AW842" s="1">
        <f>$A842-$AV842*$R842</f>
        <v>0</v>
      </c>
    </row>
    <row r="843" ht="24.95" customHeight="1" outlineLevel="3" s="1" customFormat="1">
      <c r="A843" s="15"/>
      <c r="B843" s="16">
        <v>340</v>
      </c>
      <c r="C843" s="16">
        <v>544</v>
      </c>
      <c r="D843" s="16">
        <v>12095</v>
      </c>
      <c r="E843" s="18"/>
      <c r="F843" s="18" t="s">
        <v>2748</v>
      </c>
      <c r="G843" s="18" t="s">
        <v>2749</v>
      </c>
      <c r="H843" s="18" t="s">
        <v>86</v>
      </c>
      <c r="I843" s="18" t="s">
        <v>74</v>
      </c>
      <c r="J843" s="16">
        <v>2025</v>
      </c>
      <c r="K843" s="18" t="s">
        <v>2750</v>
      </c>
      <c r="L843" s="16">
        <v>9785961424942</v>
      </c>
      <c r="M843" s="18" t="s">
        <v>2751</v>
      </c>
      <c r="N843" s="16">
        <v>192</v>
      </c>
      <c r="O843" s="19">
        <v>0.13</v>
      </c>
      <c r="P843" s="16">
        <v>115</v>
      </c>
      <c r="Q843" s="16">
        <v>165</v>
      </c>
      <c r="R843" s="16">
        <v>18</v>
      </c>
      <c r="S843" s="18" t="s">
        <v>190</v>
      </c>
      <c r="T843" s="18" t="s">
        <v>451</v>
      </c>
      <c r="U843" s="17">
        <v>4000</v>
      </c>
      <c r="V843" s="18" t="s">
        <v>44</v>
      </c>
      <c r="W843" s="18" t="s">
        <v>184</v>
      </c>
      <c r="X843" s="16">
        <v>10</v>
      </c>
      <c r="Y843" s="43" t="str">
        <f>HYPERLINK("https://api-enni.alpina.ru/FilePrivilegesApproval/152","https://api-enni.alpina.ru/FilePrivilegesApproval/152")</f>
        <v>https://api-enni.alpina.ru/FilePrivilegesApproval/152</v>
      </c>
      <c r="Z843" s="18"/>
      <c r="AS843" s="1">
        <f>IF($A843&lt;&gt;0,1,0)</f>
        <v>0</v>
      </c>
      <c r="AT843" s="1">
        <f>$A843*$B843</f>
        <v>0</v>
      </c>
      <c r="AU843" s="1">
        <f>$A843*$O843</f>
        <v>0</v>
      </c>
      <c r="AV843" s="1">
        <f>IF($R843=0,0,INT($A843/$R843))</f>
        <v>0</v>
      </c>
      <c r="AW843" s="1">
        <f>$A843-$AV843*$R843</f>
        <v>0</v>
      </c>
    </row>
    <row r="844" ht="24.95" customHeight="1" outlineLevel="3" s="1" customFormat="1">
      <c r="A844" s="15"/>
      <c r="B844" s="16">
        <v>340</v>
      </c>
      <c r="C844" s="16">
        <v>544</v>
      </c>
      <c r="D844" s="16">
        <v>12124</v>
      </c>
      <c r="E844" s="18"/>
      <c r="F844" s="18" t="s">
        <v>2752</v>
      </c>
      <c r="G844" s="18" t="s">
        <v>2753</v>
      </c>
      <c r="H844" s="18" t="s">
        <v>86</v>
      </c>
      <c r="I844" s="18" t="s">
        <v>74</v>
      </c>
      <c r="J844" s="16">
        <v>2025</v>
      </c>
      <c r="K844" s="18" t="s">
        <v>2754</v>
      </c>
      <c r="L844" s="16">
        <v>9785961424065</v>
      </c>
      <c r="M844" s="18" t="s">
        <v>2755</v>
      </c>
      <c r="N844" s="16">
        <v>176</v>
      </c>
      <c r="O844" s="19">
        <v>0.12</v>
      </c>
      <c r="P844" s="16">
        <v>120</v>
      </c>
      <c r="Q844" s="16">
        <v>170</v>
      </c>
      <c r="R844" s="16">
        <v>20</v>
      </c>
      <c r="S844" s="18" t="s">
        <v>190</v>
      </c>
      <c r="T844" s="18" t="s">
        <v>451</v>
      </c>
      <c r="U844" s="17">
        <v>2000</v>
      </c>
      <c r="V844" s="18" t="s">
        <v>44</v>
      </c>
      <c r="W844" s="18" t="s">
        <v>184</v>
      </c>
      <c r="X844" s="16">
        <v>10</v>
      </c>
      <c r="Y844" s="43" t="str">
        <f>HYPERLINK("https://api-enni.alpina.ru/FilePrivilegesApproval/125","https://api-enni.alpina.ru/FilePrivilegesApproval/125")</f>
        <v>https://api-enni.alpina.ru/FilePrivilegesApproval/125</v>
      </c>
      <c r="Z844" s="18"/>
      <c r="AS844" s="1">
        <f>IF($A844&lt;&gt;0,1,0)</f>
        <v>0</v>
      </c>
      <c r="AT844" s="1">
        <f>$A844*$B844</f>
        <v>0</v>
      </c>
      <c r="AU844" s="1">
        <f>$A844*$O844</f>
        <v>0</v>
      </c>
      <c r="AV844" s="1">
        <f>IF($R844=0,0,INT($A844/$R844))</f>
        <v>0</v>
      </c>
      <c r="AW844" s="1">
        <f>$A844-$AV844*$R844</f>
        <v>0</v>
      </c>
    </row>
    <row r="845" ht="24.95" customHeight="1" outlineLevel="3" s="1" customFormat="1">
      <c r="A845" s="15"/>
      <c r="B845" s="16">
        <v>340</v>
      </c>
      <c r="C845" s="16">
        <v>544</v>
      </c>
      <c r="D845" s="16">
        <v>30573</v>
      </c>
      <c r="E845" s="18"/>
      <c r="F845" s="18" t="s">
        <v>2756</v>
      </c>
      <c r="G845" s="18" t="s">
        <v>2757</v>
      </c>
      <c r="H845" s="18" t="s">
        <v>86</v>
      </c>
      <c r="I845" s="18" t="s">
        <v>74</v>
      </c>
      <c r="J845" s="16">
        <v>2025</v>
      </c>
      <c r="K845" s="18" t="s">
        <v>2758</v>
      </c>
      <c r="L845" s="16">
        <v>9785961495881</v>
      </c>
      <c r="M845" s="18" t="s">
        <v>2759</v>
      </c>
      <c r="N845" s="16">
        <v>368</v>
      </c>
      <c r="O845" s="19">
        <v>0.24</v>
      </c>
      <c r="P845" s="16">
        <v>120</v>
      </c>
      <c r="Q845" s="16">
        <v>170</v>
      </c>
      <c r="R845" s="16">
        <v>16</v>
      </c>
      <c r="S845" s="18" t="s">
        <v>190</v>
      </c>
      <c r="T845" s="18" t="s">
        <v>451</v>
      </c>
      <c r="U845" s="17">
        <v>2000</v>
      </c>
      <c r="V845" s="18" t="s">
        <v>44</v>
      </c>
      <c r="W845" s="18" t="s">
        <v>69</v>
      </c>
      <c r="X845" s="16">
        <v>10</v>
      </c>
      <c r="Y845" s="43" t="str">
        <f>HYPERLINK("https://api-enni.alpina.ru/FilePrivilegesApproval/405","https://api-enni.alpina.ru/FilePrivilegesApproval/405")</f>
        <v>https://api-enni.alpina.ru/FilePrivilegesApproval/405</v>
      </c>
      <c r="Z845" s="18"/>
      <c r="AS845" s="1">
        <f>IF($A845&lt;&gt;0,1,0)</f>
        <v>0</v>
      </c>
      <c r="AT845" s="1">
        <f>$A845*$B845</f>
        <v>0</v>
      </c>
      <c r="AU845" s="1">
        <f>$A845*$O845</f>
        <v>0</v>
      </c>
      <c r="AV845" s="1">
        <f>IF($R845=0,0,INT($A845/$R845))</f>
        <v>0</v>
      </c>
      <c r="AW845" s="1">
        <f>$A845-$AV845*$R845</f>
        <v>0</v>
      </c>
    </row>
    <row r="846" ht="24.95" customHeight="1" outlineLevel="3" s="1" customFormat="1">
      <c r="A846" s="15"/>
      <c r="B846" s="16">
        <v>340</v>
      </c>
      <c r="C846" s="16">
        <v>544</v>
      </c>
      <c r="D846" s="16">
        <v>11083</v>
      </c>
      <c r="E846" s="18"/>
      <c r="F846" s="18" t="s">
        <v>2760</v>
      </c>
      <c r="G846" s="18" t="s">
        <v>2761</v>
      </c>
      <c r="H846" s="18" t="s">
        <v>86</v>
      </c>
      <c r="I846" s="18" t="s">
        <v>74</v>
      </c>
      <c r="J846" s="16">
        <v>2025</v>
      </c>
      <c r="K846" s="18" t="s">
        <v>2762</v>
      </c>
      <c r="L846" s="16">
        <v>9785961411805</v>
      </c>
      <c r="M846" s="18" t="s">
        <v>2763</v>
      </c>
      <c r="N846" s="16">
        <v>170</v>
      </c>
      <c r="O846" s="19">
        <v>0.12</v>
      </c>
      <c r="P846" s="16">
        <v>115</v>
      </c>
      <c r="Q846" s="16">
        <v>165</v>
      </c>
      <c r="R846" s="16">
        <v>18</v>
      </c>
      <c r="S846" s="18" t="s">
        <v>190</v>
      </c>
      <c r="T846" s="18" t="s">
        <v>451</v>
      </c>
      <c r="U846" s="17">
        <v>6000</v>
      </c>
      <c r="V846" s="18" t="s">
        <v>44</v>
      </c>
      <c r="W846" s="18" t="s">
        <v>184</v>
      </c>
      <c r="X846" s="16">
        <v>10</v>
      </c>
      <c r="Y846" s="43" t="str">
        <f>HYPERLINK("https://api-enni.alpina.ru/FilePrivilegesApproval/2","https://api-enni.alpina.ru/FilePrivilegesApproval/2")</f>
        <v>https://api-enni.alpina.ru/FilePrivilegesApproval/2</v>
      </c>
      <c r="Z846" s="18"/>
      <c r="AS846" s="1">
        <f>IF($A846&lt;&gt;0,1,0)</f>
        <v>0</v>
      </c>
      <c r="AT846" s="1">
        <f>$A846*$B846</f>
        <v>0</v>
      </c>
      <c r="AU846" s="1">
        <f>$A846*$O846</f>
        <v>0</v>
      </c>
      <c r="AV846" s="1">
        <f>IF($R846=0,0,INT($A846/$R846))</f>
        <v>0</v>
      </c>
      <c r="AW846" s="1">
        <f>$A846-$AV846*$R846</f>
        <v>0</v>
      </c>
    </row>
    <row r="847" ht="24.95" customHeight="1" outlineLevel="3" s="1" customFormat="1">
      <c r="A847" s="15"/>
      <c r="B847" s="16">
        <v>340</v>
      </c>
      <c r="C847" s="16">
        <v>544</v>
      </c>
      <c r="D847" s="16">
        <v>29404</v>
      </c>
      <c r="E847" s="18"/>
      <c r="F847" s="18" t="s">
        <v>2764</v>
      </c>
      <c r="G847" s="18" t="s">
        <v>2765</v>
      </c>
      <c r="H847" s="18" t="s">
        <v>86</v>
      </c>
      <c r="I847" s="18" t="s">
        <v>74</v>
      </c>
      <c r="J847" s="16">
        <v>2025</v>
      </c>
      <c r="K847" s="18" t="s">
        <v>2766</v>
      </c>
      <c r="L847" s="16">
        <v>9785961492446</v>
      </c>
      <c r="M847" s="18" t="s">
        <v>2767</v>
      </c>
      <c r="N847" s="16">
        <v>256</v>
      </c>
      <c r="O847" s="19">
        <v>0.17</v>
      </c>
      <c r="P847" s="16">
        <v>120</v>
      </c>
      <c r="Q847" s="16">
        <v>170</v>
      </c>
      <c r="R847" s="16">
        <v>20</v>
      </c>
      <c r="S847" s="18" t="s">
        <v>190</v>
      </c>
      <c r="T847" s="18" t="s">
        <v>451</v>
      </c>
      <c r="U847" s="17">
        <v>2000</v>
      </c>
      <c r="V847" s="18" t="s">
        <v>44</v>
      </c>
      <c r="W847" s="18" t="s">
        <v>184</v>
      </c>
      <c r="X847" s="16">
        <v>10</v>
      </c>
      <c r="Y847" s="43" t="str">
        <f>HYPERLINK("https://api-enni.alpina.ru/FilePrivilegesApproval/157","https://api-enni.alpina.ru/FilePrivilegesApproval/157")</f>
        <v>https://api-enni.alpina.ru/FilePrivilegesApproval/157</v>
      </c>
      <c r="Z847" s="18"/>
      <c r="AS847" s="1">
        <f>IF($A847&lt;&gt;0,1,0)</f>
        <v>0</v>
      </c>
      <c r="AT847" s="1">
        <f>$A847*$B847</f>
        <v>0</v>
      </c>
      <c r="AU847" s="1">
        <f>$A847*$O847</f>
        <v>0</v>
      </c>
      <c r="AV847" s="1">
        <f>IF($R847=0,0,INT($A847/$R847))</f>
        <v>0</v>
      </c>
      <c r="AW847" s="1">
        <f>$A847-$AV847*$R847</f>
        <v>0</v>
      </c>
    </row>
    <row r="848" ht="24.95" customHeight="1" outlineLevel="3" s="1" customFormat="1">
      <c r="A848" s="15"/>
      <c r="B848" s="16">
        <v>390</v>
      </c>
      <c r="C848" s="16">
        <v>624</v>
      </c>
      <c r="D848" s="16">
        <v>11079</v>
      </c>
      <c r="E848" s="18"/>
      <c r="F848" s="18" t="s">
        <v>2768</v>
      </c>
      <c r="G848" s="18" t="s">
        <v>2769</v>
      </c>
      <c r="H848" s="18" t="s">
        <v>86</v>
      </c>
      <c r="I848" s="18" t="s">
        <v>74</v>
      </c>
      <c r="J848" s="16">
        <v>2025</v>
      </c>
      <c r="K848" s="18" t="s">
        <v>2770</v>
      </c>
      <c r="L848" s="16">
        <v>9785961411591</v>
      </c>
      <c r="M848" s="18" t="s">
        <v>2771</v>
      </c>
      <c r="N848" s="16">
        <v>526</v>
      </c>
      <c r="O848" s="19">
        <v>0.3</v>
      </c>
      <c r="P848" s="16">
        <v>110</v>
      </c>
      <c r="Q848" s="16">
        <v>170</v>
      </c>
      <c r="R848" s="16">
        <v>12</v>
      </c>
      <c r="S848" s="18" t="s">
        <v>190</v>
      </c>
      <c r="T848" s="18" t="s">
        <v>451</v>
      </c>
      <c r="U848" s="17">
        <v>2000</v>
      </c>
      <c r="V848" s="18" t="s">
        <v>44</v>
      </c>
      <c r="W848" s="18" t="s">
        <v>184</v>
      </c>
      <c r="X848" s="16">
        <v>10</v>
      </c>
      <c r="Y848" s="43" t="str">
        <f>HYPERLINK("https://api-enni.alpina.ru/FilePrivilegesApproval/152","https://api-enni.alpina.ru/FilePrivilegesApproval/152")</f>
        <v>https://api-enni.alpina.ru/FilePrivilegesApproval/152</v>
      </c>
      <c r="Z848" s="18"/>
      <c r="AS848" s="1">
        <f>IF($A848&lt;&gt;0,1,0)</f>
        <v>0</v>
      </c>
      <c r="AT848" s="1">
        <f>$A848*$B848</f>
        <v>0</v>
      </c>
      <c r="AU848" s="1">
        <f>$A848*$O848</f>
        <v>0</v>
      </c>
      <c r="AV848" s="1">
        <f>IF($R848=0,0,INT($A848/$R848))</f>
        <v>0</v>
      </c>
      <c r="AW848" s="1">
        <f>$A848-$AV848*$R848</f>
        <v>0</v>
      </c>
    </row>
    <row r="849" ht="24.95" customHeight="1" outlineLevel="3" s="1" customFormat="1">
      <c r="A849" s="15"/>
      <c r="B849" s="16">
        <v>340</v>
      </c>
      <c r="C849" s="16">
        <v>544</v>
      </c>
      <c r="D849" s="16">
        <v>11184</v>
      </c>
      <c r="E849" s="18"/>
      <c r="F849" s="18" t="s">
        <v>561</v>
      </c>
      <c r="G849" s="18" t="s">
        <v>2772</v>
      </c>
      <c r="H849" s="18" t="s">
        <v>86</v>
      </c>
      <c r="I849" s="18"/>
      <c r="J849" s="16">
        <v>2023</v>
      </c>
      <c r="K849" s="18" t="s">
        <v>2773</v>
      </c>
      <c r="L849" s="16">
        <v>9785961415070</v>
      </c>
      <c r="M849" s="18" t="s">
        <v>2774</v>
      </c>
      <c r="N849" s="16">
        <v>286</v>
      </c>
      <c r="O849" s="19">
        <v>0.19</v>
      </c>
      <c r="P849" s="16">
        <v>120</v>
      </c>
      <c r="Q849" s="16">
        <v>170</v>
      </c>
      <c r="R849" s="16">
        <v>10</v>
      </c>
      <c r="S849" s="18" t="s">
        <v>190</v>
      </c>
      <c r="T849" s="18" t="s">
        <v>451</v>
      </c>
      <c r="U849" s="17">
        <v>10000</v>
      </c>
      <c r="V849" s="18" t="s">
        <v>44</v>
      </c>
      <c r="W849" s="18" t="s">
        <v>184</v>
      </c>
      <c r="X849" s="16">
        <v>10</v>
      </c>
      <c r="Y849" s="43" t="str">
        <f>HYPERLINK("https://api-enni.alpina.ru/FilePrivilegesApproval/152","https://api-enni.alpina.ru/FilePrivilegesApproval/152")</f>
        <v>https://api-enni.alpina.ru/FilePrivilegesApproval/152</v>
      </c>
      <c r="Z849" s="18"/>
      <c r="AS849" s="1">
        <f>IF($A849&lt;&gt;0,1,0)</f>
        <v>0</v>
      </c>
      <c r="AT849" s="1">
        <f>$A849*$B849</f>
        <v>0</v>
      </c>
      <c r="AU849" s="1">
        <f>$A849*$O849</f>
        <v>0</v>
      </c>
      <c r="AV849" s="1">
        <f>IF($R849=0,0,INT($A849/$R849))</f>
        <v>0</v>
      </c>
      <c r="AW849" s="1">
        <f>$A849-$AV849*$R849</f>
        <v>0</v>
      </c>
    </row>
    <row r="850" ht="24.95" customHeight="1" outlineLevel="3" s="1" customFormat="1">
      <c r="A850" s="15"/>
      <c r="B850" s="16">
        <v>340</v>
      </c>
      <c r="C850" s="16">
        <v>544</v>
      </c>
      <c r="D850" s="16">
        <v>9123</v>
      </c>
      <c r="E850" s="18"/>
      <c r="F850" s="18" t="s">
        <v>936</v>
      </c>
      <c r="G850" s="18" t="s">
        <v>937</v>
      </c>
      <c r="H850" s="18" t="s">
        <v>86</v>
      </c>
      <c r="I850" s="18" t="s">
        <v>74</v>
      </c>
      <c r="J850" s="16">
        <v>2025</v>
      </c>
      <c r="K850" s="18" t="s">
        <v>938</v>
      </c>
      <c r="L850" s="16">
        <v>9785961471403</v>
      </c>
      <c r="M850" s="18" t="s">
        <v>939</v>
      </c>
      <c r="N850" s="16">
        <v>430</v>
      </c>
      <c r="O850" s="19">
        <v>0.29</v>
      </c>
      <c r="P850" s="16">
        <v>120</v>
      </c>
      <c r="Q850" s="16">
        <v>170</v>
      </c>
      <c r="R850" s="16">
        <v>8</v>
      </c>
      <c r="S850" s="18" t="s">
        <v>190</v>
      </c>
      <c r="T850" s="18" t="s">
        <v>451</v>
      </c>
      <c r="U850" s="17">
        <v>20000</v>
      </c>
      <c r="V850" s="18" t="s">
        <v>44</v>
      </c>
      <c r="W850" s="18" t="s">
        <v>184</v>
      </c>
      <c r="X850" s="16">
        <v>10</v>
      </c>
      <c r="Y850" s="43" t="str">
        <f>HYPERLINK("https://api-enni.alpina.ru/FilePrivilegesApproval/156","https://api-enni.alpina.ru/FilePrivilegesApproval/156")</f>
        <v>https://api-enni.alpina.ru/FilePrivilegesApproval/156</v>
      </c>
      <c r="Z850" s="18"/>
      <c r="AS850" s="1">
        <f>IF($A850&lt;&gt;0,1,0)</f>
        <v>0</v>
      </c>
      <c r="AT850" s="1">
        <f>$A850*$B850</f>
        <v>0</v>
      </c>
      <c r="AU850" s="1">
        <f>$A850*$O850</f>
        <v>0</v>
      </c>
      <c r="AV850" s="1">
        <f>IF($R850=0,0,INT($A850/$R850))</f>
        <v>0</v>
      </c>
      <c r="AW850" s="1">
        <f>$A850-$AV850*$R850</f>
        <v>0</v>
      </c>
    </row>
    <row r="851" ht="24.95" customHeight="1" outlineLevel="3" s="1" customFormat="1">
      <c r="A851" s="15"/>
      <c r="B851" s="16">
        <v>340</v>
      </c>
      <c r="C851" s="16">
        <v>544</v>
      </c>
      <c r="D851" s="16">
        <v>29051</v>
      </c>
      <c r="E851" s="18"/>
      <c r="F851" s="18" t="s">
        <v>2775</v>
      </c>
      <c r="G851" s="18" t="s">
        <v>2776</v>
      </c>
      <c r="H851" s="18" t="s">
        <v>86</v>
      </c>
      <c r="I851" s="18" t="s">
        <v>74</v>
      </c>
      <c r="J851" s="16">
        <v>2025</v>
      </c>
      <c r="K851" s="18" t="s">
        <v>2777</v>
      </c>
      <c r="L851" s="16">
        <v>9785961491227</v>
      </c>
      <c r="M851" s="18" t="s">
        <v>2778</v>
      </c>
      <c r="N851" s="16">
        <v>256</v>
      </c>
      <c r="O851" s="19">
        <v>0.17</v>
      </c>
      <c r="P851" s="16">
        <v>120</v>
      </c>
      <c r="Q851" s="16">
        <v>170</v>
      </c>
      <c r="R851" s="16">
        <v>20</v>
      </c>
      <c r="S851" s="18" t="s">
        <v>190</v>
      </c>
      <c r="T851" s="18" t="s">
        <v>451</v>
      </c>
      <c r="U851" s="17">
        <v>2000</v>
      </c>
      <c r="V851" s="18" t="s">
        <v>44</v>
      </c>
      <c r="W851" s="18" t="s">
        <v>184</v>
      </c>
      <c r="X851" s="16">
        <v>10</v>
      </c>
      <c r="Y851" s="43" t="str">
        <f>HYPERLINK("https://api-enni.alpina.ru/FilePrivilegesApproval/315","https://api-enni.alpina.ru/FilePrivilegesApproval/315")</f>
        <v>https://api-enni.alpina.ru/FilePrivilegesApproval/315</v>
      </c>
      <c r="Z851" s="18"/>
      <c r="AS851" s="1">
        <f>IF($A851&lt;&gt;0,1,0)</f>
        <v>0</v>
      </c>
      <c r="AT851" s="1">
        <f>$A851*$B851</f>
        <v>0</v>
      </c>
      <c r="AU851" s="1">
        <f>$A851*$O851</f>
        <v>0</v>
      </c>
      <c r="AV851" s="1">
        <f>IF($R851=0,0,INT($A851/$R851))</f>
        <v>0</v>
      </c>
      <c r="AW851" s="1">
        <f>$A851-$AV851*$R851</f>
        <v>0</v>
      </c>
    </row>
    <row r="852" ht="24.95" customHeight="1" outlineLevel="3" s="1" customFormat="1">
      <c r="A852" s="15"/>
      <c r="B852" s="16">
        <v>890</v>
      </c>
      <c r="C852" s="17">
        <v>1246</v>
      </c>
      <c r="D852" s="16">
        <v>35756</v>
      </c>
      <c r="E852" s="18"/>
      <c r="F852" s="18" t="s">
        <v>2779</v>
      </c>
      <c r="G852" s="18" t="s">
        <v>2780</v>
      </c>
      <c r="H852" s="18" t="s">
        <v>86</v>
      </c>
      <c r="I852" s="18" t="s">
        <v>74</v>
      </c>
      <c r="J852" s="16">
        <v>2026</v>
      </c>
      <c r="K852" s="18" t="s">
        <v>2781</v>
      </c>
      <c r="L852" s="16">
        <v>9785006313309</v>
      </c>
      <c r="M852" s="18" t="s">
        <v>2782</v>
      </c>
      <c r="N852" s="16">
        <v>376</v>
      </c>
      <c r="O852" s="19">
        <v>0.55</v>
      </c>
      <c r="P852" s="16">
        <v>150</v>
      </c>
      <c r="Q852" s="16">
        <v>220</v>
      </c>
      <c r="R852" s="16">
        <v>10</v>
      </c>
      <c r="S852" s="18" t="s">
        <v>43</v>
      </c>
      <c r="T852" s="18"/>
      <c r="U852" s="17">
        <v>1000</v>
      </c>
      <c r="V852" s="18" t="s">
        <v>77</v>
      </c>
      <c r="W852" s="18" t="s">
        <v>184</v>
      </c>
      <c r="X852" s="16">
        <v>10</v>
      </c>
      <c r="Y852" s="43" t="str">
        <f>HYPERLINK("https://api-enni.alpina.ru/FilePrivilegesApproval/1049","https://api-enni.alpina.ru/FilePrivilegesApproval/1049")</f>
        <v>https://api-enni.alpina.ru/FilePrivilegesApproval/1049</v>
      </c>
      <c r="Z852" s="18"/>
      <c r="AS852" s="1">
        <f>IF($A852&lt;&gt;0,1,0)</f>
        <v>0</v>
      </c>
      <c r="AT852" s="1">
        <f>$A852*$B852</f>
        <v>0</v>
      </c>
      <c r="AU852" s="1">
        <f>$A852*$O852</f>
        <v>0</v>
      </c>
      <c r="AV852" s="1">
        <f>IF($R852=0,0,INT($A852/$R852))</f>
        <v>0</v>
      </c>
      <c r="AW852" s="1">
        <f>$A852-$AV852*$R852</f>
        <v>0</v>
      </c>
    </row>
    <row r="853" ht="24.95" customHeight="1" outlineLevel="3" s="1" customFormat="1">
      <c r="A853" s="15"/>
      <c r="B853" s="16">
        <v>340</v>
      </c>
      <c r="C853" s="16">
        <v>544</v>
      </c>
      <c r="D853" s="16">
        <v>27821</v>
      </c>
      <c r="E853" s="18"/>
      <c r="F853" s="18" t="s">
        <v>1329</v>
      </c>
      <c r="G853" s="18" t="s">
        <v>2783</v>
      </c>
      <c r="H853" s="18" t="s">
        <v>86</v>
      </c>
      <c r="I853" s="18"/>
      <c r="J853" s="16">
        <v>2025</v>
      </c>
      <c r="K853" s="18" t="s">
        <v>2784</v>
      </c>
      <c r="L853" s="16">
        <v>9785961486421</v>
      </c>
      <c r="M853" s="18" t="s">
        <v>2785</v>
      </c>
      <c r="N853" s="16">
        <v>252</v>
      </c>
      <c r="O853" s="19">
        <v>0.17</v>
      </c>
      <c r="P853" s="16">
        <v>120</v>
      </c>
      <c r="Q853" s="16">
        <v>170</v>
      </c>
      <c r="R853" s="16">
        <v>20</v>
      </c>
      <c r="S853" s="18" t="s">
        <v>190</v>
      </c>
      <c r="T853" s="18" t="s">
        <v>451</v>
      </c>
      <c r="U853" s="17">
        <v>2000</v>
      </c>
      <c r="V853" s="18" t="s">
        <v>44</v>
      </c>
      <c r="W853" s="18" t="s">
        <v>69</v>
      </c>
      <c r="X853" s="16">
        <v>10</v>
      </c>
      <c r="Y853" s="43" t="str">
        <f>HYPERLINK("https://api-enni.alpina.ru/FilePrivilegesApproval/214","https://api-enni.alpina.ru/FilePrivilegesApproval/214")</f>
        <v>https://api-enni.alpina.ru/FilePrivilegesApproval/214</v>
      </c>
      <c r="Z853" s="18"/>
      <c r="AS853" s="1">
        <f>IF($A853&lt;&gt;0,1,0)</f>
        <v>0</v>
      </c>
      <c r="AT853" s="1">
        <f>$A853*$B853</f>
        <v>0</v>
      </c>
      <c r="AU853" s="1">
        <f>$A853*$O853</f>
        <v>0</v>
      </c>
      <c r="AV853" s="1">
        <f>IF($R853=0,0,INT($A853/$R853))</f>
        <v>0</v>
      </c>
      <c r="AW853" s="1">
        <f>$A853-$AV853*$R853</f>
        <v>0</v>
      </c>
    </row>
    <row r="854" ht="11.1" customHeight="1" outlineLevel="2">
      <c r="A854" s="41" t="s">
        <v>2786</v>
      </c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24"/>
    </row>
    <row r="855" ht="24.95" customHeight="1" outlineLevel="3" s="1" customFormat="1">
      <c r="A855" s="15"/>
      <c r="B855" s="16">
        <v>840</v>
      </c>
      <c r="C855" s="17">
        <v>1218</v>
      </c>
      <c r="D855" s="16">
        <v>22334</v>
      </c>
      <c r="E855" s="18"/>
      <c r="F855" s="18" t="s">
        <v>1924</v>
      </c>
      <c r="G855" s="18" t="s">
        <v>2787</v>
      </c>
      <c r="H855" s="18" t="s">
        <v>86</v>
      </c>
      <c r="I855" s="18" t="s">
        <v>74</v>
      </c>
      <c r="J855" s="16">
        <v>2025</v>
      </c>
      <c r="K855" s="18" t="s">
        <v>2788</v>
      </c>
      <c r="L855" s="16">
        <v>9785961448092</v>
      </c>
      <c r="M855" s="18" t="s">
        <v>2789</v>
      </c>
      <c r="N855" s="16">
        <v>488</v>
      </c>
      <c r="O855" s="19">
        <v>0.77</v>
      </c>
      <c r="P855" s="16">
        <v>170</v>
      </c>
      <c r="Q855" s="16">
        <v>240</v>
      </c>
      <c r="R855" s="16">
        <v>5</v>
      </c>
      <c r="S855" s="18" t="s">
        <v>123</v>
      </c>
      <c r="T855" s="18"/>
      <c r="U855" s="17">
        <v>10000</v>
      </c>
      <c r="V855" s="18" t="s">
        <v>44</v>
      </c>
      <c r="W855" s="18" t="s">
        <v>91</v>
      </c>
      <c r="X855" s="16">
        <v>10</v>
      </c>
      <c r="Y855" s="43" t="str">
        <f>HYPERLINK("https://api-enni.alpina.ru/FilePrivilegesApproval/177","https://api-enni.alpina.ru/FilePrivilegesApproval/177")</f>
        <v>https://api-enni.alpina.ru/FilePrivilegesApproval/177</v>
      </c>
      <c r="Z855" s="18"/>
      <c r="AS855" s="1">
        <f>IF($A855&lt;&gt;0,1,0)</f>
        <v>0</v>
      </c>
      <c r="AT855" s="1">
        <f>$A855*$B855</f>
        <v>0</v>
      </c>
      <c r="AU855" s="1">
        <f>$A855*$O855</f>
        <v>0</v>
      </c>
      <c r="AV855" s="1">
        <f>IF($R855=0,0,INT($A855/$R855))</f>
        <v>0</v>
      </c>
      <c r="AW855" s="1">
        <f>$A855-$AV855*$R855</f>
        <v>0</v>
      </c>
    </row>
    <row r="856" ht="15" customHeight="1" outlineLevel="1">
      <c r="A856" s="40" t="s">
        <v>2790</v>
      </c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23"/>
    </row>
    <row r="857" ht="11.1" customHeight="1" outlineLevel="2">
      <c r="A857" s="41" t="s">
        <v>2791</v>
      </c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24"/>
    </row>
    <row r="858" ht="24.95" customHeight="1" outlineLevel="3" s="1" customFormat="1">
      <c r="A858" s="15"/>
      <c r="B858" s="17">
        <v>1340</v>
      </c>
      <c r="C858" s="17">
        <v>1809</v>
      </c>
      <c r="D858" s="16">
        <v>33600</v>
      </c>
      <c r="E858" s="18"/>
      <c r="F858" s="18" t="s">
        <v>1946</v>
      </c>
      <c r="G858" s="18" t="s">
        <v>2792</v>
      </c>
      <c r="H858" s="18" t="s">
        <v>95</v>
      </c>
      <c r="I858" s="18"/>
      <c r="J858" s="16">
        <v>2025</v>
      </c>
      <c r="K858" s="18" t="s">
        <v>2793</v>
      </c>
      <c r="L858" s="16">
        <v>9785006305212</v>
      </c>
      <c r="M858" s="18" t="s">
        <v>2794</v>
      </c>
      <c r="N858" s="16">
        <v>326</v>
      </c>
      <c r="O858" s="19">
        <v>0.49</v>
      </c>
      <c r="P858" s="16">
        <v>150</v>
      </c>
      <c r="Q858" s="16">
        <v>220</v>
      </c>
      <c r="R858" s="16">
        <v>5</v>
      </c>
      <c r="S858" s="18" t="s">
        <v>43</v>
      </c>
      <c r="T858" s="18"/>
      <c r="U858" s="17">
        <v>2000</v>
      </c>
      <c r="V858" s="18" t="s">
        <v>77</v>
      </c>
      <c r="W858" s="18" t="s">
        <v>69</v>
      </c>
      <c r="X858" s="16">
        <v>10</v>
      </c>
      <c r="Y858" s="43" t="str">
        <f>HYPERLINK("https://api-enni.alpina.ru/FilePrivilegesApproval/872","https://api-enni.alpina.ru/FilePrivilegesApproval/872")</f>
        <v>https://api-enni.alpina.ru/FilePrivilegesApproval/872</v>
      </c>
      <c r="Z858" s="18"/>
      <c r="AS858" s="1">
        <f>IF($A858&lt;&gt;0,1,0)</f>
        <v>0</v>
      </c>
      <c r="AT858" s="1">
        <f>$A858*$B858</f>
        <v>0</v>
      </c>
      <c r="AU858" s="1">
        <f>$A858*$O858</f>
        <v>0</v>
      </c>
      <c r="AV858" s="1">
        <f>IF($R858=0,0,INT($A858/$R858))</f>
        <v>0</v>
      </c>
      <c r="AW858" s="1">
        <f>$A858-$AV858*$R858</f>
        <v>0</v>
      </c>
    </row>
    <row r="859" ht="24.95" customHeight="1" outlineLevel="3" s="1" customFormat="1">
      <c r="A859" s="25"/>
      <c r="B859" s="26">
        <v>790</v>
      </c>
      <c r="C859" s="29">
        <v>1146</v>
      </c>
      <c r="D859" s="26">
        <v>5056</v>
      </c>
      <c r="E859" s="27"/>
      <c r="F859" s="27" t="s">
        <v>496</v>
      </c>
      <c r="G859" s="27" t="s">
        <v>2795</v>
      </c>
      <c r="H859" s="27" t="s">
        <v>86</v>
      </c>
      <c r="I859" s="27" t="s">
        <v>74</v>
      </c>
      <c r="J859" s="26">
        <v>2026</v>
      </c>
      <c r="K859" s="27" t="s">
        <v>2796</v>
      </c>
      <c r="L859" s="26">
        <v>9785961462531</v>
      </c>
      <c r="M859" s="27" t="s">
        <v>2797</v>
      </c>
      <c r="N859" s="26">
        <v>348</v>
      </c>
      <c r="O859" s="28">
        <v>0.56</v>
      </c>
      <c r="P859" s="26">
        <v>160</v>
      </c>
      <c r="Q859" s="26">
        <v>220</v>
      </c>
      <c r="R859" s="26">
        <v>10</v>
      </c>
      <c r="S859" s="27" t="s">
        <v>43</v>
      </c>
      <c r="T859" s="27"/>
      <c r="U859" s="29">
        <v>1000</v>
      </c>
      <c r="V859" s="27" t="s">
        <v>77</v>
      </c>
      <c r="W859" s="27" t="s">
        <v>184</v>
      </c>
      <c r="X859" s="26">
        <v>10</v>
      </c>
      <c r="Y859" s="45" t="str">
        <f>HYPERLINK("https://api-enni.alpina.ru/FilePrivilegesApproval/141","https://api-enni.alpina.ru/FilePrivilegesApproval/141")</f>
        <v>https://api-enni.alpina.ru/FilePrivilegesApproval/141</v>
      </c>
      <c r="Z859" s="27" t="s">
        <v>629</v>
      </c>
      <c r="AS859" s="1">
        <f>IF($A859&lt;&gt;0,1,0)</f>
        <v>0</v>
      </c>
      <c r="AT859" s="1">
        <f>$A859*$B859</f>
        <v>0</v>
      </c>
      <c r="AU859" s="1">
        <f>$A859*$O859</f>
        <v>0</v>
      </c>
      <c r="AV859" s="1">
        <f>IF($R859=0,0,INT($A859/$R859))</f>
        <v>0</v>
      </c>
      <c r="AW859" s="1">
        <f>$A859-$AV859*$R859</f>
        <v>0</v>
      </c>
    </row>
    <row r="860" ht="24.95" customHeight="1" outlineLevel="3" s="1" customFormat="1">
      <c r="A860" s="15"/>
      <c r="B860" s="16">
        <v>940</v>
      </c>
      <c r="C860" s="17">
        <v>1316</v>
      </c>
      <c r="D860" s="16">
        <v>6997</v>
      </c>
      <c r="E860" s="18"/>
      <c r="F860" s="18" t="s">
        <v>2798</v>
      </c>
      <c r="G860" s="18" t="s">
        <v>2799</v>
      </c>
      <c r="H860" s="18" t="s">
        <v>73</v>
      </c>
      <c r="I860" s="18"/>
      <c r="J860" s="16">
        <v>2026</v>
      </c>
      <c r="K860" s="18" t="s">
        <v>2800</v>
      </c>
      <c r="L860" s="16">
        <v>9785001394778</v>
      </c>
      <c r="M860" s="18" t="s">
        <v>2801</v>
      </c>
      <c r="N860" s="16">
        <v>458</v>
      </c>
      <c r="O860" s="19">
        <v>0.65</v>
      </c>
      <c r="P860" s="16">
        <v>146</v>
      </c>
      <c r="Q860" s="16">
        <v>216</v>
      </c>
      <c r="R860" s="16">
        <v>8</v>
      </c>
      <c r="S860" s="18" t="s">
        <v>43</v>
      </c>
      <c r="T860" s="18"/>
      <c r="U860" s="17">
        <v>2000</v>
      </c>
      <c r="V860" s="18" t="s">
        <v>77</v>
      </c>
      <c r="W860" s="18" t="s">
        <v>45</v>
      </c>
      <c r="X860" s="16">
        <v>10</v>
      </c>
      <c r="Y860" s="43" t="str">
        <f>HYPERLINK("https://api-enni.alpina.ru/FilePrivilegesApproval/146","https://api-enni.alpina.ru/FilePrivilegesApproval/146")</f>
        <v>https://api-enni.alpina.ru/FilePrivilegesApproval/146</v>
      </c>
      <c r="Z860" s="18" t="s">
        <v>178</v>
      </c>
      <c r="AS860" s="1">
        <f>IF($A860&lt;&gt;0,1,0)</f>
        <v>0</v>
      </c>
      <c r="AT860" s="1">
        <f>$A860*$B860</f>
        <v>0</v>
      </c>
      <c r="AU860" s="1">
        <f>$A860*$O860</f>
        <v>0</v>
      </c>
      <c r="AV860" s="1">
        <f>IF($R860=0,0,INT($A860/$R860))</f>
        <v>0</v>
      </c>
      <c r="AW860" s="1">
        <f>$A860-$AV860*$R860</f>
        <v>0</v>
      </c>
    </row>
    <row r="861" ht="24.95" customHeight="1" outlineLevel="3" s="1" customFormat="1">
      <c r="A861" s="15"/>
      <c r="B861" s="16">
        <v>790</v>
      </c>
      <c r="C861" s="17">
        <v>1146</v>
      </c>
      <c r="D861" s="16">
        <v>7801</v>
      </c>
      <c r="E861" s="18"/>
      <c r="F861" s="18" t="s">
        <v>869</v>
      </c>
      <c r="G861" s="18" t="s">
        <v>2802</v>
      </c>
      <c r="H861" s="18" t="s">
        <v>73</v>
      </c>
      <c r="I861" s="18" t="s">
        <v>74</v>
      </c>
      <c r="J861" s="16">
        <v>2026</v>
      </c>
      <c r="K861" s="18" t="s">
        <v>2803</v>
      </c>
      <c r="L861" s="16">
        <v>9785916718485</v>
      </c>
      <c r="M861" s="18" t="s">
        <v>2804</v>
      </c>
      <c r="N861" s="16">
        <v>228</v>
      </c>
      <c r="O861" s="19">
        <v>0.38</v>
      </c>
      <c r="P861" s="16">
        <v>150</v>
      </c>
      <c r="Q861" s="16">
        <v>220</v>
      </c>
      <c r="R861" s="16">
        <v>16</v>
      </c>
      <c r="S861" s="18" t="s">
        <v>43</v>
      </c>
      <c r="T861" s="18"/>
      <c r="U861" s="17">
        <v>2000</v>
      </c>
      <c r="V861" s="18" t="s">
        <v>77</v>
      </c>
      <c r="W861" s="18" t="s">
        <v>69</v>
      </c>
      <c r="X861" s="16">
        <v>10</v>
      </c>
      <c r="Y861" s="43" t="str">
        <f>HYPERLINK("https://api-enni.alpina.ru/FilePrivilegesApproval/150","https://api-enni.alpina.ru/FilePrivilegesApproval/150")</f>
        <v>https://api-enni.alpina.ru/FilePrivilegesApproval/150</v>
      </c>
      <c r="Z861" s="18"/>
      <c r="AS861" s="1">
        <f>IF($A861&lt;&gt;0,1,0)</f>
        <v>0</v>
      </c>
      <c r="AT861" s="1">
        <f>$A861*$B861</f>
        <v>0</v>
      </c>
      <c r="AU861" s="1">
        <f>$A861*$O861</f>
        <v>0</v>
      </c>
      <c r="AV861" s="1">
        <f>IF($R861=0,0,INT($A861/$R861))</f>
        <v>0</v>
      </c>
      <c r="AW861" s="1">
        <f>$A861-$AV861*$R861</f>
        <v>0</v>
      </c>
    </row>
    <row r="862" ht="24.95" customHeight="1" outlineLevel="3" s="1" customFormat="1">
      <c r="A862" s="15"/>
      <c r="B862" s="16">
        <v>790</v>
      </c>
      <c r="C862" s="17">
        <v>1146</v>
      </c>
      <c r="D862" s="16">
        <v>20840</v>
      </c>
      <c r="E862" s="18"/>
      <c r="F862" s="18" t="s">
        <v>496</v>
      </c>
      <c r="G862" s="18" t="s">
        <v>2805</v>
      </c>
      <c r="H862" s="18" t="s">
        <v>86</v>
      </c>
      <c r="I862" s="18" t="s">
        <v>74</v>
      </c>
      <c r="J862" s="16">
        <v>2026</v>
      </c>
      <c r="K862" s="18" t="s">
        <v>2806</v>
      </c>
      <c r="L862" s="16">
        <v>9785961472868</v>
      </c>
      <c r="M862" s="18" t="s">
        <v>2807</v>
      </c>
      <c r="N862" s="16">
        <v>480</v>
      </c>
      <c r="O862" s="19">
        <v>0.69</v>
      </c>
      <c r="P862" s="16">
        <v>150</v>
      </c>
      <c r="Q862" s="16">
        <v>220</v>
      </c>
      <c r="R862" s="16">
        <v>5</v>
      </c>
      <c r="S862" s="18" t="s">
        <v>43</v>
      </c>
      <c r="T862" s="18"/>
      <c r="U862" s="17">
        <v>1000</v>
      </c>
      <c r="V862" s="18" t="s">
        <v>77</v>
      </c>
      <c r="W862" s="18" t="s">
        <v>69</v>
      </c>
      <c r="X862" s="16">
        <v>10</v>
      </c>
      <c r="Y862" s="43" t="str">
        <f>HYPERLINK("https://api-enni.alpina.ru/FilePrivilegesApproval/109","https://api-enni.alpina.ru/FilePrivilegesApproval/109")</f>
        <v>https://api-enni.alpina.ru/FilePrivilegesApproval/109</v>
      </c>
      <c r="Z862" s="18"/>
      <c r="AS862" s="1">
        <f>IF($A862&lt;&gt;0,1,0)</f>
        <v>0</v>
      </c>
      <c r="AT862" s="1">
        <f>$A862*$B862</f>
        <v>0</v>
      </c>
      <c r="AU862" s="1">
        <f>$A862*$O862</f>
        <v>0</v>
      </c>
      <c r="AV862" s="1">
        <f>IF($R862=0,0,INT($A862/$R862))</f>
        <v>0</v>
      </c>
      <c r="AW862" s="1">
        <f>$A862-$AV862*$R862</f>
        <v>0</v>
      </c>
    </row>
    <row r="863" ht="24.95" customHeight="1" outlineLevel="3" s="1" customFormat="1">
      <c r="A863" s="15"/>
      <c r="B863" s="16">
        <v>830</v>
      </c>
      <c r="C863" s="17">
        <v>1204</v>
      </c>
      <c r="D863" s="16">
        <v>4591</v>
      </c>
      <c r="E863" s="18"/>
      <c r="F863" s="18" t="s">
        <v>869</v>
      </c>
      <c r="G863" s="18" t="s">
        <v>2808</v>
      </c>
      <c r="H863" s="18" t="s">
        <v>73</v>
      </c>
      <c r="I863" s="18" t="s">
        <v>87</v>
      </c>
      <c r="J863" s="16">
        <v>2026</v>
      </c>
      <c r="K863" s="18" t="s">
        <v>2809</v>
      </c>
      <c r="L863" s="16">
        <v>9785001390336</v>
      </c>
      <c r="M863" s="18" t="s">
        <v>2810</v>
      </c>
      <c r="N863" s="16">
        <v>338</v>
      </c>
      <c r="O863" s="19">
        <v>0.51</v>
      </c>
      <c r="P863" s="16">
        <v>146</v>
      </c>
      <c r="Q863" s="16">
        <v>216</v>
      </c>
      <c r="R863" s="16">
        <v>10</v>
      </c>
      <c r="S863" s="18" t="s">
        <v>43</v>
      </c>
      <c r="T863" s="18"/>
      <c r="U863" s="17">
        <v>1500</v>
      </c>
      <c r="V863" s="18" t="s">
        <v>77</v>
      </c>
      <c r="W863" s="18" t="s">
        <v>69</v>
      </c>
      <c r="X863" s="16">
        <v>10</v>
      </c>
      <c r="Y863" s="43" t="str">
        <f>HYPERLINK("https://api-enni.alpina.ru/FilePrivilegesApproval/127","https://api-enni.alpina.ru/FilePrivilegesApproval/127")</f>
        <v>https://api-enni.alpina.ru/FilePrivilegesApproval/127</v>
      </c>
      <c r="Z863" s="18"/>
      <c r="AS863" s="1">
        <f>IF($A863&lt;&gt;0,1,0)</f>
        <v>0</v>
      </c>
      <c r="AT863" s="1">
        <f>$A863*$B863</f>
        <v>0</v>
      </c>
      <c r="AU863" s="1">
        <f>$A863*$O863</f>
        <v>0</v>
      </c>
      <c r="AV863" s="1">
        <f>IF($R863=0,0,INT($A863/$R863))</f>
        <v>0</v>
      </c>
      <c r="AW863" s="1">
        <f>$A863-$AV863*$R863</f>
        <v>0</v>
      </c>
    </row>
    <row r="864" ht="21.95" customHeight="1" outlineLevel="3" s="1" customFormat="1">
      <c r="A864" s="15"/>
      <c r="B864" s="16">
        <v>956</v>
      </c>
      <c r="C864" s="17">
        <v>1338</v>
      </c>
      <c r="D864" s="16">
        <v>26652</v>
      </c>
      <c r="E864" s="18"/>
      <c r="F864" s="18" t="s">
        <v>606</v>
      </c>
      <c r="G864" s="18" t="s">
        <v>607</v>
      </c>
      <c r="H864" s="18" t="s">
        <v>73</v>
      </c>
      <c r="I864" s="18" t="s">
        <v>74</v>
      </c>
      <c r="J864" s="16">
        <v>2026</v>
      </c>
      <c r="K864" s="18" t="s">
        <v>608</v>
      </c>
      <c r="L864" s="16">
        <v>9785001398080</v>
      </c>
      <c r="M864" s="18" t="s">
        <v>609</v>
      </c>
      <c r="N864" s="16">
        <v>398</v>
      </c>
      <c r="O864" s="19">
        <v>0.5</v>
      </c>
      <c r="P864" s="16">
        <v>140</v>
      </c>
      <c r="Q864" s="16">
        <v>210</v>
      </c>
      <c r="R864" s="16">
        <v>10</v>
      </c>
      <c r="S864" s="18" t="s">
        <v>43</v>
      </c>
      <c r="T864" s="18"/>
      <c r="U864" s="17">
        <v>1000</v>
      </c>
      <c r="V864" s="18" t="s">
        <v>44</v>
      </c>
      <c r="W864" s="18" t="s">
        <v>45</v>
      </c>
      <c r="X864" s="16">
        <v>22</v>
      </c>
      <c r="Y864" s="43" t="str">
        <f>HYPERLINK("","")</f>
      </c>
      <c r="Z864" s="18" t="s">
        <v>410</v>
      </c>
      <c r="AS864" s="1">
        <f>IF($A864&lt;&gt;0,1,0)</f>
        <v>0</v>
      </c>
      <c r="AT864" s="1">
        <f>$A864*$B864</f>
        <v>0</v>
      </c>
      <c r="AU864" s="1">
        <f>$A864*$O864</f>
        <v>0</v>
      </c>
      <c r="AV864" s="1">
        <f>IF($R864=0,0,INT($A864/$R864))</f>
        <v>0</v>
      </c>
      <c r="AW864" s="1">
        <f>$A864-$AV864*$R864</f>
        <v>0</v>
      </c>
    </row>
    <row r="865" ht="24.95" customHeight="1" outlineLevel="3" s="1" customFormat="1">
      <c r="A865" s="15"/>
      <c r="B865" s="16">
        <v>420</v>
      </c>
      <c r="C865" s="16">
        <v>651</v>
      </c>
      <c r="D865" s="16">
        <v>32714</v>
      </c>
      <c r="E865" s="18"/>
      <c r="F865" s="18" t="s">
        <v>2811</v>
      </c>
      <c r="G865" s="18" t="s">
        <v>2812</v>
      </c>
      <c r="H865" s="18" t="s">
        <v>73</v>
      </c>
      <c r="I865" s="18" t="s">
        <v>74</v>
      </c>
      <c r="J865" s="16">
        <v>2025</v>
      </c>
      <c r="K865" s="18" t="s">
        <v>2813</v>
      </c>
      <c r="L865" s="16">
        <v>9785916719703</v>
      </c>
      <c r="M865" s="18" t="s">
        <v>2814</v>
      </c>
      <c r="N865" s="16">
        <v>384</v>
      </c>
      <c r="O865" s="19">
        <v>0.25</v>
      </c>
      <c r="P865" s="16">
        <v>120</v>
      </c>
      <c r="Q865" s="16">
        <v>170</v>
      </c>
      <c r="R865" s="16">
        <v>28</v>
      </c>
      <c r="S865" s="18" t="s">
        <v>190</v>
      </c>
      <c r="T865" s="18" t="s">
        <v>959</v>
      </c>
      <c r="U865" s="17">
        <v>2000</v>
      </c>
      <c r="V865" s="18" t="s">
        <v>44</v>
      </c>
      <c r="W865" s="18" t="s">
        <v>45</v>
      </c>
      <c r="X865" s="16">
        <v>10</v>
      </c>
      <c r="Y865" s="43" t="str">
        <f>HYPERLINK("https://api-enni.alpina.ru/FilePrivilegesApproval/915","https://api-enni.alpina.ru/FilePrivilegesApproval/915")</f>
        <v>https://api-enni.alpina.ru/FilePrivilegesApproval/915</v>
      </c>
      <c r="Z865" s="18"/>
      <c r="AS865" s="1">
        <f>IF($A865&lt;&gt;0,1,0)</f>
        <v>0</v>
      </c>
      <c r="AT865" s="1">
        <f>$A865*$B865</f>
        <v>0</v>
      </c>
      <c r="AU865" s="1">
        <f>$A865*$O865</f>
        <v>0</v>
      </c>
      <c r="AV865" s="1">
        <f>IF($R865=0,0,INT($A865/$R865))</f>
        <v>0</v>
      </c>
      <c r="AW865" s="1">
        <f>$A865-$AV865*$R865</f>
        <v>0</v>
      </c>
    </row>
    <row r="866" ht="24.95" customHeight="1" outlineLevel="3" s="1" customFormat="1">
      <c r="A866" s="15"/>
      <c r="B866" s="16">
        <v>820</v>
      </c>
      <c r="C866" s="17">
        <v>1189</v>
      </c>
      <c r="D866" s="16">
        <v>26860</v>
      </c>
      <c r="E866" s="18"/>
      <c r="F866" s="18" t="s">
        <v>2815</v>
      </c>
      <c r="G866" s="18" t="s">
        <v>2816</v>
      </c>
      <c r="H866" s="18" t="s">
        <v>73</v>
      </c>
      <c r="I866" s="18" t="s">
        <v>74</v>
      </c>
      <c r="J866" s="16">
        <v>2024</v>
      </c>
      <c r="K866" s="18" t="s">
        <v>2817</v>
      </c>
      <c r="L866" s="16">
        <v>9785001398479</v>
      </c>
      <c r="M866" s="18" t="s">
        <v>2818</v>
      </c>
      <c r="N866" s="16">
        <v>312</v>
      </c>
      <c r="O866" s="19">
        <v>0.3</v>
      </c>
      <c r="P866" s="16">
        <v>140</v>
      </c>
      <c r="Q866" s="16">
        <v>210</v>
      </c>
      <c r="R866" s="16">
        <v>14</v>
      </c>
      <c r="S866" s="18" t="s">
        <v>43</v>
      </c>
      <c r="T866" s="18"/>
      <c r="U866" s="17">
        <v>2000</v>
      </c>
      <c r="V866" s="18" t="s">
        <v>44</v>
      </c>
      <c r="W866" s="18" t="s">
        <v>45</v>
      </c>
      <c r="X866" s="16">
        <v>10</v>
      </c>
      <c r="Y866" s="43" t="str">
        <f>HYPERLINK("https://api-enni.alpina.ru/FilePrivilegesApproval/497","https://api-enni.alpina.ru/FilePrivilegesApproval/497")</f>
        <v>https://api-enni.alpina.ru/FilePrivilegesApproval/497</v>
      </c>
      <c r="Z866" s="18"/>
      <c r="AS866" s="1">
        <f>IF($A866&lt;&gt;0,1,0)</f>
        <v>0</v>
      </c>
      <c r="AT866" s="1">
        <f>$A866*$B866</f>
        <v>0</v>
      </c>
      <c r="AU866" s="1">
        <f>$A866*$O866</f>
        <v>0</v>
      </c>
      <c r="AV866" s="1">
        <f>IF($R866=0,0,INT($A866/$R866))</f>
        <v>0</v>
      </c>
      <c r="AW866" s="1">
        <f>$A866-$AV866*$R866</f>
        <v>0</v>
      </c>
    </row>
    <row r="867" ht="24.95" customHeight="1" outlineLevel="3" s="1" customFormat="1">
      <c r="A867" s="15"/>
      <c r="B867" s="16">
        <v>730</v>
      </c>
      <c r="C867" s="17">
        <v>1146</v>
      </c>
      <c r="D867" s="16">
        <v>7333</v>
      </c>
      <c r="E867" s="18"/>
      <c r="F867" s="18" t="s">
        <v>2811</v>
      </c>
      <c r="G867" s="18" t="s">
        <v>2819</v>
      </c>
      <c r="H867" s="18" t="s">
        <v>73</v>
      </c>
      <c r="I867" s="18" t="s">
        <v>74</v>
      </c>
      <c r="J867" s="16">
        <v>2026</v>
      </c>
      <c r="K867" s="18" t="s">
        <v>2820</v>
      </c>
      <c r="L867" s="16">
        <v>9785916718089</v>
      </c>
      <c r="M867" s="18" t="s">
        <v>2821</v>
      </c>
      <c r="N867" s="16">
        <v>279</v>
      </c>
      <c r="O867" s="19">
        <v>0.37</v>
      </c>
      <c r="P867" s="16">
        <v>146</v>
      </c>
      <c r="Q867" s="16">
        <v>216</v>
      </c>
      <c r="R867" s="16">
        <v>14</v>
      </c>
      <c r="S867" s="18" t="s">
        <v>43</v>
      </c>
      <c r="T867" s="18"/>
      <c r="U867" s="17">
        <v>3000</v>
      </c>
      <c r="V867" s="18" t="s">
        <v>77</v>
      </c>
      <c r="W867" s="18" t="s">
        <v>69</v>
      </c>
      <c r="X867" s="16">
        <v>10</v>
      </c>
      <c r="Y867" s="43" t="str">
        <f>HYPERLINK("https://api-enni.alpina.ru/FilePrivilegesApproval/146","https://api-enni.alpina.ru/FilePrivilegesApproval/146")</f>
        <v>https://api-enni.alpina.ru/FilePrivilegesApproval/146</v>
      </c>
      <c r="Z867" s="18"/>
      <c r="AS867" s="1">
        <f>IF($A867&lt;&gt;0,1,0)</f>
        <v>0</v>
      </c>
      <c r="AT867" s="1">
        <f>$A867*$B867</f>
        <v>0</v>
      </c>
      <c r="AU867" s="1">
        <f>$A867*$O867</f>
        <v>0</v>
      </c>
      <c r="AV867" s="1">
        <f>IF($R867=0,0,INT($A867/$R867))</f>
        <v>0</v>
      </c>
      <c r="AW867" s="1">
        <f>$A867-$AV867*$R867</f>
        <v>0</v>
      </c>
    </row>
    <row r="868" ht="24.95" customHeight="1" outlineLevel="3" s="1" customFormat="1">
      <c r="A868" s="15"/>
      <c r="B868" s="16">
        <v>490</v>
      </c>
      <c r="C868" s="16">
        <v>760</v>
      </c>
      <c r="D868" s="16">
        <v>23799</v>
      </c>
      <c r="E868" s="18"/>
      <c r="F868" s="18" t="s">
        <v>2822</v>
      </c>
      <c r="G868" s="18" t="s">
        <v>2823</v>
      </c>
      <c r="H868" s="18" t="s">
        <v>73</v>
      </c>
      <c r="I868" s="18" t="s">
        <v>74</v>
      </c>
      <c r="J868" s="16">
        <v>2025</v>
      </c>
      <c r="K868" s="18" t="s">
        <v>2824</v>
      </c>
      <c r="L868" s="16">
        <v>9785001397267</v>
      </c>
      <c r="M868" s="18" t="s">
        <v>2825</v>
      </c>
      <c r="N868" s="16">
        <v>90</v>
      </c>
      <c r="O868" s="19">
        <v>0.16</v>
      </c>
      <c r="P868" s="16">
        <v>120</v>
      </c>
      <c r="Q868" s="16">
        <v>180</v>
      </c>
      <c r="R868" s="16">
        <v>28</v>
      </c>
      <c r="S868" s="18" t="s">
        <v>190</v>
      </c>
      <c r="T868" s="18"/>
      <c r="U868" s="17">
        <v>1500</v>
      </c>
      <c r="V868" s="18" t="s">
        <v>77</v>
      </c>
      <c r="W868" s="18" t="s">
        <v>91</v>
      </c>
      <c r="X868" s="16">
        <v>10</v>
      </c>
      <c r="Y868" s="43" t="str">
        <f>HYPERLINK("https://api-enni.alpina.ru/FilePrivilegesApproval/190","https://api-enni.alpina.ru/FilePrivilegesApproval/190")</f>
        <v>https://api-enni.alpina.ru/FilePrivilegesApproval/190</v>
      </c>
      <c r="Z868" s="18"/>
      <c r="AS868" s="1">
        <f>IF($A868&lt;&gt;0,1,0)</f>
        <v>0</v>
      </c>
      <c r="AT868" s="1">
        <f>$A868*$B868</f>
        <v>0</v>
      </c>
      <c r="AU868" s="1">
        <f>$A868*$O868</f>
        <v>0</v>
      </c>
      <c r="AV868" s="1">
        <f>IF($R868=0,0,INT($A868/$R868))</f>
        <v>0</v>
      </c>
      <c r="AW868" s="1">
        <f>$A868-$AV868*$R868</f>
        <v>0</v>
      </c>
    </row>
    <row r="869" ht="24.95" customHeight="1" outlineLevel="3" s="1" customFormat="1">
      <c r="A869" s="15"/>
      <c r="B869" s="16">
        <v>790</v>
      </c>
      <c r="C869" s="17">
        <v>1146</v>
      </c>
      <c r="D869" s="16">
        <v>5188</v>
      </c>
      <c r="E869" s="18"/>
      <c r="F869" s="18" t="s">
        <v>496</v>
      </c>
      <c r="G869" s="18" t="s">
        <v>658</v>
      </c>
      <c r="H869" s="18" t="s">
        <v>86</v>
      </c>
      <c r="I869" s="18" t="s">
        <v>74</v>
      </c>
      <c r="J869" s="16">
        <v>2026</v>
      </c>
      <c r="K869" s="18" t="s">
        <v>659</v>
      </c>
      <c r="L869" s="16">
        <v>9785961466935</v>
      </c>
      <c r="M869" s="18" t="s">
        <v>660</v>
      </c>
      <c r="N869" s="16">
        <v>422</v>
      </c>
      <c r="O869" s="19">
        <v>0.64</v>
      </c>
      <c r="P869" s="16">
        <v>160</v>
      </c>
      <c r="Q869" s="16">
        <v>220</v>
      </c>
      <c r="R869" s="16">
        <v>10</v>
      </c>
      <c r="S869" s="18" t="s">
        <v>43</v>
      </c>
      <c r="T869" s="18"/>
      <c r="U869" s="17">
        <v>1000</v>
      </c>
      <c r="V869" s="18" t="s">
        <v>77</v>
      </c>
      <c r="W869" s="18" t="s">
        <v>184</v>
      </c>
      <c r="X869" s="16">
        <v>10</v>
      </c>
      <c r="Y869" s="43" t="str">
        <f>HYPERLINK("https://api-enni.alpina.ru/FilePrivilegesApproval/2","https://api-enni.alpina.ru/FilePrivilegesApproval/2")</f>
        <v>https://api-enni.alpina.ru/FilePrivilegesApproval/2</v>
      </c>
      <c r="Z869" s="18" t="s">
        <v>46</v>
      </c>
      <c r="AS869" s="1">
        <f>IF($A869&lt;&gt;0,1,0)</f>
        <v>0</v>
      </c>
      <c r="AT869" s="1">
        <f>$A869*$B869</f>
        <v>0</v>
      </c>
      <c r="AU869" s="1">
        <f>$A869*$O869</f>
        <v>0</v>
      </c>
      <c r="AV869" s="1">
        <f>IF($R869=0,0,INT($A869/$R869))</f>
        <v>0</v>
      </c>
      <c r="AW869" s="1">
        <f>$A869-$AV869*$R869</f>
        <v>0</v>
      </c>
    </row>
    <row r="870" ht="24.95" customHeight="1" outlineLevel="3" s="1" customFormat="1">
      <c r="A870" s="15"/>
      <c r="B870" s="17">
        <v>1040</v>
      </c>
      <c r="C870" s="17">
        <v>1404</v>
      </c>
      <c r="D870" s="16">
        <v>25119</v>
      </c>
      <c r="E870" s="18"/>
      <c r="F870" s="18" t="s">
        <v>817</v>
      </c>
      <c r="G870" s="18" t="s">
        <v>2826</v>
      </c>
      <c r="H870" s="18" t="s">
        <v>73</v>
      </c>
      <c r="I870" s="18" t="s">
        <v>74</v>
      </c>
      <c r="J870" s="16">
        <v>2026</v>
      </c>
      <c r="K870" s="18" t="s">
        <v>2827</v>
      </c>
      <c r="L870" s="16">
        <v>9785001396413</v>
      </c>
      <c r="M870" s="18" t="s">
        <v>2828</v>
      </c>
      <c r="N870" s="16">
        <v>576</v>
      </c>
      <c r="O870" s="19">
        <v>0.65</v>
      </c>
      <c r="P870" s="16">
        <v>150</v>
      </c>
      <c r="Q870" s="16">
        <v>220</v>
      </c>
      <c r="R870" s="16">
        <v>8</v>
      </c>
      <c r="S870" s="18" t="s">
        <v>43</v>
      </c>
      <c r="T870" s="18"/>
      <c r="U870" s="17">
        <v>3000</v>
      </c>
      <c r="V870" s="18" t="s">
        <v>77</v>
      </c>
      <c r="W870" s="18" t="s">
        <v>69</v>
      </c>
      <c r="X870" s="16">
        <v>10</v>
      </c>
      <c r="Y870" s="43" t="str">
        <f>HYPERLINK("https://api-enni.alpina.ru/FilePrivilegesApproval/337","https://api-enni.alpina.ru/FilePrivilegesApproval/337")</f>
        <v>https://api-enni.alpina.ru/FilePrivilegesApproval/337</v>
      </c>
      <c r="Z870" s="18"/>
      <c r="AS870" s="1">
        <f>IF($A870&lt;&gt;0,1,0)</f>
        <v>0</v>
      </c>
      <c r="AT870" s="1">
        <f>$A870*$B870</f>
        <v>0</v>
      </c>
      <c r="AU870" s="1">
        <f>$A870*$O870</f>
        <v>0</v>
      </c>
      <c r="AV870" s="1">
        <f>IF($R870=0,0,INT($A870/$R870))</f>
        <v>0</v>
      </c>
      <c r="AW870" s="1">
        <f>$A870-$AV870*$R870</f>
        <v>0</v>
      </c>
    </row>
    <row r="871" ht="24.95" customHeight="1" outlineLevel="3" s="1" customFormat="1">
      <c r="A871" s="15"/>
      <c r="B871" s="16">
        <v>790</v>
      </c>
      <c r="C871" s="17">
        <v>1146</v>
      </c>
      <c r="D871" s="16">
        <v>24201</v>
      </c>
      <c r="E871" s="18"/>
      <c r="F871" s="18" t="s">
        <v>2829</v>
      </c>
      <c r="G871" s="18" t="s">
        <v>2830</v>
      </c>
      <c r="H871" s="18" t="s">
        <v>73</v>
      </c>
      <c r="I871" s="18" t="s">
        <v>74</v>
      </c>
      <c r="J871" s="16">
        <v>2026</v>
      </c>
      <c r="K871" s="18" t="s">
        <v>2831</v>
      </c>
      <c r="L871" s="16">
        <v>9785002230662</v>
      </c>
      <c r="M871" s="18" t="s">
        <v>2832</v>
      </c>
      <c r="N871" s="16">
        <v>350</v>
      </c>
      <c r="O871" s="19">
        <v>0.51</v>
      </c>
      <c r="P871" s="16">
        <v>150</v>
      </c>
      <c r="Q871" s="16">
        <v>220</v>
      </c>
      <c r="R871" s="16">
        <v>10</v>
      </c>
      <c r="S871" s="18" t="s">
        <v>43</v>
      </c>
      <c r="T871" s="18"/>
      <c r="U871" s="17">
        <v>1500</v>
      </c>
      <c r="V871" s="18" t="s">
        <v>77</v>
      </c>
      <c r="W871" s="18" t="s">
        <v>69</v>
      </c>
      <c r="X871" s="16">
        <v>10</v>
      </c>
      <c r="Y871" s="43" t="str">
        <f>HYPERLINK("https://api-enni.alpina.ru/FilePrivilegesApproval/298","https://api-enni.alpina.ru/FilePrivilegesApproval/298")</f>
        <v>https://api-enni.alpina.ru/FilePrivilegesApproval/298</v>
      </c>
      <c r="Z871" s="18"/>
      <c r="AS871" s="1">
        <f>IF($A871&lt;&gt;0,1,0)</f>
        <v>0</v>
      </c>
      <c r="AT871" s="1">
        <f>$A871*$B871</f>
        <v>0</v>
      </c>
      <c r="AU871" s="1">
        <f>$A871*$O871</f>
        <v>0</v>
      </c>
      <c r="AV871" s="1">
        <f>IF($R871=0,0,INT($A871/$R871))</f>
        <v>0</v>
      </c>
      <c r="AW871" s="1">
        <f>$A871-$AV871*$R871</f>
        <v>0</v>
      </c>
    </row>
    <row r="872" ht="24.95" customHeight="1" outlineLevel="3" s="1" customFormat="1">
      <c r="A872" s="25"/>
      <c r="B872" s="26">
        <v>990</v>
      </c>
      <c r="C872" s="29">
        <v>1386</v>
      </c>
      <c r="D872" s="26">
        <v>6303</v>
      </c>
      <c r="E872" s="27"/>
      <c r="F872" s="27" t="s">
        <v>686</v>
      </c>
      <c r="G872" s="27" t="s">
        <v>2833</v>
      </c>
      <c r="H872" s="27" t="s">
        <v>73</v>
      </c>
      <c r="I872" s="27" t="s">
        <v>74</v>
      </c>
      <c r="J872" s="26">
        <v>2026</v>
      </c>
      <c r="K872" s="27" t="s">
        <v>2834</v>
      </c>
      <c r="L872" s="26">
        <v>9785916717877</v>
      </c>
      <c r="M872" s="27" t="s">
        <v>2835</v>
      </c>
      <c r="N872" s="26">
        <v>296</v>
      </c>
      <c r="O872" s="28">
        <v>0.46</v>
      </c>
      <c r="P872" s="26">
        <v>146</v>
      </c>
      <c r="Q872" s="26">
        <v>216</v>
      </c>
      <c r="R872" s="26">
        <v>6</v>
      </c>
      <c r="S872" s="27" t="s">
        <v>43</v>
      </c>
      <c r="T872" s="27"/>
      <c r="U872" s="29">
        <v>1000</v>
      </c>
      <c r="V872" s="27" t="s">
        <v>77</v>
      </c>
      <c r="W872" s="27" t="s">
        <v>69</v>
      </c>
      <c r="X872" s="26">
        <v>10</v>
      </c>
      <c r="Y872" s="45" t="str">
        <f>HYPERLINK("https://api-enni.alpina.ru/FilePrivilegesApproval/131","https://api-enni.alpina.ru/FilePrivilegesApproval/131")</f>
        <v>https://api-enni.alpina.ru/FilePrivilegesApproval/131</v>
      </c>
      <c r="Z872" s="27"/>
      <c r="AS872" s="1">
        <f>IF($A872&lt;&gt;0,1,0)</f>
        <v>0</v>
      </c>
      <c r="AT872" s="1">
        <f>$A872*$B872</f>
        <v>0</v>
      </c>
      <c r="AU872" s="1">
        <f>$A872*$O872</f>
        <v>0</v>
      </c>
      <c r="AV872" s="1">
        <f>IF($R872=0,0,INT($A872/$R872))</f>
        <v>0</v>
      </c>
      <c r="AW872" s="1">
        <f>$A872-$AV872*$R872</f>
        <v>0</v>
      </c>
    </row>
    <row r="873" ht="24.95" customHeight="1" outlineLevel="3" s="1" customFormat="1">
      <c r="A873" s="15"/>
      <c r="B873" s="16">
        <v>990</v>
      </c>
      <c r="C873" s="17">
        <v>1386</v>
      </c>
      <c r="D873" s="16">
        <v>26127</v>
      </c>
      <c r="E873" s="18"/>
      <c r="F873" s="18" t="s">
        <v>740</v>
      </c>
      <c r="G873" s="18" t="s">
        <v>2836</v>
      </c>
      <c r="H873" s="18" t="s">
        <v>95</v>
      </c>
      <c r="I873" s="18"/>
      <c r="J873" s="16">
        <v>2026</v>
      </c>
      <c r="K873" s="18" t="s">
        <v>2837</v>
      </c>
      <c r="L873" s="16">
        <v>9785206000603</v>
      </c>
      <c r="M873" s="18" t="s">
        <v>2838</v>
      </c>
      <c r="N873" s="16">
        <v>384</v>
      </c>
      <c r="O873" s="19">
        <v>0.56</v>
      </c>
      <c r="P873" s="16">
        <v>150</v>
      </c>
      <c r="Q873" s="16">
        <v>220</v>
      </c>
      <c r="R873" s="16">
        <v>6</v>
      </c>
      <c r="S873" s="18" t="s">
        <v>43</v>
      </c>
      <c r="T873" s="18"/>
      <c r="U873" s="17">
        <v>2000</v>
      </c>
      <c r="V873" s="18" t="s">
        <v>77</v>
      </c>
      <c r="W873" s="18" t="s">
        <v>91</v>
      </c>
      <c r="X873" s="16">
        <v>10</v>
      </c>
      <c r="Y873" s="43" t="str">
        <f>HYPERLINK("https://api-enni.alpina.ru/FilePrivilegesApproval/168","https://api-enni.alpina.ru/FilePrivilegesApproval/168")</f>
        <v>https://api-enni.alpina.ru/FilePrivilegesApproval/168</v>
      </c>
      <c r="Z873" s="18"/>
      <c r="AS873" s="1">
        <f>IF($A873&lt;&gt;0,1,0)</f>
        <v>0</v>
      </c>
      <c r="AT873" s="1">
        <f>$A873*$B873</f>
        <v>0</v>
      </c>
      <c r="AU873" s="1">
        <f>$A873*$O873</f>
        <v>0</v>
      </c>
      <c r="AV873" s="1">
        <f>IF($R873=0,0,INT($A873/$R873))</f>
        <v>0</v>
      </c>
      <c r="AW873" s="1">
        <f>$A873-$AV873*$R873</f>
        <v>0</v>
      </c>
    </row>
    <row r="874" ht="24.95" customHeight="1" outlineLevel="3" s="1" customFormat="1">
      <c r="A874" s="15"/>
      <c r="B874" s="16">
        <v>440</v>
      </c>
      <c r="C874" s="16">
        <v>682</v>
      </c>
      <c r="D874" s="16">
        <v>28789</v>
      </c>
      <c r="E874" s="18"/>
      <c r="F874" s="18" t="s">
        <v>686</v>
      </c>
      <c r="G874" s="18" t="s">
        <v>2839</v>
      </c>
      <c r="H874" s="18" t="s">
        <v>73</v>
      </c>
      <c r="I874" s="18" t="s">
        <v>74</v>
      </c>
      <c r="J874" s="16">
        <v>2024</v>
      </c>
      <c r="K874" s="18" t="s">
        <v>2840</v>
      </c>
      <c r="L874" s="16">
        <v>9785002230563</v>
      </c>
      <c r="M874" s="18" t="s">
        <v>2841</v>
      </c>
      <c r="N874" s="16">
        <v>560</v>
      </c>
      <c r="O874" s="19">
        <v>0.37</v>
      </c>
      <c r="P874" s="16">
        <v>120</v>
      </c>
      <c r="Q874" s="16">
        <v>170</v>
      </c>
      <c r="R874" s="16">
        <v>10</v>
      </c>
      <c r="S874" s="18" t="s">
        <v>190</v>
      </c>
      <c r="T874" s="18" t="s">
        <v>491</v>
      </c>
      <c r="U874" s="17">
        <v>2000</v>
      </c>
      <c r="V874" s="18" t="s">
        <v>44</v>
      </c>
      <c r="W874" s="18" t="s">
        <v>45</v>
      </c>
      <c r="X874" s="16">
        <v>10</v>
      </c>
      <c r="Y874" s="43" t="str">
        <f>HYPERLINK("https://api-enni.alpina.ru/FilePrivilegesApproval/190","https://api-enni.alpina.ru/FilePrivilegesApproval/190")</f>
        <v>https://api-enni.alpina.ru/FilePrivilegesApproval/190</v>
      </c>
      <c r="Z874" s="18"/>
      <c r="AS874" s="1">
        <f>IF($A874&lt;&gt;0,1,0)</f>
        <v>0</v>
      </c>
      <c r="AT874" s="1">
        <f>$A874*$B874</f>
        <v>0</v>
      </c>
      <c r="AU874" s="1">
        <f>$A874*$O874</f>
        <v>0</v>
      </c>
      <c r="AV874" s="1">
        <f>IF($R874=0,0,INT($A874/$R874))</f>
        <v>0</v>
      </c>
      <c r="AW874" s="1">
        <f>$A874-$AV874*$R874</f>
        <v>0</v>
      </c>
    </row>
    <row r="875" ht="24.95" customHeight="1" outlineLevel="3" s="1" customFormat="1">
      <c r="A875" s="15"/>
      <c r="B875" s="16">
        <v>440</v>
      </c>
      <c r="C875" s="16">
        <v>682</v>
      </c>
      <c r="D875" s="16">
        <v>28590</v>
      </c>
      <c r="E875" s="18"/>
      <c r="F875" s="18" t="s">
        <v>686</v>
      </c>
      <c r="G875" s="18" t="s">
        <v>2842</v>
      </c>
      <c r="H875" s="18" t="s">
        <v>73</v>
      </c>
      <c r="I875" s="18" t="s">
        <v>74</v>
      </c>
      <c r="J875" s="16">
        <v>2026</v>
      </c>
      <c r="K875" s="18" t="s">
        <v>2843</v>
      </c>
      <c r="L875" s="16">
        <v>9785002230273</v>
      </c>
      <c r="M875" s="18" t="s">
        <v>2844</v>
      </c>
      <c r="N875" s="16">
        <v>344</v>
      </c>
      <c r="O875" s="19">
        <v>0.23</v>
      </c>
      <c r="P875" s="16">
        <v>120</v>
      </c>
      <c r="Q875" s="16">
        <v>170</v>
      </c>
      <c r="R875" s="16">
        <v>10</v>
      </c>
      <c r="S875" s="18" t="s">
        <v>190</v>
      </c>
      <c r="T875" s="18" t="s">
        <v>491</v>
      </c>
      <c r="U875" s="17">
        <v>3000</v>
      </c>
      <c r="V875" s="18" t="s">
        <v>44</v>
      </c>
      <c r="W875" s="18" t="s">
        <v>69</v>
      </c>
      <c r="X875" s="16">
        <v>10</v>
      </c>
      <c r="Y875" s="43" t="str">
        <f>HYPERLINK("https://api-enni.alpina.ru/FilePrivilegesApproval/175","https://api-enni.alpina.ru/FilePrivilegesApproval/175")</f>
        <v>https://api-enni.alpina.ru/FilePrivilegesApproval/175</v>
      </c>
      <c r="Z875" s="18"/>
      <c r="AS875" s="1">
        <f>IF($A875&lt;&gt;0,1,0)</f>
        <v>0</v>
      </c>
      <c r="AT875" s="1">
        <f>$A875*$B875</f>
        <v>0</v>
      </c>
      <c r="AU875" s="1">
        <f>$A875*$O875</f>
        <v>0</v>
      </c>
      <c r="AV875" s="1">
        <f>IF($R875=0,0,INT($A875/$R875))</f>
        <v>0</v>
      </c>
      <c r="AW875" s="1">
        <f>$A875-$AV875*$R875</f>
        <v>0</v>
      </c>
    </row>
    <row r="876" ht="24.95" customHeight="1" outlineLevel="3" s="1" customFormat="1">
      <c r="A876" s="15"/>
      <c r="B876" s="16">
        <v>840</v>
      </c>
      <c r="C876" s="17">
        <v>1218</v>
      </c>
      <c r="D876" s="16">
        <v>21064</v>
      </c>
      <c r="E876" s="18"/>
      <c r="F876" s="18" t="s">
        <v>2845</v>
      </c>
      <c r="G876" s="18" t="s">
        <v>2846</v>
      </c>
      <c r="H876" s="18" t="s">
        <v>73</v>
      </c>
      <c r="I876" s="18" t="s">
        <v>74</v>
      </c>
      <c r="J876" s="16">
        <v>2022</v>
      </c>
      <c r="K876" s="18" t="s">
        <v>2847</v>
      </c>
      <c r="L876" s="16">
        <v>9785001394112</v>
      </c>
      <c r="M876" s="18" t="s">
        <v>2848</v>
      </c>
      <c r="N876" s="16">
        <v>428</v>
      </c>
      <c r="O876" s="19">
        <v>0.59</v>
      </c>
      <c r="P876" s="16">
        <v>146</v>
      </c>
      <c r="Q876" s="16">
        <v>216</v>
      </c>
      <c r="R876" s="16">
        <v>8</v>
      </c>
      <c r="S876" s="18" t="s">
        <v>43</v>
      </c>
      <c r="T876" s="18"/>
      <c r="U876" s="17">
        <v>2000</v>
      </c>
      <c r="V876" s="18" t="s">
        <v>77</v>
      </c>
      <c r="W876" s="18" t="s">
        <v>69</v>
      </c>
      <c r="X876" s="16">
        <v>10</v>
      </c>
      <c r="Y876" s="43" t="str">
        <f>HYPERLINK("https://api-enni.alpina.ru/FilePrivilegesApproval/171","https://api-enni.alpina.ru/FilePrivilegesApproval/171")</f>
        <v>https://api-enni.alpina.ru/FilePrivilegesApproval/171</v>
      </c>
      <c r="Z876" s="18"/>
      <c r="AS876" s="1">
        <f>IF($A876&lt;&gt;0,1,0)</f>
        <v>0</v>
      </c>
      <c r="AT876" s="1">
        <f>$A876*$B876</f>
        <v>0</v>
      </c>
      <c r="AU876" s="1">
        <f>$A876*$O876</f>
        <v>0</v>
      </c>
      <c r="AV876" s="1">
        <f>IF($R876=0,0,INT($A876/$R876))</f>
        <v>0</v>
      </c>
      <c r="AW876" s="1">
        <f>$A876-$AV876*$R876</f>
        <v>0</v>
      </c>
    </row>
    <row r="877" ht="24.95" customHeight="1" outlineLevel="3" s="1" customFormat="1">
      <c r="A877" s="15"/>
      <c r="B877" s="16">
        <v>590</v>
      </c>
      <c r="C877" s="16">
        <v>885</v>
      </c>
      <c r="D877" s="16">
        <v>28605</v>
      </c>
      <c r="E877" s="18"/>
      <c r="F877" s="18" t="s">
        <v>2849</v>
      </c>
      <c r="G877" s="18" t="s">
        <v>2850</v>
      </c>
      <c r="H877" s="18" t="s">
        <v>73</v>
      </c>
      <c r="I877" s="18" t="s">
        <v>74</v>
      </c>
      <c r="J877" s="16">
        <v>2024</v>
      </c>
      <c r="K877" s="18" t="s">
        <v>2851</v>
      </c>
      <c r="L877" s="16">
        <v>9785002230327</v>
      </c>
      <c r="M877" s="18" t="s">
        <v>2852</v>
      </c>
      <c r="N877" s="16">
        <v>272</v>
      </c>
      <c r="O877" s="19">
        <v>0.35</v>
      </c>
      <c r="P877" s="16">
        <v>150</v>
      </c>
      <c r="Q877" s="16">
        <v>220</v>
      </c>
      <c r="R877" s="16">
        <v>12</v>
      </c>
      <c r="S877" s="18" t="s">
        <v>43</v>
      </c>
      <c r="T877" s="18"/>
      <c r="U877" s="17">
        <v>2000</v>
      </c>
      <c r="V877" s="18" t="s">
        <v>77</v>
      </c>
      <c r="W877" s="18" t="s">
        <v>69</v>
      </c>
      <c r="X877" s="16">
        <v>10</v>
      </c>
      <c r="Y877" s="43" t="str">
        <f>HYPERLINK("https://api-enni.alpina.ru/FilePrivilegesApproval/337","https://api-enni.alpina.ru/FilePrivilegesApproval/337")</f>
        <v>https://api-enni.alpina.ru/FilePrivilegesApproval/337</v>
      </c>
      <c r="Z877" s="18"/>
      <c r="AS877" s="1">
        <f>IF($A877&lt;&gt;0,1,0)</f>
        <v>0</v>
      </c>
      <c r="AT877" s="1">
        <f>$A877*$B877</f>
        <v>0</v>
      </c>
      <c r="AU877" s="1">
        <f>$A877*$O877</f>
        <v>0</v>
      </c>
      <c r="AV877" s="1">
        <f>IF($R877=0,0,INT($A877/$R877))</f>
        <v>0</v>
      </c>
      <c r="AW877" s="1">
        <f>$A877-$AV877*$R877</f>
        <v>0</v>
      </c>
    </row>
    <row r="878" ht="24.95" customHeight="1" outlineLevel="3" s="1" customFormat="1">
      <c r="A878" s="15"/>
      <c r="B878" s="17">
        <v>1090</v>
      </c>
      <c r="C878" s="17">
        <v>1472</v>
      </c>
      <c r="D878" s="16">
        <v>4814</v>
      </c>
      <c r="E878" s="18"/>
      <c r="F878" s="18" t="s">
        <v>2853</v>
      </c>
      <c r="G878" s="18" t="s">
        <v>2854</v>
      </c>
      <c r="H878" s="18" t="s">
        <v>73</v>
      </c>
      <c r="I878" s="18" t="s">
        <v>74</v>
      </c>
      <c r="J878" s="16">
        <v>2025</v>
      </c>
      <c r="K878" s="18" t="s">
        <v>2855</v>
      </c>
      <c r="L878" s="16">
        <v>9785916716412</v>
      </c>
      <c r="M878" s="18" t="s">
        <v>2856</v>
      </c>
      <c r="N878" s="16">
        <v>474</v>
      </c>
      <c r="O878" s="19">
        <v>0.57</v>
      </c>
      <c r="P878" s="16">
        <v>153</v>
      </c>
      <c r="Q878" s="16">
        <v>217</v>
      </c>
      <c r="R878" s="16">
        <v>10</v>
      </c>
      <c r="S878" s="18" t="s">
        <v>43</v>
      </c>
      <c r="T878" s="18"/>
      <c r="U878" s="17">
        <v>1000</v>
      </c>
      <c r="V878" s="18" t="s">
        <v>77</v>
      </c>
      <c r="W878" s="18" t="s">
        <v>91</v>
      </c>
      <c r="X878" s="16">
        <v>10</v>
      </c>
      <c r="Y878" s="43" t="str">
        <f>HYPERLINK("https://api-enni.alpina.ru/FilePrivilegesApproval/146","https://api-enni.alpina.ru/FilePrivilegesApproval/146")</f>
        <v>https://api-enni.alpina.ru/FilePrivilegesApproval/146</v>
      </c>
      <c r="Z878" s="18"/>
      <c r="AS878" s="1">
        <f>IF($A878&lt;&gt;0,1,0)</f>
        <v>0</v>
      </c>
      <c r="AT878" s="1">
        <f>$A878*$B878</f>
        <v>0</v>
      </c>
      <c r="AU878" s="1">
        <f>$A878*$O878</f>
        <v>0</v>
      </c>
      <c r="AV878" s="1">
        <f>IF($R878=0,0,INT($A878/$R878))</f>
        <v>0</v>
      </c>
      <c r="AW878" s="1">
        <f>$A878-$AV878*$R878</f>
        <v>0</v>
      </c>
    </row>
    <row r="879" ht="24.95" customHeight="1" outlineLevel="3" s="1" customFormat="1">
      <c r="A879" s="15"/>
      <c r="B879" s="16">
        <v>540</v>
      </c>
      <c r="C879" s="16">
        <v>837</v>
      </c>
      <c r="D879" s="16">
        <v>18564</v>
      </c>
      <c r="E879" s="18"/>
      <c r="F879" s="18" t="s">
        <v>869</v>
      </c>
      <c r="G879" s="18" t="s">
        <v>2857</v>
      </c>
      <c r="H879" s="18" t="s">
        <v>73</v>
      </c>
      <c r="I879" s="18" t="s">
        <v>87</v>
      </c>
      <c r="J879" s="16">
        <v>2026</v>
      </c>
      <c r="K879" s="18" t="s">
        <v>2858</v>
      </c>
      <c r="L879" s="16">
        <v>9785001395171</v>
      </c>
      <c r="M879" s="18" t="s">
        <v>2859</v>
      </c>
      <c r="N879" s="16">
        <v>218</v>
      </c>
      <c r="O879" s="19">
        <v>0.2</v>
      </c>
      <c r="P879" s="16">
        <v>120</v>
      </c>
      <c r="Q879" s="16">
        <v>170</v>
      </c>
      <c r="R879" s="16">
        <v>18</v>
      </c>
      <c r="S879" s="18" t="s">
        <v>873</v>
      </c>
      <c r="T879" s="18"/>
      <c r="U879" s="17">
        <v>2000</v>
      </c>
      <c r="V879" s="18" t="s">
        <v>77</v>
      </c>
      <c r="W879" s="18" t="s">
        <v>69</v>
      </c>
      <c r="X879" s="16">
        <v>10</v>
      </c>
      <c r="Y879" s="43" t="str">
        <f>HYPERLINK("https://api-enni.alpina.ru/FilePrivilegesApproval/190","https://api-enni.alpina.ru/FilePrivilegesApproval/190")</f>
        <v>https://api-enni.alpina.ru/FilePrivilegesApproval/190</v>
      </c>
      <c r="Z879" s="18"/>
      <c r="AS879" s="1">
        <f>IF($A879&lt;&gt;0,1,0)</f>
        <v>0</v>
      </c>
      <c r="AT879" s="1">
        <f>$A879*$B879</f>
        <v>0</v>
      </c>
      <c r="AU879" s="1">
        <f>$A879*$O879</f>
        <v>0</v>
      </c>
      <c r="AV879" s="1">
        <f>IF($R879=0,0,INT($A879/$R879))</f>
        <v>0</v>
      </c>
      <c r="AW879" s="1">
        <f>$A879-$AV879*$R879</f>
        <v>0</v>
      </c>
    </row>
    <row r="880" ht="24.95" customHeight="1" outlineLevel="3" s="1" customFormat="1">
      <c r="A880" s="15"/>
      <c r="B880" s="16">
        <v>890</v>
      </c>
      <c r="C880" s="17">
        <v>1246</v>
      </c>
      <c r="D880" s="16">
        <v>22660</v>
      </c>
      <c r="E880" s="18"/>
      <c r="F880" s="18" t="s">
        <v>2860</v>
      </c>
      <c r="G880" s="18" t="s">
        <v>2861</v>
      </c>
      <c r="H880" s="18" t="s">
        <v>73</v>
      </c>
      <c r="I880" s="18" t="s">
        <v>74</v>
      </c>
      <c r="J880" s="16">
        <v>2023</v>
      </c>
      <c r="K880" s="18" t="s">
        <v>2862</v>
      </c>
      <c r="L880" s="16">
        <v>9785001398196</v>
      </c>
      <c r="M880" s="18" t="s">
        <v>2863</v>
      </c>
      <c r="N880" s="16">
        <v>386</v>
      </c>
      <c r="O880" s="19">
        <v>0.7</v>
      </c>
      <c r="P880" s="16">
        <v>180</v>
      </c>
      <c r="Q880" s="16">
        <v>240</v>
      </c>
      <c r="R880" s="16">
        <v>6</v>
      </c>
      <c r="S880" s="18" t="s">
        <v>123</v>
      </c>
      <c r="T880" s="18"/>
      <c r="U880" s="17">
        <v>3000</v>
      </c>
      <c r="V880" s="18" t="s">
        <v>77</v>
      </c>
      <c r="W880" s="18" t="s">
        <v>69</v>
      </c>
      <c r="X880" s="16">
        <v>10</v>
      </c>
      <c r="Y880" s="43" t="str">
        <f>HYPERLINK("https://api-enni.alpina.ru/FilePrivilegesApproval/171","https://api-enni.alpina.ru/FilePrivilegesApproval/171")</f>
        <v>https://api-enni.alpina.ru/FilePrivilegesApproval/171</v>
      </c>
      <c r="Z880" s="18"/>
      <c r="AS880" s="1">
        <f>IF($A880&lt;&gt;0,1,0)</f>
        <v>0</v>
      </c>
      <c r="AT880" s="1">
        <f>$A880*$B880</f>
        <v>0</v>
      </c>
      <c r="AU880" s="1">
        <f>$A880*$O880</f>
        <v>0</v>
      </c>
      <c r="AV880" s="1">
        <f>IF($R880=0,0,INT($A880/$R880))</f>
        <v>0</v>
      </c>
      <c r="AW880" s="1">
        <f>$A880-$AV880*$R880</f>
        <v>0</v>
      </c>
    </row>
    <row r="881" ht="24.95" customHeight="1" outlineLevel="3" s="1" customFormat="1">
      <c r="A881" s="15"/>
      <c r="B881" s="16">
        <v>730</v>
      </c>
      <c r="C881" s="17">
        <v>1058</v>
      </c>
      <c r="D881" s="16">
        <v>20867</v>
      </c>
      <c r="E881" s="18"/>
      <c r="F881" s="18" t="s">
        <v>2864</v>
      </c>
      <c r="G881" s="18" t="s">
        <v>2865</v>
      </c>
      <c r="H881" s="18" t="s">
        <v>73</v>
      </c>
      <c r="I881" s="18" t="s">
        <v>74</v>
      </c>
      <c r="J881" s="16">
        <v>2024</v>
      </c>
      <c r="K881" s="18" t="s">
        <v>2866</v>
      </c>
      <c r="L881" s="16">
        <v>9785002232086</v>
      </c>
      <c r="M881" s="18" t="s">
        <v>2867</v>
      </c>
      <c r="N881" s="16">
        <v>214</v>
      </c>
      <c r="O881" s="19">
        <v>0.36</v>
      </c>
      <c r="P881" s="16">
        <v>150</v>
      </c>
      <c r="Q881" s="16">
        <v>220</v>
      </c>
      <c r="R881" s="16">
        <v>14</v>
      </c>
      <c r="S881" s="18" t="s">
        <v>43</v>
      </c>
      <c r="T881" s="18"/>
      <c r="U881" s="17">
        <v>2000</v>
      </c>
      <c r="V881" s="18" t="s">
        <v>77</v>
      </c>
      <c r="W881" s="18" t="s">
        <v>91</v>
      </c>
      <c r="X881" s="16">
        <v>10</v>
      </c>
      <c r="Y881" s="43" t="str">
        <f>HYPERLINK("https://api-enni.alpina.ru/FilePrivilegesApproval/687","https://api-enni.alpina.ru/FilePrivilegesApproval/687")</f>
        <v>https://api-enni.alpina.ru/FilePrivilegesApproval/687</v>
      </c>
      <c r="Z881" s="18"/>
      <c r="AS881" s="1">
        <f>IF($A881&lt;&gt;0,1,0)</f>
        <v>0</v>
      </c>
      <c r="AT881" s="1">
        <f>$A881*$B881</f>
        <v>0</v>
      </c>
      <c r="AU881" s="1">
        <f>$A881*$O881</f>
        <v>0</v>
      </c>
      <c r="AV881" s="1">
        <f>IF($R881=0,0,INT($A881/$R881))</f>
        <v>0</v>
      </c>
      <c r="AW881" s="1">
        <f>$A881-$AV881*$R881</f>
        <v>0</v>
      </c>
    </row>
    <row r="882" ht="24.95" customHeight="1" outlineLevel="3" s="1" customFormat="1">
      <c r="A882" s="15"/>
      <c r="B882" s="17">
        <v>1090</v>
      </c>
      <c r="C882" s="17">
        <v>1472</v>
      </c>
      <c r="D882" s="16">
        <v>35854</v>
      </c>
      <c r="E882" s="18"/>
      <c r="F882" s="18" t="s">
        <v>365</v>
      </c>
      <c r="G882" s="18" t="s">
        <v>366</v>
      </c>
      <c r="H882" s="18" t="s">
        <v>95</v>
      </c>
      <c r="I882" s="18"/>
      <c r="J882" s="16">
        <v>2026</v>
      </c>
      <c r="K882" s="18" t="s">
        <v>367</v>
      </c>
      <c r="L882" s="16">
        <v>9785206006032</v>
      </c>
      <c r="M882" s="18" t="s">
        <v>368</v>
      </c>
      <c r="N882" s="16">
        <v>368</v>
      </c>
      <c r="O882" s="19">
        <v>0.7</v>
      </c>
      <c r="P882" s="16">
        <v>170</v>
      </c>
      <c r="Q882" s="16">
        <v>240</v>
      </c>
      <c r="R882" s="16">
        <v>10</v>
      </c>
      <c r="S882" s="18" t="s">
        <v>123</v>
      </c>
      <c r="T882" s="18"/>
      <c r="U882" s="17">
        <v>1000</v>
      </c>
      <c r="V882" s="18" t="s">
        <v>77</v>
      </c>
      <c r="W882" s="18" t="s">
        <v>69</v>
      </c>
      <c r="X882" s="16">
        <v>10</v>
      </c>
      <c r="Y882" s="43" t="str">
        <f>HYPERLINK("","")</f>
      </c>
      <c r="Z882" s="18" t="s">
        <v>119</v>
      </c>
      <c r="AS882" s="1">
        <f>IF($A882&lt;&gt;0,1,0)</f>
        <v>0</v>
      </c>
      <c r="AT882" s="1">
        <f>$A882*$B882</f>
        <v>0</v>
      </c>
      <c r="AU882" s="1">
        <f>$A882*$O882</f>
        <v>0</v>
      </c>
      <c r="AV882" s="1">
        <f>IF($R882=0,0,INT($A882/$R882))</f>
        <v>0</v>
      </c>
      <c r="AW882" s="1">
        <f>$A882-$AV882*$R882</f>
        <v>0</v>
      </c>
    </row>
    <row r="883" ht="24.95" customHeight="1" outlineLevel="3" s="1" customFormat="1">
      <c r="A883" s="15"/>
      <c r="B883" s="16">
        <v>440</v>
      </c>
      <c r="C883" s="16">
        <v>682</v>
      </c>
      <c r="D883" s="16">
        <v>30902</v>
      </c>
      <c r="E883" s="18"/>
      <c r="F883" s="18" t="s">
        <v>2811</v>
      </c>
      <c r="G883" s="18" t="s">
        <v>2868</v>
      </c>
      <c r="H883" s="18" t="s">
        <v>73</v>
      </c>
      <c r="I883" s="18"/>
      <c r="J883" s="16">
        <v>2024</v>
      </c>
      <c r="K883" s="18" t="s">
        <v>2869</v>
      </c>
      <c r="L883" s="16">
        <v>9785002233052</v>
      </c>
      <c r="M883" s="18" t="s">
        <v>2870</v>
      </c>
      <c r="N883" s="16">
        <v>160</v>
      </c>
      <c r="O883" s="19">
        <v>0.11</v>
      </c>
      <c r="P883" s="16">
        <v>120</v>
      </c>
      <c r="Q883" s="16">
        <v>170</v>
      </c>
      <c r="R883" s="16">
        <v>20</v>
      </c>
      <c r="S883" s="18" t="s">
        <v>190</v>
      </c>
      <c r="T883" s="18" t="s">
        <v>959</v>
      </c>
      <c r="U883" s="17">
        <v>3000</v>
      </c>
      <c r="V883" s="18" t="s">
        <v>44</v>
      </c>
      <c r="W883" s="18" t="s">
        <v>69</v>
      </c>
      <c r="X883" s="16">
        <v>10</v>
      </c>
      <c r="Y883" s="43" t="str">
        <f>HYPERLINK("https://api-enni.alpina.ru/FilePrivilegesApproval/131","https://api-enni.alpina.ru/FilePrivilegesApproval/131")</f>
        <v>https://api-enni.alpina.ru/FilePrivilegesApproval/131</v>
      </c>
      <c r="Z883" s="18" t="s">
        <v>717</v>
      </c>
      <c r="AS883" s="1">
        <f>IF($A883&lt;&gt;0,1,0)</f>
        <v>0</v>
      </c>
      <c r="AT883" s="1">
        <f>$A883*$B883</f>
        <v>0</v>
      </c>
      <c r="AU883" s="1">
        <f>$A883*$O883</f>
        <v>0</v>
      </c>
      <c r="AV883" s="1">
        <f>IF($R883=0,0,INT($A883/$R883))</f>
        <v>0</v>
      </c>
      <c r="AW883" s="1">
        <f>$A883-$AV883*$R883</f>
        <v>0</v>
      </c>
    </row>
    <row r="884" ht="24.95" customHeight="1" outlineLevel="3" s="1" customFormat="1">
      <c r="A884" s="15"/>
      <c r="B884" s="16">
        <v>390</v>
      </c>
      <c r="C884" s="16">
        <v>624</v>
      </c>
      <c r="D884" s="16">
        <v>27356</v>
      </c>
      <c r="E884" s="18"/>
      <c r="F884" s="18" t="s">
        <v>2871</v>
      </c>
      <c r="G884" s="18" t="s">
        <v>2872</v>
      </c>
      <c r="H884" s="18" t="s">
        <v>73</v>
      </c>
      <c r="I884" s="18" t="s">
        <v>74</v>
      </c>
      <c r="J884" s="16">
        <v>2023</v>
      </c>
      <c r="K884" s="18" t="s">
        <v>2873</v>
      </c>
      <c r="L884" s="16">
        <v>9785001399216</v>
      </c>
      <c r="M884" s="18" t="s">
        <v>2874</v>
      </c>
      <c r="N884" s="16">
        <v>336</v>
      </c>
      <c r="O884" s="19">
        <v>0.22</v>
      </c>
      <c r="P884" s="16">
        <v>120</v>
      </c>
      <c r="Q884" s="16">
        <v>170</v>
      </c>
      <c r="R884" s="16">
        <v>20</v>
      </c>
      <c r="S884" s="18" t="s">
        <v>190</v>
      </c>
      <c r="T884" s="18" t="s">
        <v>959</v>
      </c>
      <c r="U884" s="17">
        <v>2000</v>
      </c>
      <c r="V884" s="18" t="s">
        <v>44</v>
      </c>
      <c r="W884" s="18" t="s">
        <v>91</v>
      </c>
      <c r="X884" s="16">
        <v>10</v>
      </c>
      <c r="Y884" s="43" t="str">
        <f>HYPERLINK("https://api-enni.alpina.ru/FilePrivilegesApproval/147","https://api-enni.alpina.ru/FilePrivilegesApproval/147")</f>
        <v>https://api-enni.alpina.ru/FilePrivilegesApproval/147</v>
      </c>
      <c r="Z884" s="18"/>
      <c r="AS884" s="1">
        <f>IF($A884&lt;&gt;0,1,0)</f>
        <v>0</v>
      </c>
      <c r="AT884" s="1">
        <f>$A884*$B884</f>
        <v>0</v>
      </c>
      <c r="AU884" s="1">
        <f>$A884*$O884</f>
        <v>0</v>
      </c>
      <c r="AV884" s="1">
        <f>IF($R884=0,0,INT($A884/$R884))</f>
        <v>0</v>
      </c>
      <c r="AW884" s="1">
        <f>$A884-$AV884*$R884</f>
        <v>0</v>
      </c>
    </row>
    <row r="885" ht="24.95" customHeight="1" outlineLevel="3" s="1" customFormat="1">
      <c r="A885" s="15"/>
      <c r="B885" s="16">
        <v>850</v>
      </c>
      <c r="C885" s="17">
        <v>1232</v>
      </c>
      <c r="D885" s="16">
        <v>34011</v>
      </c>
      <c r="E885" s="18"/>
      <c r="F885" s="18" t="s">
        <v>2875</v>
      </c>
      <c r="G885" s="18" t="s">
        <v>2876</v>
      </c>
      <c r="H885" s="18" t="s">
        <v>73</v>
      </c>
      <c r="I885" s="18" t="s">
        <v>74</v>
      </c>
      <c r="J885" s="16">
        <v>2026</v>
      </c>
      <c r="K885" s="18" t="s">
        <v>2877</v>
      </c>
      <c r="L885" s="16">
        <v>9785002236121</v>
      </c>
      <c r="M885" s="18" t="s">
        <v>2878</v>
      </c>
      <c r="N885" s="16">
        <v>280</v>
      </c>
      <c r="O885" s="19">
        <v>0.37</v>
      </c>
      <c r="P885" s="16">
        <v>130</v>
      </c>
      <c r="Q885" s="16">
        <v>210</v>
      </c>
      <c r="R885" s="16">
        <v>14</v>
      </c>
      <c r="S885" s="18" t="s">
        <v>90</v>
      </c>
      <c r="T885" s="18"/>
      <c r="U885" s="17">
        <v>2000</v>
      </c>
      <c r="V885" s="18" t="s">
        <v>77</v>
      </c>
      <c r="W885" s="18" t="s">
        <v>45</v>
      </c>
      <c r="X885" s="16">
        <v>10</v>
      </c>
      <c r="Y885" s="43" t="str">
        <f>HYPERLINK("https://api-enni.alpina.ru/FilePrivilegesApproval/1186","https://api-enni.alpina.ru/FilePrivilegesApproval/1186")</f>
        <v>https://api-enni.alpina.ru/FilePrivilegesApproval/1186</v>
      </c>
      <c r="Z885" s="18"/>
      <c r="AS885" s="1">
        <f>IF($A885&lt;&gt;0,1,0)</f>
        <v>0</v>
      </c>
      <c r="AT885" s="1">
        <f>$A885*$B885</f>
        <v>0</v>
      </c>
      <c r="AU885" s="1">
        <f>$A885*$O885</f>
        <v>0</v>
      </c>
      <c r="AV885" s="1">
        <f>IF($R885=0,0,INT($A885/$R885))</f>
        <v>0</v>
      </c>
      <c r="AW885" s="1">
        <f>$A885-$AV885*$R885</f>
        <v>0</v>
      </c>
    </row>
    <row r="886" ht="24.95" customHeight="1" outlineLevel="3" s="1" customFormat="1">
      <c r="A886" s="15"/>
      <c r="B886" s="16">
        <v>460</v>
      </c>
      <c r="C886" s="16">
        <v>713</v>
      </c>
      <c r="D886" s="16">
        <v>33949</v>
      </c>
      <c r="E886" s="18"/>
      <c r="F886" s="18" t="s">
        <v>2822</v>
      </c>
      <c r="G886" s="18" t="s">
        <v>2879</v>
      </c>
      <c r="H886" s="18" t="s">
        <v>73</v>
      </c>
      <c r="I886" s="18" t="s">
        <v>74</v>
      </c>
      <c r="J886" s="16">
        <v>2026</v>
      </c>
      <c r="K886" s="18" t="s">
        <v>2880</v>
      </c>
      <c r="L886" s="16">
        <v>9785002236305</v>
      </c>
      <c r="M886" s="18" t="s">
        <v>2881</v>
      </c>
      <c r="N886" s="16">
        <v>92</v>
      </c>
      <c r="O886" s="19">
        <v>0.16</v>
      </c>
      <c r="P886" s="16">
        <v>120</v>
      </c>
      <c r="Q886" s="16">
        <v>170</v>
      </c>
      <c r="R886" s="16">
        <v>20</v>
      </c>
      <c r="S886" s="18" t="s">
        <v>190</v>
      </c>
      <c r="T886" s="18"/>
      <c r="U886" s="17">
        <v>1000</v>
      </c>
      <c r="V886" s="18" t="s">
        <v>77</v>
      </c>
      <c r="W886" s="18" t="s">
        <v>91</v>
      </c>
      <c r="X886" s="16">
        <v>10</v>
      </c>
      <c r="Y886" s="43" t="str">
        <f>HYPERLINK("https://api-enni.alpina.ru/FilePrivilegesApproval/904","https://api-enni.alpina.ru/FilePrivilegesApproval/904")</f>
        <v>https://api-enni.alpina.ru/FilePrivilegesApproval/904</v>
      </c>
      <c r="Z886" s="18"/>
      <c r="AS886" s="1">
        <f>IF($A886&lt;&gt;0,1,0)</f>
        <v>0</v>
      </c>
      <c r="AT886" s="1">
        <f>$A886*$B886</f>
        <v>0</v>
      </c>
      <c r="AU886" s="1">
        <f>$A886*$O886</f>
        <v>0</v>
      </c>
      <c r="AV886" s="1">
        <f>IF($R886=0,0,INT($A886/$R886))</f>
        <v>0</v>
      </c>
      <c r="AW886" s="1">
        <f>$A886-$AV886*$R886</f>
        <v>0</v>
      </c>
    </row>
    <row r="887" ht="24.95" customHeight="1" outlineLevel="3" s="1" customFormat="1">
      <c r="A887" s="25"/>
      <c r="B887" s="26">
        <v>790</v>
      </c>
      <c r="C887" s="29">
        <v>1146</v>
      </c>
      <c r="D887" s="26">
        <v>20560</v>
      </c>
      <c r="E887" s="27"/>
      <c r="F887" s="27" t="s">
        <v>496</v>
      </c>
      <c r="G887" s="27" t="s">
        <v>2882</v>
      </c>
      <c r="H887" s="27" t="s">
        <v>86</v>
      </c>
      <c r="I887" s="27" t="s">
        <v>74</v>
      </c>
      <c r="J887" s="26">
        <v>2025</v>
      </c>
      <c r="K887" s="27" t="s">
        <v>2883</v>
      </c>
      <c r="L887" s="26">
        <v>9785961459494</v>
      </c>
      <c r="M887" s="27" t="s">
        <v>2884</v>
      </c>
      <c r="N887" s="26">
        <v>309</v>
      </c>
      <c r="O887" s="28">
        <v>0.46</v>
      </c>
      <c r="P887" s="26">
        <v>150</v>
      </c>
      <c r="Q887" s="26">
        <v>220</v>
      </c>
      <c r="R887" s="26">
        <v>6</v>
      </c>
      <c r="S887" s="27" t="s">
        <v>43</v>
      </c>
      <c r="T887" s="27"/>
      <c r="U887" s="29">
        <v>1000</v>
      </c>
      <c r="V887" s="27" t="s">
        <v>77</v>
      </c>
      <c r="W887" s="27" t="s">
        <v>69</v>
      </c>
      <c r="X887" s="26">
        <v>10</v>
      </c>
      <c r="Y887" s="45" t="str">
        <f>HYPERLINK("https://api-enni.alpina.ru/FilePrivilegesApproval/108","https://api-enni.alpina.ru/FilePrivilegesApproval/108")</f>
        <v>https://api-enni.alpina.ru/FilePrivilegesApproval/108</v>
      </c>
      <c r="Z887" s="27"/>
      <c r="AS887" s="1">
        <f>IF($A887&lt;&gt;0,1,0)</f>
        <v>0</v>
      </c>
      <c r="AT887" s="1">
        <f>$A887*$B887</f>
        <v>0</v>
      </c>
      <c r="AU887" s="1">
        <f>$A887*$O887</f>
        <v>0</v>
      </c>
      <c r="AV887" s="1">
        <f>IF($R887=0,0,INT($A887/$R887))</f>
        <v>0</v>
      </c>
      <c r="AW887" s="1">
        <f>$A887-$AV887*$R887</f>
        <v>0</v>
      </c>
    </row>
    <row r="888" ht="24.95" customHeight="1" outlineLevel="3" s="1" customFormat="1">
      <c r="A888" s="25"/>
      <c r="B888" s="26">
        <v>690</v>
      </c>
      <c r="C888" s="29">
        <v>1035</v>
      </c>
      <c r="D888" s="26">
        <v>18875</v>
      </c>
      <c r="E888" s="27"/>
      <c r="F888" s="27" t="s">
        <v>2885</v>
      </c>
      <c r="G888" s="27" t="s">
        <v>2886</v>
      </c>
      <c r="H888" s="27" t="s">
        <v>73</v>
      </c>
      <c r="I888" s="27" t="s">
        <v>74</v>
      </c>
      <c r="J888" s="26">
        <v>2022</v>
      </c>
      <c r="K888" s="27" t="s">
        <v>2887</v>
      </c>
      <c r="L888" s="26">
        <v>9785001394549</v>
      </c>
      <c r="M888" s="27" t="s">
        <v>2888</v>
      </c>
      <c r="N888" s="26">
        <v>384</v>
      </c>
      <c r="O888" s="28">
        <v>0.56</v>
      </c>
      <c r="P888" s="26">
        <v>146</v>
      </c>
      <c r="Q888" s="26">
        <v>216</v>
      </c>
      <c r="R888" s="26">
        <v>10</v>
      </c>
      <c r="S888" s="27" t="s">
        <v>43</v>
      </c>
      <c r="T888" s="27"/>
      <c r="U888" s="29">
        <v>3000</v>
      </c>
      <c r="V888" s="27" t="s">
        <v>77</v>
      </c>
      <c r="W888" s="27" t="s">
        <v>184</v>
      </c>
      <c r="X888" s="26">
        <v>10</v>
      </c>
      <c r="Y888" s="45" t="str">
        <f>HYPERLINK("https://api-enni.alpina.ru/FilePrivilegesApproval/149","https://api-enni.alpina.ru/FilePrivilegesApproval/149")</f>
        <v>https://api-enni.alpina.ru/FilePrivilegesApproval/149</v>
      </c>
      <c r="Z888" s="27"/>
      <c r="AS888" s="1">
        <f>IF($A888&lt;&gt;0,1,0)</f>
        <v>0</v>
      </c>
      <c r="AT888" s="1">
        <f>$A888*$B888</f>
        <v>0</v>
      </c>
      <c r="AU888" s="1">
        <f>$A888*$O888</f>
        <v>0</v>
      </c>
      <c r="AV888" s="1">
        <f>IF($R888=0,0,INT($A888/$R888))</f>
        <v>0</v>
      </c>
      <c r="AW888" s="1">
        <f>$A888-$AV888*$R888</f>
        <v>0</v>
      </c>
    </row>
    <row r="889" ht="24.95" customHeight="1" outlineLevel="3" s="1" customFormat="1">
      <c r="A889" s="15"/>
      <c r="B889" s="17">
        <v>1090</v>
      </c>
      <c r="C889" s="17">
        <v>1472</v>
      </c>
      <c r="D889" s="16">
        <v>26402</v>
      </c>
      <c r="E889" s="18"/>
      <c r="F889" s="18" t="s">
        <v>2388</v>
      </c>
      <c r="G889" s="18" t="s">
        <v>2889</v>
      </c>
      <c r="H889" s="18" t="s">
        <v>73</v>
      </c>
      <c r="I889" s="18" t="s">
        <v>74</v>
      </c>
      <c r="J889" s="16">
        <v>2022</v>
      </c>
      <c r="K889" s="18" t="s">
        <v>2890</v>
      </c>
      <c r="L889" s="16">
        <v>9785001397632</v>
      </c>
      <c r="M889" s="18" t="s">
        <v>2891</v>
      </c>
      <c r="N889" s="16">
        <v>768</v>
      </c>
      <c r="O889" s="19">
        <v>0.75</v>
      </c>
      <c r="P889" s="16">
        <v>140</v>
      </c>
      <c r="Q889" s="16">
        <v>210</v>
      </c>
      <c r="R889" s="16">
        <v>5</v>
      </c>
      <c r="S889" s="18" t="s">
        <v>43</v>
      </c>
      <c r="T889" s="18"/>
      <c r="U889" s="17">
        <v>2000</v>
      </c>
      <c r="V889" s="18" t="s">
        <v>44</v>
      </c>
      <c r="W889" s="18" t="s">
        <v>69</v>
      </c>
      <c r="X889" s="16">
        <v>10</v>
      </c>
      <c r="Y889" s="43" t="str">
        <f>HYPERLINK("https://api-enni.alpina.ru/FilePrivilegesApproval/217","https://api-enni.alpina.ru/FilePrivilegesApproval/217")</f>
        <v>https://api-enni.alpina.ru/FilePrivilegesApproval/217</v>
      </c>
      <c r="Z889" s="18" t="s">
        <v>1905</v>
      </c>
      <c r="AS889" s="1">
        <f>IF($A889&lt;&gt;0,1,0)</f>
        <v>0</v>
      </c>
      <c r="AT889" s="1">
        <f>$A889*$B889</f>
        <v>0</v>
      </c>
      <c r="AU889" s="1">
        <f>$A889*$O889</f>
        <v>0</v>
      </c>
      <c r="AV889" s="1">
        <f>IF($R889=0,0,INT($A889/$R889))</f>
        <v>0</v>
      </c>
      <c r="AW889" s="1">
        <f>$A889-$AV889*$R889</f>
        <v>0</v>
      </c>
    </row>
    <row r="890" ht="11.1" customHeight="1" outlineLevel="2">
      <c r="A890" s="41" t="s">
        <v>2892</v>
      </c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24"/>
    </row>
    <row r="891" ht="24.95" customHeight="1" outlineLevel="3" s="1" customFormat="1">
      <c r="A891" s="15"/>
      <c r="B891" s="17">
        <v>1440</v>
      </c>
      <c r="C891" s="17">
        <v>1944</v>
      </c>
      <c r="D891" s="16">
        <v>17341</v>
      </c>
      <c r="E891" s="18"/>
      <c r="F891" s="18" t="s">
        <v>2893</v>
      </c>
      <c r="G891" s="18" t="s">
        <v>2894</v>
      </c>
      <c r="H891" s="18" t="s">
        <v>73</v>
      </c>
      <c r="I891" s="18" t="s">
        <v>74</v>
      </c>
      <c r="J891" s="16">
        <v>2026</v>
      </c>
      <c r="K891" s="18" t="s">
        <v>2895</v>
      </c>
      <c r="L891" s="16">
        <v>9785001394228</v>
      </c>
      <c r="M891" s="18" t="s">
        <v>2896</v>
      </c>
      <c r="N891" s="16">
        <v>372</v>
      </c>
      <c r="O891" s="19">
        <v>0.76</v>
      </c>
      <c r="P891" s="16">
        <v>190</v>
      </c>
      <c r="Q891" s="16">
        <v>240</v>
      </c>
      <c r="R891" s="16">
        <v>4</v>
      </c>
      <c r="S891" s="18" t="s">
        <v>123</v>
      </c>
      <c r="T891" s="18"/>
      <c r="U891" s="17">
        <v>2000</v>
      </c>
      <c r="V891" s="18" t="s">
        <v>77</v>
      </c>
      <c r="W891" s="18" t="s">
        <v>91</v>
      </c>
      <c r="X891" s="16">
        <v>10</v>
      </c>
      <c r="Y891" s="43" t="str">
        <f>HYPERLINK("https://api-enni.alpina.ru/FilePrivilegesApproval/149","https://api-enni.alpina.ru/FilePrivilegesApproval/149")</f>
        <v>https://api-enni.alpina.ru/FilePrivilegesApproval/149</v>
      </c>
      <c r="Z891" s="18"/>
      <c r="AS891" s="1">
        <f>IF($A891&lt;&gt;0,1,0)</f>
        <v>0</v>
      </c>
      <c r="AT891" s="1">
        <f>$A891*$B891</f>
        <v>0</v>
      </c>
      <c r="AU891" s="1">
        <f>$A891*$O891</f>
        <v>0</v>
      </c>
      <c r="AV891" s="1">
        <f>IF($R891=0,0,INT($A891/$R891))</f>
        <v>0</v>
      </c>
      <c r="AW891" s="1">
        <f>$A891-$AV891*$R891</f>
        <v>0</v>
      </c>
    </row>
    <row r="892" ht="24.95" customHeight="1" outlineLevel="3" s="1" customFormat="1">
      <c r="A892" s="15"/>
      <c r="B892" s="17">
        <v>1990</v>
      </c>
      <c r="C892" s="17">
        <v>2587</v>
      </c>
      <c r="D892" s="16">
        <v>23546</v>
      </c>
      <c r="E892" s="18"/>
      <c r="F892" s="18" t="s">
        <v>553</v>
      </c>
      <c r="G892" s="18" t="s">
        <v>554</v>
      </c>
      <c r="H892" s="18" t="s">
        <v>73</v>
      </c>
      <c r="I892" s="18"/>
      <c r="J892" s="16">
        <v>2026</v>
      </c>
      <c r="K892" s="18" t="s">
        <v>555</v>
      </c>
      <c r="L892" s="16">
        <v>9785001397496</v>
      </c>
      <c r="M892" s="18" t="s">
        <v>556</v>
      </c>
      <c r="N892" s="16">
        <v>627</v>
      </c>
      <c r="O892" s="19">
        <v>1.26</v>
      </c>
      <c r="P892" s="16">
        <v>200</v>
      </c>
      <c r="Q892" s="16">
        <v>250</v>
      </c>
      <c r="R892" s="16">
        <v>4</v>
      </c>
      <c r="S892" s="18" t="s">
        <v>328</v>
      </c>
      <c r="T892" s="18"/>
      <c r="U892" s="17">
        <v>5000</v>
      </c>
      <c r="V892" s="18" t="s">
        <v>77</v>
      </c>
      <c r="W892" s="18" t="s">
        <v>91</v>
      </c>
      <c r="X892" s="16">
        <v>10</v>
      </c>
      <c r="Y892" s="43" t="str">
        <f>HYPERLINK("https://api-enni.alpina.ru/FilePrivilegesApproval/185","https://api-enni.alpina.ru/FilePrivilegesApproval/185")</f>
        <v>https://api-enni.alpina.ru/FilePrivilegesApproval/185</v>
      </c>
      <c r="Z892" s="18"/>
      <c r="AS892" s="1">
        <f>IF($A892&lt;&gt;0,1,0)</f>
        <v>0</v>
      </c>
      <c r="AT892" s="1">
        <f>$A892*$B892</f>
        <v>0</v>
      </c>
      <c r="AU892" s="1">
        <f>$A892*$O892</f>
        <v>0</v>
      </c>
      <c r="AV892" s="1">
        <f>IF($R892=0,0,INT($A892/$R892))</f>
        <v>0</v>
      </c>
      <c r="AW892" s="1">
        <f>$A892-$AV892*$R892</f>
        <v>0</v>
      </c>
    </row>
    <row r="893" ht="24.95" customHeight="1" outlineLevel="3" s="1" customFormat="1">
      <c r="A893" s="15"/>
      <c r="B893" s="16">
        <v>440</v>
      </c>
      <c r="C893" s="16">
        <v>682</v>
      </c>
      <c r="D893" s="16">
        <v>30260</v>
      </c>
      <c r="E893" s="18"/>
      <c r="F893" s="18" t="s">
        <v>2897</v>
      </c>
      <c r="G893" s="18" t="s">
        <v>2898</v>
      </c>
      <c r="H893" s="18" t="s">
        <v>73</v>
      </c>
      <c r="I893" s="18" t="s">
        <v>74</v>
      </c>
      <c r="J893" s="16">
        <v>2022</v>
      </c>
      <c r="K893" s="18" t="s">
        <v>2899</v>
      </c>
      <c r="L893" s="16">
        <v>9785002232369</v>
      </c>
      <c r="M893" s="18" t="s">
        <v>2900</v>
      </c>
      <c r="N893" s="16">
        <v>256</v>
      </c>
      <c r="O893" s="19">
        <v>0.17</v>
      </c>
      <c r="P893" s="16">
        <v>120</v>
      </c>
      <c r="Q893" s="16">
        <v>170</v>
      </c>
      <c r="R893" s="16">
        <v>20</v>
      </c>
      <c r="S893" s="18" t="s">
        <v>190</v>
      </c>
      <c r="T893" s="18" t="s">
        <v>491</v>
      </c>
      <c r="U893" s="17">
        <v>2000</v>
      </c>
      <c r="V893" s="18" t="s">
        <v>44</v>
      </c>
      <c r="W893" s="18" t="s">
        <v>91</v>
      </c>
      <c r="X893" s="16">
        <v>10</v>
      </c>
      <c r="Y893" s="43" t="str">
        <f>HYPERLINK("https://api-enni.alpina.ru/FilePrivilegesApproval/569","https://api-enni.alpina.ru/FilePrivilegesApproval/569")</f>
        <v>https://api-enni.alpina.ru/FilePrivilegesApproval/569</v>
      </c>
      <c r="Z893" s="18"/>
      <c r="AS893" s="1">
        <f>IF($A893&lt;&gt;0,1,0)</f>
        <v>0</v>
      </c>
      <c r="AT893" s="1">
        <f>$A893*$B893</f>
        <v>0</v>
      </c>
      <c r="AU893" s="1">
        <f>$A893*$O893</f>
        <v>0</v>
      </c>
      <c r="AV893" s="1">
        <f>IF($R893=0,0,INT($A893/$R893))</f>
        <v>0</v>
      </c>
      <c r="AW893" s="1">
        <f>$A893-$AV893*$R893</f>
        <v>0</v>
      </c>
    </row>
    <row r="894" ht="24.95" customHeight="1" outlineLevel="3" s="1" customFormat="1">
      <c r="A894" s="15"/>
      <c r="B894" s="16">
        <v>690</v>
      </c>
      <c r="C894" s="17">
        <v>1035</v>
      </c>
      <c r="D894" s="16">
        <v>18163</v>
      </c>
      <c r="E894" s="18"/>
      <c r="F894" s="18" t="s">
        <v>2901</v>
      </c>
      <c r="G894" s="18" t="s">
        <v>2902</v>
      </c>
      <c r="H894" s="18" t="s">
        <v>73</v>
      </c>
      <c r="I894" s="18" t="s">
        <v>74</v>
      </c>
      <c r="J894" s="16">
        <v>2022</v>
      </c>
      <c r="K894" s="18" t="s">
        <v>2903</v>
      </c>
      <c r="L894" s="16">
        <v>9785001393054</v>
      </c>
      <c r="M894" s="18" t="s">
        <v>2904</v>
      </c>
      <c r="N894" s="16">
        <v>336</v>
      </c>
      <c r="O894" s="19">
        <v>0.51</v>
      </c>
      <c r="P894" s="16">
        <v>146</v>
      </c>
      <c r="Q894" s="16">
        <v>216</v>
      </c>
      <c r="R894" s="16">
        <v>12</v>
      </c>
      <c r="S894" s="18" t="s">
        <v>43</v>
      </c>
      <c r="T894" s="18" t="s">
        <v>2905</v>
      </c>
      <c r="U894" s="17">
        <v>3000</v>
      </c>
      <c r="V894" s="18" t="s">
        <v>77</v>
      </c>
      <c r="W894" s="18" t="s">
        <v>91</v>
      </c>
      <c r="X894" s="16">
        <v>10</v>
      </c>
      <c r="Y894" s="43" t="str">
        <f>HYPERLINK("https://api-enni.alpina.ru/FilePrivilegesApproval/127","https://api-enni.alpina.ru/FilePrivilegesApproval/127")</f>
        <v>https://api-enni.alpina.ru/FilePrivilegesApproval/127</v>
      </c>
      <c r="Z894" s="18"/>
      <c r="AS894" s="1">
        <f>IF($A894&lt;&gt;0,1,0)</f>
        <v>0</v>
      </c>
      <c r="AT894" s="1">
        <f>$A894*$B894</f>
        <v>0</v>
      </c>
      <c r="AU894" s="1">
        <f>$A894*$O894</f>
        <v>0</v>
      </c>
      <c r="AV894" s="1">
        <f>IF($R894=0,0,INT($A894/$R894))</f>
        <v>0</v>
      </c>
      <c r="AW894" s="1">
        <f>$A894-$AV894*$R894</f>
        <v>0</v>
      </c>
    </row>
    <row r="895" ht="24.95" customHeight="1" outlineLevel="3" s="1" customFormat="1">
      <c r="A895" s="15"/>
      <c r="B895" s="16">
        <v>990</v>
      </c>
      <c r="C895" s="17">
        <v>1386</v>
      </c>
      <c r="D895" s="16">
        <v>3322</v>
      </c>
      <c r="E895" s="18"/>
      <c r="F895" s="18" t="s">
        <v>557</v>
      </c>
      <c r="G895" s="18" t="s">
        <v>558</v>
      </c>
      <c r="H895" s="18" t="s">
        <v>73</v>
      </c>
      <c r="I895" s="18" t="s">
        <v>74</v>
      </c>
      <c r="J895" s="16">
        <v>2026</v>
      </c>
      <c r="K895" s="18" t="s">
        <v>559</v>
      </c>
      <c r="L895" s="16">
        <v>9785001390350</v>
      </c>
      <c r="M895" s="18" t="s">
        <v>560</v>
      </c>
      <c r="N895" s="16">
        <v>502</v>
      </c>
      <c r="O895" s="19">
        <v>0.7</v>
      </c>
      <c r="P895" s="16">
        <v>147</v>
      </c>
      <c r="Q895" s="16">
        <v>216</v>
      </c>
      <c r="R895" s="16">
        <v>6</v>
      </c>
      <c r="S895" s="18" t="s">
        <v>43</v>
      </c>
      <c r="T895" s="18"/>
      <c r="U895" s="17">
        <v>2000</v>
      </c>
      <c r="V895" s="18" t="s">
        <v>77</v>
      </c>
      <c r="W895" s="18" t="s">
        <v>91</v>
      </c>
      <c r="X895" s="16">
        <v>10</v>
      </c>
      <c r="Y895" s="43" t="str">
        <f>HYPERLINK("https://api-enni.alpina.ru/FilePrivilegesApproval/145","https://api-enni.alpina.ru/FilePrivilegesApproval/145")</f>
        <v>https://api-enni.alpina.ru/FilePrivilegesApproval/145</v>
      </c>
      <c r="Z895" s="18" t="s">
        <v>108</v>
      </c>
      <c r="AS895" s="1">
        <f>IF($A895&lt;&gt;0,1,0)</f>
        <v>0</v>
      </c>
      <c r="AT895" s="1">
        <f>$A895*$B895</f>
        <v>0</v>
      </c>
      <c r="AU895" s="1">
        <f>$A895*$O895</f>
        <v>0</v>
      </c>
      <c r="AV895" s="1">
        <f>IF($R895=0,0,INT($A895/$R895))</f>
        <v>0</v>
      </c>
      <c r="AW895" s="1">
        <f>$A895-$AV895*$R895</f>
        <v>0</v>
      </c>
    </row>
    <row r="896" ht="24.95" customHeight="1" outlineLevel="3" s="1" customFormat="1">
      <c r="A896" s="15"/>
      <c r="B896" s="17">
        <v>1290</v>
      </c>
      <c r="C896" s="17">
        <v>1742</v>
      </c>
      <c r="D896" s="16">
        <v>3944</v>
      </c>
      <c r="E896" s="18"/>
      <c r="F896" s="18" t="s">
        <v>2906</v>
      </c>
      <c r="G896" s="18" t="s">
        <v>2907</v>
      </c>
      <c r="H896" s="18" t="s">
        <v>73</v>
      </c>
      <c r="I896" s="18" t="s">
        <v>74</v>
      </c>
      <c r="J896" s="16">
        <v>2026</v>
      </c>
      <c r="K896" s="18" t="s">
        <v>2908</v>
      </c>
      <c r="L896" s="16">
        <v>9785916716535</v>
      </c>
      <c r="M896" s="18" t="s">
        <v>2909</v>
      </c>
      <c r="N896" s="16">
        <v>604</v>
      </c>
      <c r="O896" s="19">
        <v>0.88</v>
      </c>
      <c r="P896" s="16">
        <v>146</v>
      </c>
      <c r="Q896" s="16">
        <v>216</v>
      </c>
      <c r="R896" s="16">
        <v>6</v>
      </c>
      <c r="S896" s="18" t="s">
        <v>43</v>
      </c>
      <c r="T896" s="18"/>
      <c r="U896" s="17">
        <v>1000</v>
      </c>
      <c r="V896" s="18" t="s">
        <v>77</v>
      </c>
      <c r="W896" s="18" t="s">
        <v>69</v>
      </c>
      <c r="X896" s="16">
        <v>10</v>
      </c>
      <c r="Y896" s="43" t="str">
        <f>HYPERLINK("https://api-enni.alpina.ru/FilePrivilegesApproval/131","https://api-enni.alpina.ru/FilePrivilegesApproval/131")</f>
        <v>https://api-enni.alpina.ru/FilePrivilegesApproval/131</v>
      </c>
      <c r="Z896" s="18" t="s">
        <v>1958</v>
      </c>
      <c r="AS896" s="1">
        <f>IF($A896&lt;&gt;0,1,0)</f>
        <v>0</v>
      </c>
      <c r="AT896" s="1">
        <f>$A896*$B896</f>
        <v>0</v>
      </c>
      <c r="AU896" s="1">
        <f>$A896*$O896</f>
        <v>0</v>
      </c>
      <c r="AV896" s="1">
        <f>IF($R896=0,0,INT($A896/$R896))</f>
        <v>0</v>
      </c>
      <c r="AW896" s="1">
        <f>$A896-$AV896*$R896</f>
        <v>0</v>
      </c>
    </row>
    <row r="897" ht="24.95" customHeight="1" outlineLevel="3" s="1" customFormat="1">
      <c r="A897" s="15"/>
      <c r="B897" s="17">
        <v>1290</v>
      </c>
      <c r="C897" s="17">
        <v>1742</v>
      </c>
      <c r="D897" s="16">
        <v>31091</v>
      </c>
      <c r="E897" s="18"/>
      <c r="F897" s="18" t="s">
        <v>2893</v>
      </c>
      <c r="G897" s="18" t="s">
        <v>2910</v>
      </c>
      <c r="H897" s="18" t="s">
        <v>73</v>
      </c>
      <c r="I897" s="18" t="s">
        <v>74</v>
      </c>
      <c r="J897" s="16">
        <v>2025</v>
      </c>
      <c r="K897" s="18" t="s">
        <v>2911</v>
      </c>
      <c r="L897" s="16">
        <v>9785002233311</v>
      </c>
      <c r="M897" s="18" t="s">
        <v>2912</v>
      </c>
      <c r="N897" s="16">
        <v>296</v>
      </c>
      <c r="O897" s="19">
        <v>0.75</v>
      </c>
      <c r="P897" s="16">
        <v>190</v>
      </c>
      <c r="Q897" s="16">
        <v>240</v>
      </c>
      <c r="R897" s="16">
        <v>6</v>
      </c>
      <c r="S897" s="18" t="s">
        <v>123</v>
      </c>
      <c r="T897" s="18"/>
      <c r="U897" s="17">
        <v>5000</v>
      </c>
      <c r="V897" s="18" t="s">
        <v>77</v>
      </c>
      <c r="W897" s="18" t="s">
        <v>91</v>
      </c>
      <c r="X897" s="16">
        <v>10</v>
      </c>
      <c r="Y897" s="43" t="str">
        <f>HYPERLINK("https://api-enni.alpina.ru/FilePrivilegesApproval/1003","https://api-enni.alpina.ru/FilePrivilegesApproval/1003")</f>
        <v>https://api-enni.alpina.ru/FilePrivilegesApproval/1003</v>
      </c>
      <c r="Z897" s="18"/>
      <c r="AS897" s="1">
        <f>IF($A897&lt;&gt;0,1,0)</f>
        <v>0</v>
      </c>
      <c r="AT897" s="1">
        <f>$A897*$B897</f>
        <v>0</v>
      </c>
      <c r="AU897" s="1">
        <f>$A897*$O897</f>
        <v>0</v>
      </c>
      <c r="AV897" s="1">
        <f>IF($R897=0,0,INT($A897/$R897))</f>
        <v>0</v>
      </c>
      <c r="AW897" s="1">
        <f>$A897-$AV897*$R897</f>
        <v>0</v>
      </c>
    </row>
    <row r="898" ht="24.95" customHeight="1" outlineLevel="3" s="1" customFormat="1">
      <c r="A898" s="15"/>
      <c r="B898" s="17">
        <v>1490</v>
      </c>
      <c r="C898" s="17">
        <v>2012</v>
      </c>
      <c r="D898" s="16">
        <v>24920</v>
      </c>
      <c r="E898" s="18"/>
      <c r="F898" s="18" t="s">
        <v>2913</v>
      </c>
      <c r="G898" s="18" t="s">
        <v>2914</v>
      </c>
      <c r="H898" s="18" t="s">
        <v>73</v>
      </c>
      <c r="I898" s="18" t="s">
        <v>74</v>
      </c>
      <c r="J898" s="16">
        <v>2026</v>
      </c>
      <c r="K898" s="18" t="s">
        <v>2915</v>
      </c>
      <c r="L898" s="16">
        <v>9785001396246</v>
      </c>
      <c r="M898" s="18" t="s">
        <v>2916</v>
      </c>
      <c r="N898" s="16">
        <v>542</v>
      </c>
      <c r="O898" s="19">
        <v>0.73</v>
      </c>
      <c r="P898" s="16">
        <v>153</v>
      </c>
      <c r="Q898" s="16">
        <v>216</v>
      </c>
      <c r="R898" s="16">
        <v>10</v>
      </c>
      <c r="S898" s="18" t="s">
        <v>43</v>
      </c>
      <c r="T898" s="18"/>
      <c r="U898" s="17">
        <v>1000</v>
      </c>
      <c r="V898" s="18" t="s">
        <v>77</v>
      </c>
      <c r="W898" s="18" t="s">
        <v>184</v>
      </c>
      <c r="X898" s="16">
        <v>10</v>
      </c>
      <c r="Y898" s="43" t="str">
        <f>HYPERLINK("https://api-enni.alpina.ru/FilePrivilegesApproval/131","https://api-enni.alpina.ru/FilePrivilegesApproval/131")</f>
        <v>https://api-enni.alpina.ru/FilePrivilegesApproval/131</v>
      </c>
      <c r="Z898" s="18" t="s">
        <v>843</v>
      </c>
      <c r="AS898" s="1">
        <f>IF($A898&lt;&gt;0,1,0)</f>
        <v>0</v>
      </c>
      <c r="AT898" s="1">
        <f>$A898*$B898</f>
        <v>0</v>
      </c>
      <c r="AU898" s="1">
        <f>$A898*$O898</f>
        <v>0</v>
      </c>
      <c r="AV898" s="1">
        <f>IF($R898=0,0,INT($A898/$R898))</f>
        <v>0</v>
      </c>
      <c r="AW898" s="1">
        <f>$A898-$AV898*$R898</f>
        <v>0</v>
      </c>
    </row>
    <row r="899" ht="24.95" customHeight="1" outlineLevel="3" s="1" customFormat="1">
      <c r="A899" s="15"/>
      <c r="B899" s="17">
        <v>1590</v>
      </c>
      <c r="C899" s="17">
        <v>2067</v>
      </c>
      <c r="D899" s="16">
        <v>11303</v>
      </c>
      <c r="E899" s="18"/>
      <c r="F899" s="18" t="s">
        <v>2893</v>
      </c>
      <c r="G899" s="18" t="s">
        <v>2917</v>
      </c>
      <c r="H899" s="18" t="s">
        <v>73</v>
      </c>
      <c r="I899" s="18" t="s">
        <v>74</v>
      </c>
      <c r="J899" s="16">
        <v>2026</v>
      </c>
      <c r="K899" s="18" t="s">
        <v>2918</v>
      </c>
      <c r="L899" s="16">
        <v>9785001393399</v>
      </c>
      <c r="M899" s="18" t="s">
        <v>2919</v>
      </c>
      <c r="N899" s="16">
        <v>460</v>
      </c>
      <c r="O899" s="19">
        <v>0.91</v>
      </c>
      <c r="P899" s="16">
        <v>190</v>
      </c>
      <c r="Q899" s="16">
        <v>240</v>
      </c>
      <c r="R899" s="16">
        <v>4</v>
      </c>
      <c r="S899" s="18" t="s">
        <v>123</v>
      </c>
      <c r="T899" s="18"/>
      <c r="U899" s="17">
        <v>3000</v>
      </c>
      <c r="V899" s="18" t="s">
        <v>77</v>
      </c>
      <c r="W899" s="18" t="s">
        <v>91</v>
      </c>
      <c r="X899" s="16">
        <v>10</v>
      </c>
      <c r="Y899" s="43" t="str">
        <f>HYPERLINK("https://api-enni.alpina.ru/FilePrivilegesApproval/131","https://api-enni.alpina.ru/FilePrivilegesApproval/131")</f>
        <v>https://api-enni.alpina.ru/FilePrivilegesApproval/131</v>
      </c>
      <c r="Z899" s="18"/>
      <c r="AS899" s="1">
        <f>IF($A899&lt;&gt;0,1,0)</f>
        <v>0</v>
      </c>
      <c r="AT899" s="1">
        <f>$A899*$B899</f>
        <v>0</v>
      </c>
      <c r="AU899" s="1">
        <f>$A899*$O899</f>
        <v>0</v>
      </c>
      <c r="AV899" s="1">
        <f>IF($R899=0,0,INT($A899/$R899))</f>
        <v>0</v>
      </c>
      <c r="AW899" s="1">
        <f>$A899-$AV899*$R899</f>
        <v>0</v>
      </c>
    </row>
    <row r="900" ht="24.95" customHeight="1" outlineLevel="3" s="1" customFormat="1">
      <c r="A900" s="15"/>
      <c r="B900" s="17">
        <v>1490</v>
      </c>
      <c r="C900" s="17">
        <v>2012</v>
      </c>
      <c r="D900" s="16">
        <v>25175</v>
      </c>
      <c r="E900" s="18"/>
      <c r="F900" s="18" t="s">
        <v>2893</v>
      </c>
      <c r="G900" s="18" t="s">
        <v>2920</v>
      </c>
      <c r="H900" s="18" t="s">
        <v>73</v>
      </c>
      <c r="I900" s="18" t="s">
        <v>74</v>
      </c>
      <c r="J900" s="16">
        <v>2026</v>
      </c>
      <c r="K900" s="18" t="s">
        <v>2921</v>
      </c>
      <c r="L900" s="16">
        <v>9785001396475</v>
      </c>
      <c r="M900" s="18" t="s">
        <v>2922</v>
      </c>
      <c r="N900" s="16">
        <v>464</v>
      </c>
      <c r="O900" s="19">
        <v>1.09</v>
      </c>
      <c r="P900" s="16">
        <v>190</v>
      </c>
      <c r="Q900" s="16">
        <v>240</v>
      </c>
      <c r="R900" s="16">
        <v>4</v>
      </c>
      <c r="S900" s="18" t="s">
        <v>123</v>
      </c>
      <c r="T900" s="18"/>
      <c r="U900" s="17">
        <v>5000</v>
      </c>
      <c r="V900" s="18" t="s">
        <v>77</v>
      </c>
      <c r="W900" s="18" t="s">
        <v>91</v>
      </c>
      <c r="X900" s="16">
        <v>10</v>
      </c>
      <c r="Y900" s="43" t="str">
        <f>HYPERLINK("https://api-enni.alpina.ru/FilePrivilegesApproval/297","https://api-enni.alpina.ru/FilePrivilegesApproval/297")</f>
        <v>https://api-enni.alpina.ru/FilePrivilegesApproval/297</v>
      </c>
      <c r="Z900" s="18"/>
      <c r="AS900" s="1">
        <f>IF($A900&lt;&gt;0,1,0)</f>
        <v>0</v>
      </c>
      <c r="AT900" s="1">
        <f>$A900*$B900</f>
        <v>0</v>
      </c>
      <c r="AU900" s="1">
        <f>$A900*$O900</f>
        <v>0</v>
      </c>
      <c r="AV900" s="1">
        <f>IF($R900=0,0,INT($A900/$R900))</f>
        <v>0</v>
      </c>
      <c r="AW900" s="1">
        <f>$A900-$AV900*$R900</f>
        <v>0</v>
      </c>
    </row>
    <row r="901" ht="24.95" customHeight="1" outlineLevel="3" s="1" customFormat="1">
      <c r="A901" s="15"/>
      <c r="B901" s="16">
        <v>640</v>
      </c>
      <c r="C901" s="16">
        <v>960</v>
      </c>
      <c r="D901" s="16">
        <v>12245</v>
      </c>
      <c r="E901" s="18"/>
      <c r="F901" s="18" t="s">
        <v>2923</v>
      </c>
      <c r="G901" s="18" t="s">
        <v>2924</v>
      </c>
      <c r="H901" s="18" t="s">
        <v>86</v>
      </c>
      <c r="I901" s="18" t="s">
        <v>764</v>
      </c>
      <c r="J901" s="16">
        <v>2025</v>
      </c>
      <c r="K901" s="18" t="s">
        <v>2925</v>
      </c>
      <c r="L901" s="16">
        <v>9785961431988</v>
      </c>
      <c r="M901" s="18" t="s">
        <v>2926</v>
      </c>
      <c r="N901" s="16">
        <v>181</v>
      </c>
      <c r="O901" s="19">
        <v>0.2</v>
      </c>
      <c r="P901" s="16">
        <v>125</v>
      </c>
      <c r="Q901" s="16">
        <v>200</v>
      </c>
      <c r="R901" s="16">
        <v>14</v>
      </c>
      <c r="S901" s="18" t="s">
        <v>90</v>
      </c>
      <c r="T901" s="18"/>
      <c r="U901" s="17">
        <v>3000</v>
      </c>
      <c r="V901" s="18" t="s">
        <v>44</v>
      </c>
      <c r="W901" s="18" t="s">
        <v>184</v>
      </c>
      <c r="X901" s="16">
        <v>10</v>
      </c>
      <c r="Y901" s="43" t="str">
        <f>HYPERLINK("https://api-enni.alpina.ru/FilePrivilegesApproval/141","https://api-enni.alpina.ru/FilePrivilegesApproval/141")</f>
        <v>https://api-enni.alpina.ru/FilePrivilegesApproval/141</v>
      </c>
      <c r="Z901" s="18"/>
      <c r="AS901" s="1">
        <f>IF($A901&lt;&gt;0,1,0)</f>
        <v>0</v>
      </c>
      <c r="AT901" s="1">
        <f>$A901*$B901</f>
        <v>0</v>
      </c>
      <c r="AU901" s="1">
        <f>$A901*$O901</f>
        <v>0</v>
      </c>
      <c r="AV901" s="1">
        <f>IF($R901=0,0,INT($A901/$R901))</f>
        <v>0</v>
      </c>
      <c r="AW901" s="1">
        <f>$A901-$AV901*$R901</f>
        <v>0</v>
      </c>
    </row>
    <row r="902" ht="24.95" customHeight="1" outlineLevel="3" s="1" customFormat="1">
      <c r="A902" s="15"/>
      <c r="B902" s="16">
        <v>990</v>
      </c>
      <c r="C902" s="17">
        <v>1386</v>
      </c>
      <c r="D902" s="16">
        <v>9128</v>
      </c>
      <c r="E902" s="18"/>
      <c r="F902" s="18" t="s">
        <v>896</v>
      </c>
      <c r="G902" s="18" t="s">
        <v>2927</v>
      </c>
      <c r="H902" s="18" t="s">
        <v>73</v>
      </c>
      <c r="I902" s="18" t="s">
        <v>74</v>
      </c>
      <c r="J902" s="16">
        <v>2025</v>
      </c>
      <c r="K902" s="18" t="s">
        <v>2928</v>
      </c>
      <c r="L902" s="16">
        <v>9785001390046</v>
      </c>
      <c r="M902" s="18" t="s">
        <v>2929</v>
      </c>
      <c r="N902" s="16">
        <v>822</v>
      </c>
      <c r="O902" s="19">
        <v>0.52</v>
      </c>
      <c r="P902" s="16">
        <v>115</v>
      </c>
      <c r="Q902" s="16">
        <v>165</v>
      </c>
      <c r="R902" s="16">
        <v>8</v>
      </c>
      <c r="S902" s="18" t="s">
        <v>190</v>
      </c>
      <c r="T902" s="18" t="s">
        <v>491</v>
      </c>
      <c r="U902" s="17">
        <v>2000</v>
      </c>
      <c r="V902" s="18" t="s">
        <v>44</v>
      </c>
      <c r="W902" s="18" t="s">
        <v>69</v>
      </c>
      <c r="X902" s="16">
        <v>10</v>
      </c>
      <c r="Y902" s="43" t="str">
        <f>HYPERLINK("https://api-enni.alpina.ru/FilePrivilegesApproval/146","https://api-enni.alpina.ru/FilePrivilegesApproval/146")</f>
        <v>https://api-enni.alpina.ru/FilePrivilegesApproval/146</v>
      </c>
      <c r="Z902" s="18"/>
      <c r="AS902" s="1">
        <f>IF($A902&lt;&gt;0,1,0)</f>
        <v>0</v>
      </c>
      <c r="AT902" s="1">
        <f>$A902*$B902</f>
        <v>0</v>
      </c>
      <c r="AU902" s="1">
        <f>$A902*$O902</f>
        <v>0</v>
      </c>
      <c r="AV902" s="1">
        <f>IF($R902=0,0,INT($A902/$R902))</f>
        <v>0</v>
      </c>
      <c r="AW902" s="1">
        <f>$A902-$AV902*$R902</f>
        <v>0</v>
      </c>
    </row>
    <row r="903" ht="24.95" customHeight="1" outlineLevel="3" s="1" customFormat="1">
      <c r="A903" s="15"/>
      <c r="B903" s="16">
        <v>690</v>
      </c>
      <c r="C903" s="17">
        <v>1035</v>
      </c>
      <c r="D903" s="16">
        <v>27375</v>
      </c>
      <c r="E903" s="18"/>
      <c r="F903" s="18" t="s">
        <v>2930</v>
      </c>
      <c r="G903" s="18" t="s">
        <v>2931</v>
      </c>
      <c r="H903" s="18" t="s">
        <v>86</v>
      </c>
      <c r="I903" s="18" t="s">
        <v>160</v>
      </c>
      <c r="J903" s="16">
        <v>2024</v>
      </c>
      <c r="K903" s="18" t="s">
        <v>2932</v>
      </c>
      <c r="L903" s="16">
        <v>9785961484717</v>
      </c>
      <c r="M903" s="18" t="s">
        <v>2933</v>
      </c>
      <c r="N903" s="16">
        <v>346</v>
      </c>
      <c r="O903" s="19">
        <v>0.51</v>
      </c>
      <c r="P903" s="16">
        <v>150</v>
      </c>
      <c r="Q903" s="16">
        <v>220</v>
      </c>
      <c r="R903" s="16">
        <v>12</v>
      </c>
      <c r="S903" s="18" t="s">
        <v>43</v>
      </c>
      <c r="T903" s="18"/>
      <c r="U903" s="17">
        <v>2000</v>
      </c>
      <c r="V903" s="18" t="s">
        <v>77</v>
      </c>
      <c r="W903" s="18" t="s">
        <v>91</v>
      </c>
      <c r="X903" s="16">
        <v>10</v>
      </c>
      <c r="Y903" s="43" t="str">
        <f>HYPERLINK("https://api-enni.alpina.ru/FilePrivilegesApproval/700","https://api-enni.alpina.ru/FilePrivilegesApproval/700")</f>
        <v>https://api-enni.alpina.ru/FilePrivilegesApproval/700</v>
      </c>
      <c r="Z903" s="18"/>
      <c r="AS903" s="1">
        <f>IF($A903&lt;&gt;0,1,0)</f>
        <v>0</v>
      </c>
      <c r="AT903" s="1">
        <f>$A903*$B903</f>
        <v>0</v>
      </c>
      <c r="AU903" s="1">
        <f>$A903*$O903</f>
        <v>0</v>
      </c>
      <c r="AV903" s="1">
        <f>IF($R903=0,0,INT($A903/$R903))</f>
        <v>0</v>
      </c>
      <c r="AW903" s="1">
        <f>$A903-$AV903*$R903</f>
        <v>0</v>
      </c>
    </row>
    <row r="904" ht="24.95" customHeight="1" outlineLevel="3" s="1" customFormat="1">
      <c r="A904" s="15"/>
      <c r="B904" s="16">
        <v>860</v>
      </c>
      <c r="C904" s="17">
        <v>1386</v>
      </c>
      <c r="D904" s="16">
        <v>29731</v>
      </c>
      <c r="E904" s="18"/>
      <c r="F904" s="18" t="s">
        <v>553</v>
      </c>
      <c r="G904" s="18" t="s">
        <v>2934</v>
      </c>
      <c r="H904" s="18" t="s">
        <v>73</v>
      </c>
      <c r="I904" s="18"/>
      <c r="J904" s="16">
        <v>2026</v>
      </c>
      <c r="K904" s="18" t="s">
        <v>2935</v>
      </c>
      <c r="L904" s="16">
        <v>9785002231744</v>
      </c>
      <c r="M904" s="18" t="s">
        <v>2936</v>
      </c>
      <c r="N904" s="16">
        <v>376</v>
      </c>
      <c r="O904" s="19">
        <v>0.55</v>
      </c>
      <c r="P904" s="16">
        <v>160</v>
      </c>
      <c r="Q904" s="16">
        <v>220</v>
      </c>
      <c r="R904" s="16">
        <v>7</v>
      </c>
      <c r="S904" s="18" t="s">
        <v>52</v>
      </c>
      <c r="T904" s="18"/>
      <c r="U904" s="17">
        <v>10000</v>
      </c>
      <c r="V904" s="18" t="s">
        <v>44</v>
      </c>
      <c r="W904" s="18" t="s">
        <v>91</v>
      </c>
      <c r="X904" s="16">
        <v>10</v>
      </c>
      <c r="Y904" s="43" t="str">
        <f>HYPERLINK("https://api-enni.alpina.ru/FilePrivilegesApproval/714","https://api-enni.alpina.ru/FilePrivilegesApproval/714")</f>
        <v>https://api-enni.alpina.ru/FilePrivilegesApproval/714</v>
      </c>
      <c r="Z904" s="18"/>
      <c r="AS904" s="1">
        <f>IF($A904&lt;&gt;0,1,0)</f>
        <v>0</v>
      </c>
      <c r="AT904" s="1">
        <f>$A904*$B904</f>
        <v>0</v>
      </c>
      <c r="AU904" s="1">
        <f>$A904*$O904</f>
        <v>0</v>
      </c>
      <c r="AV904" s="1">
        <f>IF($R904=0,0,INT($A904/$R904))</f>
        <v>0</v>
      </c>
      <c r="AW904" s="1">
        <f>$A904-$AV904*$R904</f>
        <v>0</v>
      </c>
    </row>
    <row r="905" ht="24.95" customHeight="1" outlineLevel="3" s="1" customFormat="1">
      <c r="A905" s="15"/>
      <c r="B905" s="16">
        <v>940</v>
      </c>
      <c r="C905" s="17">
        <v>1316</v>
      </c>
      <c r="D905" s="16">
        <v>7124</v>
      </c>
      <c r="E905" s="18"/>
      <c r="F905" s="18" t="s">
        <v>896</v>
      </c>
      <c r="G905" s="18" t="s">
        <v>897</v>
      </c>
      <c r="H905" s="18" t="s">
        <v>73</v>
      </c>
      <c r="I905" s="18" t="s">
        <v>74</v>
      </c>
      <c r="J905" s="16">
        <v>2026</v>
      </c>
      <c r="K905" s="18" t="s">
        <v>898</v>
      </c>
      <c r="L905" s="16">
        <v>9785916718416</v>
      </c>
      <c r="M905" s="18" t="s">
        <v>899</v>
      </c>
      <c r="N905" s="16">
        <v>430</v>
      </c>
      <c r="O905" s="19">
        <v>0.65</v>
      </c>
      <c r="P905" s="16">
        <v>150</v>
      </c>
      <c r="Q905" s="16">
        <v>220</v>
      </c>
      <c r="R905" s="16">
        <v>8</v>
      </c>
      <c r="S905" s="18" t="s">
        <v>43</v>
      </c>
      <c r="T905" s="18"/>
      <c r="U905" s="17">
        <v>2000</v>
      </c>
      <c r="V905" s="18" t="s">
        <v>77</v>
      </c>
      <c r="W905" s="18" t="s">
        <v>91</v>
      </c>
      <c r="X905" s="16">
        <v>10</v>
      </c>
      <c r="Y905" s="43" t="str">
        <f>HYPERLINK("https://api-enni.alpina.ru/FilePrivilegesApproval/5","https://api-enni.alpina.ru/FilePrivilegesApproval/5")</f>
        <v>https://api-enni.alpina.ru/FilePrivilegesApproval/5</v>
      </c>
      <c r="Z905" s="18" t="s">
        <v>103</v>
      </c>
      <c r="AS905" s="1">
        <f>IF($A905&lt;&gt;0,1,0)</f>
        <v>0</v>
      </c>
      <c r="AT905" s="1">
        <f>$A905*$B905</f>
        <v>0</v>
      </c>
      <c r="AU905" s="1">
        <f>$A905*$O905</f>
        <v>0</v>
      </c>
      <c r="AV905" s="1">
        <f>IF($R905=0,0,INT($A905/$R905))</f>
        <v>0</v>
      </c>
      <c r="AW905" s="1">
        <f>$A905-$AV905*$R905</f>
        <v>0</v>
      </c>
    </row>
    <row r="906" ht="24.95" customHeight="1" outlineLevel="3" s="1" customFormat="1">
      <c r="A906" s="15"/>
      <c r="B906" s="16">
        <v>790</v>
      </c>
      <c r="C906" s="17">
        <v>1146</v>
      </c>
      <c r="D906" s="16">
        <v>18600</v>
      </c>
      <c r="E906" s="18"/>
      <c r="F906" s="18" t="s">
        <v>557</v>
      </c>
      <c r="G906" s="18" t="s">
        <v>2937</v>
      </c>
      <c r="H906" s="18" t="s">
        <v>73</v>
      </c>
      <c r="I906" s="18" t="s">
        <v>74</v>
      </c>
      <c r="J906" s="16">
        <v>2026</v>
      </c>
      <c r="K906" s="18" t="s">
        <v>2938</v>
      </c>
      <c r="L906" s="16">
        <v>9785001394310</v>
      </c>
      <c r="M906" s="18" t="s">
        <v>2939</v>
      </c>
      <c r="N906" s="16">
        <v>246</v>
      </c>
      <c r="O906" s="19">
        <v>0.35</v>
      </c>
      <c r="P906" s="16">
        <v>140</v>
      </c>
      <c r="Q906" s="16">
        <v>210</v>
      </c>
      <c r="R906" s="16">
        <v>16</v>
      </c>
      <c r="S906" s="18" t="s">
        <v>90</v>
      </c>
      <c r="T906" s="18"/>
      <c r="U906" s="17">
        <v>2000</v>
      </c>
      <c r="V906" s="18" t="s">
        <v>77</v>
      </c>
      <c r="W906" s="18" t="s">
        <v>91</v>
      </c>
      <c r="X906" s="16">
        <v>10</v>
      </c>
      <c r="Y906" s="43" t="str">
        <f>HYPERLINK("https://api-enni.alpina.ru/FilePrivilegesApproval/131","https://api-enni.alpina.ru/FilePrivilegesApproval/131")</f>
        <v>https://api-enni.alpina.ru/FilePrivilegesApproval/131</v>
      </c>
      <c r="Z906" s="18" t="s">
        <v>874</v>
      </c>
      <c r="AS906" s="1">
        <f>IF($A906&lt;&gt;0,1,0)</f>
        <v>0</v>
      </c>
      <c r="AT906" s="1">
        <f>$A906*$B906</f>
        <v>0</v>
      </c>
      <c r="AU906" s="1">
        <f>$A906*$O906</f>
        <v>0</v>
      </c>
      <c r="AV906" s="1">
        <f>IF($R906=0,0,INT($A906/$R906))</f>
        <v>0</v>
      </c>
      <c r="AW906" s="1">
        <f>$A906-$AV906*$R906</f>
        <v>0</v>
      </c>
    </row>
    <row r="907" ht="24.95" customHeight="1" outlineLevel="3" s="1" customFormat="1">
      <c r="A907" s="15"/>
      <c r="B907" s="16">
        <v>590</v>
      </c>
      <c r="C907" s="16">
        <v>885</v>
      </c>
      <c r="D907" s="16">
        <v>17983</v>
      </c>
      <c r="E907" s="18"/>
      <c r="F907" s="18" t="s">
        <v>2940</v>
      </c>
      <c r="G907" s="18" t="s">
        <v>2941</v>
      </c>
      <c r="H907" s="18" t="s">
        <v>86</v>
      </c>
      <c r="I907" s="18" t="s">
        <v>74</v>
      </c>
      <c r="J907" s="16">
        <v>2022</v>
      </c>
      <c r="K907" s="18" t="s">
        <v>2942</v>
      </c>
      <c r="L907" s="16">
        <v>9785961478181</v>
      </c>
      <c r="M907" s="18" t="s">
        <v>2943</v>
      </c>
      <c r="N907" s="16">
        <v>194</v>
      </c>
      <c r="O907" s="19">
        <v>0.3</v>
      </c>
      <c r="P907" s="16">
        <v>141</v>
      </c>
      <c r="Q907" s="16">
        <v>210</v>
      </c>
      <c r="R907" s="16">
        <v>16</v>
      </c>
      <c r="S907" s="18" t="s">
        <v>43</v>
      </c>
      <c r="T907" s="18"/>
      <c r="U907" s="17">
        <v>1500</v>
      </c>
      <c r="V907" s="18" t="s">
        <v>44</v>
      </c>
      <c r="W907" s="18" t="s">
        <v>91</v>
      </c>
      <c r="X907" s="16">
        <v>10</v>
      </c>
      <c r="Y907" s="43" t="str">
        <f>HYPERLINK("https://api-enni.alpina.ru/FilePrivilegesApproval/153","https://api-enni.alpina.ru/FilePrivilegesApproval/153")</f>
        <v>https://api-enni.alpina.ru/FilePrivilegesApproval/153</v>
      </c>
      <c r="Z907" s="18"/>
      <c r="AS907" s="1">
        <f>IF($A907&lt;&gt;0,1,0)</f>
        <v>0</v>
      </c>
      <c r="AT907" s="1">
        <f>$A907*$B907</f>
        <v>0</v>
      </c>
      <c r="AU907" s="1">
        <f>$A907*$O907</f>
        <v>0</v>
      </c>
      <c r="AV907" s="1">
        <f>IF($R907=0,0,INT($A907/$R907))</f>
        <v>0</v>
      </c>
      <c r="AW907" s="1">
        <f>$A907-$AV907*$R907</f>
        <v>0</v>
      </c>
    </row>
    <row r="908" ht="24.95" customHeight="1" outlineLevel="3" s="1" customFormat="1">
      <c r="A908" s="15"/>
      <c r="B908" s="16">
        <v>840</v>
      </c>
      <c r="C908" s="17">
        <v>1218</v>
      </c>
      <c r="D908" s="16">
        <v>24112</v>
      </c>
      <c r="E908" s="18"/>
      <c r="F908" s="18" t="s">
        <v>2913</v>
      </c>
      <c r="G908" s="18" t="s">
        <v>2944</v>
      </c>
      <c r="H908" s="18" t="s">
        <v>73</v>
      </c>
      <c r="I908" s="18" t="s">
        <v>74</v>
      </c>
      <c r="J908" s="16">
        <v>2026</v>
      </c>
      <c r="K908" s="18" t="s">
        <v>2945</v>
      </c>
      <c r="L908" s="16">
        <v>9785001395768</v>
      </c>
      <c r="M908" s="18" t="s">
        <v>2946</v>
      </c>
      <c r="N908" s="16">
        <v>392</v>
      </c>
      <c r="O908" s="19">
        <v>0.56</v>
      </c>
      <c r="P908" s="16">
        <v>150</v>
      </c>
      <c r="Q908" s="16">
        <v>220</v>
      </c>
      <c r="R908" s="16">
        <v>10</v>
      </c>
      <c r="S908" s="18" t="s">
        <v>43</v>
      </c>
      <c r="T908" s="18"/>
      <c r="U908" s="17">
        <v>2000</v>
      </c>
      <c r="V908" s="18" t="s">
        <v>77</v>
      </c>
      <c r="W908" s="18" t="s">
        <v>91</v>
      </c>
      <c r="X908" s="16">
        <v>10</v>
      </c>
      <c r="Y908" s="43" t="str">
        <f>HYPERLINK("https://api-enni.alpina.ru/FilePrivilegesApproval/634","https://api-enni.alpina.ru/FilePrivilegesApproval/634")</f>
        <v>https://api-enni.alpina.ru/FilePrivilegesApproval/634</v>
      </c>
      <c r="Z908" s="18"/>
      <c r="AS908" s="1">
        <f>IF($A908&lt;&gt;0,1,0)</f>
        <v>0</v>
      </c>
      <c r="AT908" s="1">
        <f>$A908*$B908</f>
        <v>0</v>
      </c>
      <c r="AU908" s="1">
        <f>$A908*$O908</f>
        <v>0</v>
      </c>
      <c r="AV908" s="1">
        <f>IF($R908=0,0,INT($A908/$R908))</f>
        <v>0</v>
      </c>
      <c r="AW908" s="1">
        <f>$A908-$AV908*$R908</f>
        <v>0</v>
      </c>
    </row>
    <row r="909" ht="11.1" customHeight="1" outlineLevel="2">
      <c r="A909" s="41" t="s">
        <v>2947</v>
      </c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24"/>
    </row>
    <row r="910" ht="24.95" customHeight="1" outlineLevel="3" s="1" customFormat="1">
      <c r="A910" s="15"/>
      <c r="B910" s="16">
        <v>350</v>
      </c>
      <c r="C910" s="16">
        <v>560</v>
      </c>
      <c r="D910" s="16">
        <v>29186</v>
      </c>
      <c r="E910" s="18"/>
      <c r="F910" s="18" t="s">
        <v>2948</v>
      </c>
      <c r="G910" s="18" t="s">
        <v>2949</v>
      </c>
      <c r="H910" s="18" t="s">
        <v>73</v>
      </c>
      <c r="I910" s="18"/>
      <c r="J910" s="16">
        <v>2024</v>
      </c>
      <c r="K910" s="18" t="s">
        <v>2950</v>
      </c>
      <c r="L910" s="16">
        <v>9785002231201</v>
      </c>
      <c r="M910" s="18" t="s">
        <v>2951</v>
      </c>
      <c r="N910" s="16">
        <v>240</v>
      </c>
      <c r="O910" s="19">
        <v>0.16</v>
      </c>
      <c r="P910" s="16">
        <v>120</v>
      </c>
      <c r="Q910" s="16">
        <v>170</v>
      </c>
      <c r="R910" s="16">
        <v>18</v>
      </c>
      <c r="S910" s="18" t="s">
        <v>190</v>
      </c>
      <c r="T910" s="18" t="s">
        <v>1597</v>
      </c>
      <c r="U910" s="17">
        <v>2000</v>
      </c>
      <c r="V910" s="18" t="s">
        <v>44</v>
      </c>
      <c r="W910" s="18" t="s">
        <v>91</v>
      </c>
      <c r="X910" s="16">
        <v>10</v>
      </c>
      <c r="Y910" s="43" t="str">
        <f>HYPERLINK("https://api-enni.alpina.ru/FilePrivilegesApproval/323","https://api-enni.alpina.ru/FilePrivilegesApproval/323")</f>
        <v>https://api-enni.alpina.ru/FilePrivilegesApproval/323</v>
      </c>
      <c r="Z910" s="18"/>
      <c r="AS910" s="1">
        <f>IF($A910&lt;&gt;0,1,0)</f>
        <v>0</v>
      </c>
      <c r="AT910" s="1">
        <f>$A910*$B910</f>
        <v>0</v>
      </c>
      <c r="AU910" s="1">
        <f>$A910*$O910</f>
        <v>0</v>
      </c>
      <c r="AV910" s="1">
        <f>IF($R910=0,0,INT($A910/$R910))</f>
        <v>0</v>
      </c>
      <c r="AW910" s="1">
        <f>$A910-$AV910*$R910</f>
        <v>0</v>
      </c>
    </row>
    <row r="911" ht="24.95" customHeight="1" outlineLevel="3" s="1" customFormat="1">
      <c r="A911" s="15"/>
      <c r="B911" s="16">
        <v>690</v>
      </c>
      <c r="C911" s="17">
        <v>1035</v>
      </c>
      <c r="D911" s="16">
        <v>20888</v>
      </c>
      <c r="E911" s="18"/>
      <c r="F911" s="18" t="s">
        <v>2952</v>
      </c>
      <c r="G911" s="18" t="s">
        <v>2953</v>
      </c>
      <c r="H911" s="18" t="s">
        <v>73</v>
      </c>
      <c r="I911" s="18" t="s">
        <v>74</v>
      </c>
      <c r="J911" s="16">
        <v>2023</v>
      </c>
      <c r="K911" s="18" t="s">
        <v>2954</v>
      </c>
      <c r="L911" s="16">
        <v>9785001397625</v>
      </c>
      <c r="M911" s="18" t="s">
        <v>2955</v>
      </c>
      <c r="N911" s="16">
        <v>400</v>
      </c>
      <c r="O911" s="19">
        <v>0.56</v>
      </c>
      <c r="P911" s="16">
        <v>146</v>
      </c>
      <c r="Q911" s="16">
        <v>216</v>
      </c>
      <c r="R911" s="16">
        <v>12</v>
      </c>
      <c r="S911" s="18" t="s">
        <v>43</v>
      </c>
      <c r="T911" s="18"/>
      <c r="U911" s="17">
        <v>2000</v>
      </c>
      <c r="V911" s="18" t="s">
        <v>77</v>
      </c>
      <c r="W911" s="18" t="s">
        <v>91</v>
      </c>
      <c r="X911" s="16">
        <v>10</v>
      </c>
      <c r="Y911" s="43" t="str">
        <f>HYPERLINK("https://api-enni.alpina.ru/FilePrivilegesApproval/171","https://api-enni.alpina.ru/FilePrivilegesApproval/171")</f>
        <v>https://api-enni.alpina.ru/FilePrivilegesApproval/171</v>
      </c>
      <c r="Z911" s="18"/>
      <c r="AS911" s="1">
        <f>IF($A911&lt;&gt;0,1,0)</f>
        <v>0</v>
      </c>
      <c r="AT911" s="1">
        <f>$A911*$B911</f>
        <v>0</v>
      </c>
      <c r="AU911" s="1">
        <f>$A911*$O911</f>
        <v>0</v>
      </c>
      <c r="AV911" s="1">
        <f>IF($R911=0,0,INT($A911/$R911))</f>
        <v>0</v>
      </c>
      <c r="AW911" s="1">
        <f>$A911-$AV911*$R911</f>
        <v>0</v>
      </c>
    </row>
    <row r="912" ht="24.95" customHeight="1" outlineLevel="3" s="1" customFormat="1">
      <c r="A912" s="15"/>
      <c r="B912" s="16">
        <v>390</v>
      </c>
      <c r="C912" s="16">
        <v>624</v>
      </c>
      <c r="D912" s="16">
        <v>36801</v>
      </c>
      <c r="E912" s="18"/>
      <c r="F912" s="18" t="s">
        <v>2956</v>
      </c>
      <c r="G912" s="18" t="s">
        <v>2957</v>
      </c>
      <c r="H912" s="18" t="s">
        <v>86</v>
      </c>
      <c r="I912" s="18" t="s">
        <v>74</v>
      </c>
      <c r="J912" s="16">
        <v>2026</v>
      </c>
      <c r="K912" s="18" t="s">
        <v>2958</v>
      </c>
      <c r="L912" s="16">
        <v>9785006318298</v>
      </c>
      <c r="M912" s="18" t="s">
        <v>2959</v>
      </c>
      <c r="N912" s="16">
        <v>240</v>
      </c>
      <c r="O912" s="19">
        <v>0.16</v>
      </c>
      <c r="P912" s="16">
        <v>120</v>
      </c>
      <c r="Q912" s="16">
        <v>170</v>
      </c>
      <c r="R912" s="16">
        <v>14</v>
      </c>
      <c r="S912" s="18" t="s">
        <v>190</v>
      </c>
      <c r="T912" s="18" t="s">
        <v>959</v>
      </c>
      <c r="U912" s="17">
        <v>2000</v>
      </c>
      <c r="V912" s="18" t="s">
        <v>44</v>
      </c>
      <c r="W912" s="18" t="s">
        <v>45</v>
      </c>
      <c r="X912" s="16">
        <v>10</v>
      </c>
      <c r="Y912" s="43" t="str">
        <f>HYPERLINK("https://api-enni.alpina.ru/FilePrivilegesApproval/1141","https://api-enni.alpina.ru/FilePrivilegesApproval/1141")</f>
        <v>https://api-enni.alpina.ru/FilePrivilegesApproval/1141</v>
      </c>
      <c r="Z912" s="18" t="s">
        <v>1905</v>
      </c>
      <c r="AS912" s="1">
        <f>IF($A912&lt;&gt;0,1,0)</f>
        <v>0</v>
      </c>
      <c r="AT912" s="1">
        <f>$A912*$B912</f>
        <v>0</v>
      </c>
      <c r="AU912" s="1">
        <f>$A912*$O912</f>
        <v>0</v>
      </c>
      <c r="AV912" s="1">
        <f>IF($R912=0,0,INT($A912/$R912))</f>
        <v>0</v>
      </c>
      <c r="AW912" s="1">
        <f>$A912-$AV912*$R912</f>
        <v>0</v>
      </c>
    </row>
    <row r="913" ht="24.95" customHeight="1" outlineLevel="3" s="1" customFormat="1">
      <c r="A913" s="15"/>
      <c r="B913" s="17">
        <v>1170</v>
      </c>
      <c r="C913" s="17">
        <v>1580</v>
      </c>
      <c r="D913" s="16">
        <v>26404</v>
      </c>
      <c r="E913" s="18"/>
      <c r="F913" s="18" t="s">
        <v>517</v>
      </c>
      <c r="G913" s="18" t="s">
        <v>2960</v>
      </c>
      <c r="H913" s="18" t="s">
        <v>73</v>
      </c>
      <c r="I913" s="18" t="s">
        <v>74</v>
      </c>
      <c r="J913" s="16">
        <v>2026</v>
      </c>
      <c r="K913" s="18" t="s">
        <v>2961</v>
      </c>
      <c r="L913" s="16">
        <v>9785001397656</v>
      </c>
      <c r="M913" s="18" t="s">
        <v>2962</v>
      </c>
      <c r="N913" s="16">
        <v>780</v>
      </c>
      <c r="O913" s="19">
        <v>1.02</v>
      </c>
      <c r="P913" s="16">
        <v>170</v>
      </c>
      <c r="Q913" s="16">
        <v>240</v>
      </c>
      <c r="R913" s="16">
        <v>4</v>
      </c>
      <c r="S913" s="18" t="s">
        <v>123</v>
      </c>
      <c r="T913" s="18"/>
      <c r="U913" s="17">
        <v>4000</v>
      </c>
      <c r="V913" s="18" t="s">
        <v>44</v>
      </c>
      <c r="W913" s="18" t="s">
        <v>69</v>
      </c>
      <c r="X913" s="16">
        <v>10</v>
      </c>
      <c r="Y913" s="43" t="str">
        <f>HYPERLINK("https://api-enni.alpina.ru/FilePrivilegesApproval/131","https://api-enni.alpina.ru/FilePrivilegesApproval/131")</f>
        <v>https://api-enni.alpina.ru/FilePrivilegesApproval/131</v>
      </c>
      <c r="Z913" s="18" t="s">
        <v>1099</v>
      </c>
      <c r="AS913" s="1">
        <f>IF($A913&lt;&gt;0,1,0)</f>
        <v>0</v>
      </c>
      <c r="AT913" s="1">
        <f>$A913*$B913</f>
        <v>0</v>
      </c>
      <c r="AU913" s="1">
        <f>$A913*$O913</f>
        <v>0</v>
      </c>
      <c r="AV913" s="1">
        <f>IF($R913=0,0,INT($A913/$R913))</f>
        <v>0</v>
      </c>
      <c r="AW913" s="1">
        <f>$A913-$AV913*$R913</f>
        <v>0</v>
      </c>
    </row>
    <row r="914" ht="24.95" customHeight="1" outlineLevel="3" s="1" customFormat="1">
      <c r="A914" s="15"/>
      <c r="B914" s="17">
        <v>1410</v>
      </c>
      <c r="C914" s="17">
        <v>1904</v>
      </c>
      <c r="D914" s="16">
        <v>7091</v>
      </c>
      <c r="E914" s="18"/>
      <c r="F914" s="18" t="s">
        <v>517</v>
      </c>
      <c r="G914" s="18" t="s">
        <v>518</v>
      </c>
      <c r="H914" s="18" t="s">
        <v>73</v>
      </c>
      <c r="I914" s="18" t="s">
        <v>74</v>
      </c>
      <c r="J914" s="16">
        <v>2026</v>
      </c>
      <c r="K914" s="18" t="s">
        <v>519</v>
      </c>
      <c r="L914" s="16">
        <v>9785001390398</v>
      </c>
      <c r="M914" s="18" t="s">
        <v>520</v>
      </c>
      <c r="N914" s="16">
        <v>766</v>
      </c>
      <c r="O914" s="19">
        <v>1.12</v>
      </c>
      <c r="P914" s="16">
        <v>176</v>
      </c>
      <c r="Q914" s="16">
        <v>243</v>
      </c>
      <c r="R914" s="16">
        <v>4</v>
      </c>
      <c r="S914" s="18" t="s">
        <v>123</v>
      </c>
      <c r="T914" s="18"/>
      <c r="U914" s="17">
        <v>7000</v>
      </c>
      <c r="V914" s="18" t="s">
        <v>77</v>
      </c>
      <c r="W914" s="18" t="s">
        <v>69</v>
      </c>
      <c r="X914" s="16">
        <v>10</v>
      </c>
      <c r="Y914" s="43" t="str">
        <f>HYPERLINK("https://api-enni.alpina.ru/FilePrivilegesApproval/131","https://api-enni.alpina.ru/FilePrivilegesApproval/131")</f>
        <v>https://api-enni.alpina.ru/FilePrivilegesApproval/131</v>
      </c>
      <c r="Z914" s="18" t="s">
        <v>113</v>
      </c>
      <c r="AS914" s="1">
        <f>IF($A914&lt;&gt;0,1,0)</f>
        <v>0</v>
      </c>
      <c r="AT914" s="1">
        <f>$A914*$B914</f>
        <v>0</v>
      </c>
      <c r="AU914" s="1">
        <f>$A914*$O914</f>
        <v>0</v>
      </c>
      <c r="AV914" s="1">
        <f>IF($R914=0,0,INT($A914/$R914))</f>
        <v>0</v>
      </c>
      <c r="AW914" s="1">
        <f>$A914-$AV914*$R914</f>
        <v>0</v>
      </c>
    </row>
    <row r="915" ht="24.95" customHeight="1" outlineLevel="3" s="1" customFormat="1">
      <c r="A915" s="15"/>
      <c r="B915" s="16">
        <v>590</v>
      </c>
      <c r="C915" s="16">
        <v>885</v>
      </c>
      <c r="D915" s="16">
        <v>11698</v>
      </c>
      <c r="E915" s="18"/>
      <c r="F915" s="18" t="s">
        <v>2963</v>
      </c>
      <c r="G915" s="18" t="s">
        <v>2964</v>
      </c>
      <c r="H915" s="18" t="s">
        <v>73</v>
      </c>
      <c r="I915" s="18" t="s">
        <v>74</v>
      </c>
      <c r="J915" s="16">
        <v>2022</v>
      </c>
      <c r="K915" s="18" t="s">
        <v>2965</v>
      </c>
      <c r="L915" s="16">
        <v>9785001390862</v>
      </c>
      <c r="M915" s="18" t="s">
        <v>2966</v>
      </c>
      <c r="N915" s="16">
        <v>294</v>
      </c>
      <c r="O915" s="19">
        <v>0.45</v>
      </c>
      <c r="P915" s="16">
        <v>146</v>
      </c>
      <c r="Q915" s="16">
        <v>216</v>
      </c>
      <c r="R915" s="16">
        <v>12</v>
      </c>
      <c r="S915" s="18" t="s">
        <v>43</v>
      </c>
      <c r="T915" s="18"/>
      <c r="U915" s="17">
        <v>2000</v>
      </c>
      <c r="V915" s="18" t="s">
        <v>77</v>
      </c>
      <c r="W915" s="18" t="s">
        <v>91</v>
      </c>
      <c r="X915" s="16">
        <v>10</v>
      </c>
      <c r="Y915" s="43" t="str">
        <f>HYPERLINK("https://api-enni.alpina.ru/FilePrivilegesApproval/146","https://api-enni.alpina.ru/FilePrivilegesApproval/146")</f>
        <v>https://api-enni.alpina.ru/FilePrivilegesApproval/146</v>
      </c>
      <c r="Z915" s="18"/>
      <c r="AS915" s="1">
        <f>IF($A915&lt;&gt;0,1,0)</f>
        <v>0</v>
      </c>
      <c r="AT915" s="1">
        <f>$A915*$B915</f>
        <v>0</v>
      </c>
      <c r="AU915" s="1">
        <f>$A915*$O915</f>
        <v>0</v>
      </c>
      <c r="AV915" s="1">
        <f>IF($R915=0,0,INT($A915/$R915))</f>
        <v>0</v>
      </c>
      <c r="AW915" s="1">
        <f>$A915-$AV915*$R915</f>
        <v>0</v>
      </c>
    </row>
    <row r="916" ht="24.95" customHeight="1" outlineLevel="3" s="1" customFormat="1">
      <c r="A916" s="15"/>
      <c r="B916" s="16">
        <v>640</v>
      </c>
      <c r="C916" s="16">
        <v>960</v>
      </c>
      <c r="D916" s="16">
        <v>18766</v>
      </c>
      <c r="E916" s="18"/>
      <c r="F916" s="18" t="s">
        <v>2967</v>
      </c>
      <c r="G916" s="18" t="s">
        <v>2968</v>
      </c>
      <c r="H916" s="18" t="s">
        <v>73</v>
      </c>
      <c r="I916" s="18" t="s">
        <v>74</v>
      </c>
      <c r="J916" s="16">
        <v>2021</v>
      </c>
      <c r="K916" s="18" t="s">
        <v>2969</v>
      </c>
      <c r="L916" s="16">
        <v>9785916719581</v>
      </c>
      <c r="M916" s="18" t="s">
        <v>2970</v>
      </c>
      <c r="N916" s="16">
        <v>276</v>
      </c>
      <c r="O916" s="19">
        <v>0.43</v>
      </c>
      <c r="P916" s="16">
        <v>146</v>
      </c>
      <c r="Q916" s="16">
        <v>216</v>
      </c>
      <c r="R916" s="16">
        <v>12</v>
      </c>
      <c r="S916" s="18" t="s">
        <v>43</v>
      </c>
      <c r="T916" s="18"/>
      <c r="U916" s="17">
        <v>3000</v>
      </c>
      <c r="V916" s="18" t="s">
        <v>77</v>
      </c>
      <c r="W916" s="18" t="s">
        <v>69</v>
      </c>
      <c r="X916" s="16">
        <v>10</v>
      </c>
      <c r="Y916" s="43" t="str">
        <f>HYPERLINK("https://api-enni.alpina.ru/FilePrivilegesApproval/149","https://api-enni.alpina.ru/FilePrivilegesApproval/149")</f>
        <v>https://api-enni.alpina.ru/FilePrivilegesApproval/149</v>
      </c>
      <c r="Z916" s="18"/>
      <c r="AS916" s="1">
        <f>IF($A916&lt;&gt;0,1,0)</f>
        <v>0</v>
      </c>
      <c r="AT916" s="1">
        <f>$A916*$B916</f>
        <v>0</v>
      </c>
      <c r="AU916" s="1">
        <f>$A916*$O916</f>
        <v>0</v>
      </c>
      <c r="AV916" s="1">
        <f>IF($R916=0,0,INT($A916/$R916))</f>
        <v>0</v>
      </c>
      <c r="AW916" s="1">
        <f>$A916-$AV916*$R916</f>
        <v>0</v>
      </c>
    </row>
    <row r="917" ht="24.95" customHeight="1" outlineLevel="3" s="1" customFormat="1">
      <c r="A917" s="15"/>
      <c r="B917" s="16">
        <v>840</v>
      </c>
      <c r="C917" s="17">
        <v>1218</v>
      </c>
      <c r="D917" s="16">
        <v>21122</v>
      </c>
      <c r="E917" s="18"/>
      <c r="F917" s="18" t="s">
        <v>2971</v>
      </c>
      <c r="G917" s="18" t="s">
        <v>2972</v>
      </c>
      <c r="H917" s="18" t="s">
        <v>73</v>
      </c>
      <c r="I917" s="18" t="s">
        <v>74</v>
      </c>
      <c r="J917" s="16">
        <v>2024</v>
      </c>
      <c r="K917" s="18" t="s">
        <v>2973</v>
      </c>
      <c r="L917" s="16">
        <v>9785001399469</v>
      </c>
      <c r="M917" s="18" t="s">
        <v>2974</v>
      </c>
      <c r="N917" s="16">
        <v>400</v>
      </c>
      <c r="O917" s="19">
        <v>0.57</v>
      </c>
      <c r="P917" s="16">
        <v>150</v>
      </c>
      <c r="Q917" s="16">
        <v>220</v>
      </c>
      <c r="R917" s="16">
        <v>10</v>
      </c>
      <c r="S917" s="18" t="s">
        <v>43</v>
      </c>
      <c r="T917" s="18"/>
      <c r="U917" s="17">
        <v>4000</v>
      </c>
      <c r="V917" s="18" t="s">
        <v>77</v>
      </c>
      <c r="W917" s="18" t="s">
        <v>69</v>
      </c>
      <c r="X917" s="16">
        <v>10</v>
      </c>
      <c r="Y917" s="43" t="str">
        <f>HYPERLINK("https://api-enni.alpina.ru/FilePrivilegesApproval/225","https://api-enni.alpina.ru/FilePrivilegesApproval/225")</f>
        <v>https://api-enni.alpina.ru/FilePrivilegesApproval/225</v>
      </c>
      <c r="Z917" s="18"/>
      <c r="AS917" s="1">
        <f>IF($A917&lt;&gt;0,1,0)</f>
        <v>0</v>
      </c>
      <c r="AT917" s="1">
        <f>$A917*$B917</f>
        <v>0</v>
      </c>
      <c r="AU917" s="1">
        <f>$A917*$O917</f>
        <v>0</v>
      </c>
      <c r="AV917" s="1">
        <f>IF($R917=0,0,INT($A917/$R917))</f>
        <v>0</v>
      </c>
      <c r="AW917" s="1">
        <f>$A917-$AV917*$R917</f>
        <v>0</v>
      </c>
    </row>
    <row r="918" ht="24.95" customHeight="1" outlineLevel="3" s="1" customFormat="1">
      <c r="A918" s="15"/>
      <c r="B918" s="16">
        <v>840</v>
      </c>
      <c r="C918" s="17">
        <v>1218</v>
      </c>
      <c r="D918" s="16">
        <v>31759</v>
      </c>
      <c r="E918" s="18"/>
      <c r="F918" s="18" t="s">
        <v>2975</v>
      </c>
      <c r="G918" s="18" t="s">
        <v>2976</v>
      </c>
      <c r="H918" s="18" t="s">
        <v>73</v>
      </c>
      <c r="I918" s="18"/>
      <c r="J918" s="16">
        <v>2026</v>
      </c>
      <c r="K918" s="18" t="s">
        <v>2977</v>
      </c>
      <c r="L918" s="16">
        <v>9785002234219</v>
      </c>
      <c r="M918" s="18" t="s">
        <v>2978</v>
      </c>
      <c r="N918" s="16">
        <v>448</v>
      </c>
      <c r="O918" s="19">
        <v>0.54</v>
      </c>
      <c r="P918" s="16">
        <v>140</v>
      </c>
      <c r="Q918" s="16">
        <v>210</v>
      </c>
      <c r="R918" s="16">
        <v>12</v>
      </c>
      <c r="S918" s="18" t="s">
        <v>43</v>
      </c>
      <c r="T918" s="18"/>
      <c r="U918" s="17">
        <v>2000</v>
      </c>
      <c r="V918" s="18" t="s">
        <v>44</v>
      </c>
      <c r="W918" s="18" t="s">
        <v>69</v>
      </c>
      <c r="X918" s="16">
        <v>10</v>
      </c>
      <c r="Y918" s="43" t="str">
        <f>HYPERLINK("https://api-enni.alpina.ru/FilePrivilegesApproval/975","https://api-enni.alpina.ru/FilePrivilegesApproval/975")</f>
        <v>https://api-enni.alpina.ru/FilePrivilegesApproval/975</v>
      </c>
      <c r="Z918" s="18"/>
      <c r="AS918" s="1">
        <f>IF($A918&lt;&gt;0,1,0)</f>
        <v>0</v>
      </c>
      <c r="AT918" s="1">
        <f>$A918*$B918</f>
        <v>0</v>
      </c>
      <c r="AU918" s="1">
        <f>$A918*$O918</f>
        <v>0</v>
      </c>
      <c r="AV918" s="1">
        <f>IF($R918=0,0,INT($A918/$R918))</f>
        <v>0</v>
      </c>
      <c r="AW918" s="1">
        <f>$A918-$AV918*$R918</f>
        <v>0</v>
      </c>
    </row>
    <row r="919" ht="24.95" customHeight="1" outlineLevel="3" s="1" customFormat="1">
      <c r="A919" s="15"/>
      <c r="B919" s="16">
        <v>990</v>
      </c>
      <c r="C919" s="17">
        <v>1386</v>
      </c>
      <c r="D919" s="16">
        <v>21194</v>
      </c>
      <c r="E919" s="18"/>
      <c r="F919" s="18" t="s">
        <v>2979</v>
      </c>
      <c r="G919" s="18" t="s">
        <v>2980</v>
      </c>
      <c r="H919" s="18" t="s">
        <v>73</v>
      </c>
      <c r="I919" s="18" t="s">
        <v>74</v>
      </c>
      <c r="J919" s="16">
        <v>2023</v>
      </c>
      <c r="K919" s="18" t="s">
        <v>2981</v>
      </c>
      <c r="L919" s="16">
        <v>9785001398684</v>
      </c>
      <c r="M919" s="18" t="s">
        <v>2982</v>
      </c>
      <c r="N919" s="16">
        <v>624</v>
      </c>
      <c r="O919" s="19">
        <v>0.62</v>
      </c>
      <c r="P919" s="16">
        <v>150</v>
      </c>
      <c r="Q919" s="16">
        <v>210</v>
      </c>
      <c r="R919" s="16">
        <v>8</v>
      </c>
      <c r="S919" s="18" t="s">
        <v>43</v>
      </c>
      <c r="T919" s="18" t="s">
        <v>883</v>
      </c>
      <c r="U919" s="17">
        <v>2500</v>
      </c>
      <c r="V919" s="18" t="s">
        <v>44</v>
      </c>
      <c r="W919" s="18" t="s">
        <v>91</v>
      </c>
      <c r="X919" s="16">
        <v>10</v>
      </c>
      <c r="Y919" s="43" t="str">
        <f>HYPERLINK("https://api-enni.alpina.ru/FilePrivilegesApproval/294","https://api-enni.alpina.ru/FilePrivilegesApproval/294")</f>
        <v>https://api-enni.alpina.ru/FilePrivilegesApproval/294</v>
      </c>
      <c r="Z919" s="18"/>
      <c r="AS919" s="1">
        <f>IF($A919&lt;&gt;0,1,0)</f>
        <v>0</v>
      </c>
      <c r="AT919" s="1">
        <f>$A919*$B919</f>
        <v>0</v>
      </c>
      <c r="AU919" s="1">
        <f>$A919*$O919</f>
        <v>0</v>
      </c>
      <c r="AV919" s="1">
        <f>IF($R919=0,0,INT($A919/$R919))</f>
        <v>0</v>
      </c>
      <c r="AW919" s="1">
        <f>$A919-$AV919*$R919</f>
        <v>0</v>
      </c>
    </row>
    <row r="920" ht="24.95" customHeight="1" outlineLevel="3" s="1" customFormat="1">
      <c r="A920" s="15"/>
      <c r="B920" s="16">
        <v>740</v>
      </c>
      <c r="C920" s="17">
        <v>1073</v>
      </c>
      <c r="D920" s="16">
        <v>5619</v>
      </c>
      <c r="E920" s="18"/>
      <c r="F920" s="18" t="s">
        <v>2983</v>
      </c>
      <c r="G920" s="18" t="s">
        <v>2984</v>
      </c>
      <c r="H920" s="18" t="s">
        <v>86</v>
      </c>
      <c r="I920" s="18" t="s">
        <v>74</v>
      </c>
      <c r="J920" s="16">
        <v>2026</v>
      </c>
      <c r="K920" s="18" t="s">
        <v>2985</v>
      </c>
      <c r="L920" s="16">
        <v>9785961469028</v>
      </c>
      <c r="M920" s="18" t="s">
        <v>2986</v>
      </c>
      <c r="N920" s="16">
        <v>348</v>
      </c>
      <c r="O920" s="19">
        <v>0.53</v>
      </c>
      <c r="P920" s="16">
        <v>146</v>
      </c>
      <c r="Q920" s="16">
        <v>216</v>
      </c>
      <c r="R920" s="16">
        <v>12</v>
      </c>
      <c r="S920" s="18" t="s">
        <v>43</v>
      </c>
      <c r="T920" s="18"/>
      <c r="U920" s="17">
        <v>2000</v>
      </c>
      <c r="V920" s="18" t="s">
        <v>77</v>
      </c>
      <c r="W920" s="18" t="s">
        <v>184</v>
      </c>
      <c r="X920" s="16">
        <v>10</v>
      </c>
      <c r="Y920" s="43" t="str">
        <f>HYPERLINK("https://api-enni.alpina.ru/FilePrivilegesApproval/2","https://api-enni.alpina.ru/FilePrivilegesApproval/2")</f>
        <v>https://api-enni.alpina.ru/FilePrivilegesApproval/2</v>
      </c>
      <c r="Z920" s="18"/>
      <c r="AS920" s="1">
        <f>IF($A920&lt;&gt;0,1,0)</f>
        <v>0</v>
      </c>
      <c r="AT920" s="1">
        <f>$A920*$B920</f>
        <v>0</v>
      </c>
      <c r="AU920" s="1">
        <f>$A920*$O920</f>
        <v>0</v>
      </c>
      <c r="AV920" s="1">
        <f>IF($R920=0,0,INT($A920/$R920))</f>
        <v>0</v>
      </c>
      <c r="AW920" s="1">
        <f>$A920-$AV920*$R920</f>
        <v>0</v>
      </c>
    </row>
    <row r="921" ht="24.95" customHeight="1" outlineLevel="3" s="1" customFormat="1">
      <c r="A921" s="15"/>
      <c r="B921" s="16">
        <v>790</v>
      </c>
      <c r="C921" s="17">
        <v>1146</v>
      </c>
      <c r="D921" s="16">
        <v>19422</v>
      </c>
      <c r="E921" s="18"/>
      <c r="F921" s="18" t="s">
        <v>2979</v>
      </c>
      <c r="G921" s="18" t="s">
        <v>2987</v>
      </c>
      <c r="H921" s="18" t="s">
        <v>73</v>
      </c>
      <c r="I921" s="18" t="s">
        <v>74</v>
      </c>
      <c r="J921" s="16">
        <v>2023</v>
      </c>
      <c r="K921" s="18" t="s">
        <v>2988</v>
      </c>
      <c r="L921" s="16">
        <v>9785001394488</v>
      </c>
      <c r="M921" s="18" t="s">
        <v>2989</v>
      </c>
      <c r="N921" s="16">
        <v>512</v>
      </c>
      <c r="O921" s="19">
        <v>0.7</v>
      </c>
      <c r="P921" s="16">
        <v>146</v>
      </c>
      <c r="Q921" s="16">
        <v>216</v>
      </c>
      <c r="R921" s="16">
        <v>10</v>
      </c>
      <c r="S921" s="18" t="s">
        <v>43</v>
      </c>
      <c r="T921" s="18"/>
      <c r="U921" s="17">
        <v>2500</v>
      </c>
      <c r="V921" s="18" t="s">
        <v>77</v>
      </c>
      <c r="W921" s="18" t="s">
        <v>69</v>
      </c>
      <c r="X921" s="16">
        <v>10</v>
      </c>
      <c r="Y921" s="43" t="str">
        <f>HYPERLINK("https://api-enni.alpina.ru/FilePrivilegesApproval/171","https://api-enni.alpina.ru/FilePrivilegesApproval/171")</f>
        <v>https://api-enni.alpina.ru/FilePrivilegesApproval/171</v>
      </c>
      <c r="Z921" s="18"/>
      <c r="AS921" s="1">
        <f>IF($A921&lt;&gt;0,1,0)</f>
        <v>0</v>
      </c>
      <c r="AT921" s="1">
        <f>$A921*$B921</f>
        <v>0</v>
      </c>
      <c r="AU921" s="1">
        <f>$A921*$O921</f>
        <v>0</v>
      </c>
      <c r="AV921" s="1">
        <f>IF($R921=0,0,INT($A921/$R921))</f>
        <v>0</v>
      </c>
      <c r="AW921" s="1">
        <f>$A921-$AV921*$R921</f>
        <v>0</v>
      </c>
    </row>
    <row r="922" ht="24.95" customHeight="1" outlineLevel="3" s="1" customFormat="1">
      <c r="A922" s="15"/>
      <c r="B922" s="16">
        <v>490</v>
      </c>
      <c r="C922" s="16">
        <v>760</v>
      </c>
      <c r="D922" s="16">
        <v>32816</v>
      </c>
      <c r="E922" s="18"/>
      <c r="F922" s="18" t="s">
        <v>2990</v>
      </c>
      <c r="G922" s="18" t="s">
        <v>2991</v>
      </c>
      <c r="H922" s="18" t="s">
        <v>73</v>
      </c>
      <c r="I922" s="18" t="s">
        <v>74</v>
      </c>
      <c r="J922" s="16">
        <v>2025</v>
      </c>
      <c r="K922" s="18" t="s">
        <v>2992</v>
      </c>
      <c r="L922" s="16">
        <v>9785002235155</v>
      </c>
      <c r="M922" s="18" t="s">
        <v>2993</v>
      </c>
      <c r="N922" s="16">
        <v>416</v>
      </c>
      <c r="O922" s="19">
        <v>0.27</v>
      </c>
      <c r="P922" s="16">
        <v>120</v>
      </c>
      <c r="Q922" s="16">
        <v>170</v>
      </c>
      <c r="R922" s="16">
        <v>8</v>
      </c>
      <c r="S922" s="18" t="s">
        <v>190</v>
      </c>
      <c r="T922" s="18" t="s">
        <v>491</v>
      </c>
      <c r="U922" s="17">
        <v>2000</v>
      </c>
      <c r="V922" s="18" t="s">
        <v>44</v>
      </c>
      <c r="W922" s="18" t="s">
        <v>69</v>
      </c>
      <c r="X922" s="16">
        <v>10</v>
      </c>
      <c r="Y922" s="43" t="str">
        <f>HYPERLINK("https://api-enni.alpina.ru/FilePrivilegesApproval/929","https://api-enni.alpina.ru/FilePrivilegesApproval/929")</f>
        <v>https://api-enni.alpina.ru/FilePrivilegesApproval/929</v>
      </c>
      <c r="Z922" s="18"/>
      <c r="AS922" s="1">
        <f>IF($A922&lt;&gt;0,1,0)</f>
        <v>0</v>
      </c>
      <c r="AT922" s="1">
        <f>$A922*$B922</f>
        <v>0</v>
      </c>
      <c r="AU922" s="1">
        <f>$A922*$O922</f>
        <v>0</v>
      </c>
      <c r="AV922" s="1">
        <f>IF($R922=0,0,INT($A922/$R922))</f>
        <v>0</v>
      </c>
      <c r="AW922" s="1">
        <f>$A922-$AV922*$R922</f>
        <v>0</v>
      </c>
    </row>
    <row r="923" ht="24.95" customHeight="1" outlineLevel="3" s="1" customFormat="1">
      <c r="A923" s="15"/>
      <c r="B923" s="16">
        <v>640</v>
      </c>
      <c r="C923" s="16">
        <v>960</v>
      </c>
      <c r="D923" s="16">
        <v>18332</v>
      </c>
      <c r="E923" s="18"/>
      <c r="F923" s="18" t="s">
        <v>2994</v>
      </c>
      <c r="G923" s="18" t="s">
        <v>2995</v>
      </c>
      <c r="H923" s="18" t="s">
        <v>73</v>
      </c>
      <c r="I923" s="18" t="s">
        <v>74</v>
      </c>
      <c r="J923" s="16">
        <v>2021</v>
      </c>
      <c r="K923" s="18" t="s">
        <v>2996</v>
      </c>
      <c r="L923" s="16">
        <v>9785001394952</v>
      </c>
      <c r="M923" s="18" t="s">
        <v>2997</v>
      </c>
      <c r="N923" s="16">
        <v>284</v>
      </c>
      <c r="O923" s="19">
        <v>0.44</v>
      </c>
      <c r="P923" s="16">
        <v>146</v>
      </c>
      <c r="Q923" s="16">
        <v>216</v>
      </c>
      <c r="R923" s="16">
        <v>14</v>
      </c>
      <c r="S923" s="18" t="s">
        <v>43</v>
      </c>
      <c r="T923" s="18"/>
      <c r="U923" s="17">
        <v>3000</v>
      </c>
      <c r="V923" s="18" t="s">
        <v>77</v>
      </c>
      <c r="W923" s="18" t="s">
        <v>69</v>
      </c>
      <c r="X923" s="16">
        <v>10</v>
      </c>
      <c r="Y923" s="43" t="str">
        <f>HYPERLINK("https://api-enni.alpina.ru/FilePrivilegesApproval/149","https://api-enni.alpina.ru/FilePrivilegesApproval/149")</f>
        <v>https://api-enni.alpina.ru/FilePrivilegesApproval/149</v>
      </c>
      <c r="Z923" s="18"/>
      <c r="AS923" s="1">
        <f>IF($A923&lt;&gt;0,1,0)</f>
        <v>0</v>
      </c>
      <c r="AT923" s="1">
        <f>$A923*$B923</f>
        <v>0</v>
      </c>
      <c r="AU923" s="1">
        <f>$A923*$O923</f>
        <v>0</v>
      </c>
      <c r="AV923" s="1">
        <f>IF($R923=0,0,INT($A923/$R923))</f>
        <v>0</v>
      </c>
      <c r="AW923" s="1">
        <f>$A923-$AV923*$R923</f>
        <v>0</v>
      </c>
    </row>
    <row r="924" ht="24.95" customHeight="1" outlineLevel="3" s="1" customFormat="1">
      <c r="A924" s="15"/>
      <c r="B924" s="16">
        <v>990</v>
      </c>
      <c r="C924" s="17">
        <v>1386</v>
      </c>
      <c r="D924" s="16">
        <v>11572</v>
      </c>
      <c r="E924" s="18"/>
      <c r="F924" s="18" t="s">
        <v>517</v>
      </c>
      <c r="G924" s="18" t="s">
        <v>550</v>
      </c>
      <c r="H924" s="18" t="s">
        <v>73</v>
      </c>
      <c r="I924" s="18" t="s">
        <v>74</v>
      </c>
      <c r="J924" s="16">
        <v>2025</v>
      </c>
      <c r="K924" s="18" t="s">
        <v>551</v>
      </c>
      <c r="L924" s="16">
        <v>9785002231584</v>
      </c>
      <c r="M924" s="18" t="s">
        <v>552</v>
      </c>
      <c r="N924" s="16">
        <v>536</v>
      </c>
      <c r="O924" s="19">
        <v>0.8</v>
      </c>
      <c r="P924" s="16">
        <v>170</v>
      </c>
      <c r="Q924" s="16">
        <v>240</v>
      </c>
      <c r="R924" s="16">
        <v>4</v>
      </c>
      <c r="S924" s="18" t="s">
        <v>123</v>
      </c>
      <c r="T924" s="18"/>
      <c r="U924" s="17">
        <v>10000</v>
      </c>
      <c r="V924" s="18" t="s">
        <v>77</v>
      </c>
      <c r="W924" s="18" t="s">
        <v>45</v>
      </c>
      <c r="X924" s="16">
        <v>10</v>
      </c>
      <c r="Y924" s="43" t="str">
        <f>HYPERLINK("https://api-enni.alpina.ru/FilePrivilegesApproval/813","https://api-enni.alpina.ru/FilePrivilegesApproval/813")</f>
        <v>https://api-enni.alpina.ru/FilePrivilegesApproval/813</v>
      </c>
      <c r="Z924" s="18"/>
      <c r="AS924" s="1">
        <f>IF($A924&lt;&gt;0,1,0)</f>
        <v>0</v>
      </c>
      <c r="AT924" s="1">
        <f>$A924*$B924</f>
        <v>0</v>
      </c>
      <c r="AU924" s="1">
        <f>$A924*$O924</f>
        <v>0</v>
      </c>
      <c r="AV924" s="1">
        <f>IF($R924=0,0,INT($A924/$R924))</f>
        <v>0</v>
      </c>
      <c r="AW924" s="1">
        <f>$A924-$AV924*$R924</f>
        <v>0</v>
      </c>
    </row>
    <row r="925" ht="24.95" customHeight="1" outlineLevel="3" s="1" customFormat="1">
      <c r="A925" s="15"/>
      <c r="B925" s="16">
        <v>440</v>
      </c>
      <c r="C925" s="16">
        <v>682</v>
      </c>
      <c r="D925" s="16">
        <v>29897</v>
      </c>
      <c r="E925" s="18"/>
      <c r="F925" s="18" t="s">
        <v>2998</v>
      </c>
      <c r="G925" s="18" t="s">
        <v>2999</v>
      </c>
      <c r="H925" s="18" t="s">
        <v>73</v>
      </c>
      <c r="I925" s="18" t="s">
        <v>74</v>
      </c>
      <c r="J925" s="16">
        <v>2025</v>
      </c>
      <c r="K925" s="18" t="s">
        <v>3000</v>
      </c>
      <c r="L925" s="16">
        <v>9785002232048</v>
      </c>
      <c r="M925" s="18" t="s">
        <v>3001</v>
      </c>
      <c r="N925" s="16">
        <v>416</v>
      </c>
      <c r="O925" s="19">
        <v>0.27</v>
      </c>
      <c r="P925" s="16">
        <v>120</v>
      </c>
      <c r="Q925" s="16">
        <v>170</v>
      </c>
      <c r="R925" s="16">
        <v>14</v>
      </c>
      <c r="S925" s="18" t="s">
        <v>190</v>
      </c>
      <c r="T925" s="18" t="s">
        <v>1597</v>
      </c>
      <c r="U925" s="17">
        <v>3000</v>
      </c>
      <c r="V925" s="18" t="s">
        <v>44</v>
      </c>
      <c r="W925" s="18" t="s">
        <v>69</v>
      </c>
      <c r="X925" s="16">
        <v>10</v>
      </c>
      <c r="Y925" s="43" t="str">
        <f>HYPERLINK("https://api-enni.alpina.ru/FilePrivilegesApproval/215","https://api-enni.alpina.ru/FilePrivilegesApproval/215")</f>
        <v>https://api-enni.alpina.ru/FilePrivilegesApproval/215</v>
      </c>
      <c r="Z925" s="18"/>
      <c r="AS925" s="1">
        <f>IF($A925&lt;&gt;0,1,0)</f>
        <v>0</v>
      </c>
      <c r="AT925" s="1">
        <f>$A925*$B925</f>
        <v>0</v>
      </c>
      <c r="AU925" s="1">
        <f>$A925*$O925</f>
        <v>0</v>
      </c>
      <c r="AV925" s="1">
        <f>IF($R925=0,0,INT($A925/$R925))</f>
        <v>0</v>
      </c>
      <c r="AW925" s="1">
        <f>$A925-$AV925*$R925</f>
        <v>0</v>
      </c>
    </row>
    <row r="926" ht="24.95" customHeight="1" outlineLevel="3" s="1" customFormat="1">
      <c r="A926" s="15"/>
      <c r="B926" s="17">
        <v>1090</v>
      </c>
      <c r="C926" s="17">
        <v>1472</v>
      </c>
      <c r="D926" s="16">
        <v>36284</v>
      </c>
      <c r="E926" s="18"/>
      <c r="F926" s="18" t="s">
        <v>2979</v>
      </c>
      <c r="G926" s="18" t="s">
        <v>3002</v>
      </c>
      <c r="H926" s="18" t="s">
        <v>73</v>
      </c>
      <c r="I926" s="18" t="s">
        <v>74</v>
      </c>
      <c r="J926" s="16">
        <v>2026</v>
      </c>
      <c r="K926" s="18" t="s">
        <v>3003</v>
      </c>
      <c r="L926" s="16">
        <v>9785002238491</v>
      </c>
      <c r="M926" s="18" t="s">
        <v>3004</v>
      </c>
      <c r="N926" s="16">
        <v>624</v>
      </c>
      <c r="O926" s="19">
        <v>0.83</v>
      </c>
      <c r="P926" s="16">
        <v>150</v>
      </c>
      <c r="Q926" s="16">
        <v>220</v>
      </c>
      <c r="R926" s="16">
        <v>5</v>
      </c>
      <c r="S926" s="18" t="s">
        <v>43</v>
      </c>
      <c r="T926" s="18" t="s">
        <v>883</v>
      </c>
      <c r="U926" s="17">
        <v>1000</v>
      </c>
      <c r="V926" s="18" t="s">
        <v>77</v>
      </c>
      <c r="W926" s="18" t="s">
        <v>69</v>
      </c>
      <c r="X926" s="16">
        <v>10</v>
      </c>
      <c r="Y926" s="43" t="str">
        <f>HYPERLINK("https://api-enni.alpina.ru/FilePrivilegesApproval/179","https://api-enni.alpina.ru/FilePrivilegesApproval/179")</f>
        <v>https://api-enni.alpina.ru/FilePrivilegesApproval/179</v>
      </c>
      <c r="Z926" s="18"/>
      <c r="AS926" s="1">
        <f>IF($A926&lt;&gt;0,1,0)</f>
        <v>0</v>
      </c>
      <c r="AT926" s="1">
        <f>$A926*$B926</f>
        <v>0</v>
      </c>
      <c r="AU926" s="1">
        <f>$A926*$O926</f>
        <v>0</v>
      </c>
      <c r="AV926" s="1">
        <f>IF($R926=0,0,INT($A926/$R926))</f>
        <v>0</v>
      </c>
      <c r="AW926" s="1">
        <f>$A926-$AV926*$R926</f>
        <v>0</v>
      </c>
    </row>
    <row r="927" ht="24.95" customHeight="1" outlineLevel="3" s="1" customFormat="1">
      <c r="A927" s="15"/>
      <c r="B927" s="16">
        <v>890</v>
      </c>
      <c r="C927" s="17">
        <v>1246</v>
      </c>
      <c r="D927" s="16">
        <v>22811</v>
      </c>
      <c r="E927" s="18"/>
      <c r="F927" s="18" t="s">
        <v>109</v>
      </c>
      <c r="G927" s="18" t="s">
        <v>110</v>
      </c>
      <c r="H927" s="18" t="s">
        <v>73</v>
      </c>
      <c r="I927" s="18" t="s">
        <v>74</v>
      </c>
      <c r="J927" s="16">
        <v>2026</v>
      </c>
      <c r="K927" s="18" t="s">
        <v>111</v>
      </c>
      <c r="L927" s="16">
        <v>9785002237487</v>
      </c>
      <c r="M927" s="18" t="s">
        <v>112</v>
      </c>
      <c r="N927" s="16">
        <v>288</v>
      </c>
      <c r="O927" s="19">
        <v>0.45</v>
      </c>
      <c r="P927" s="16">
        <v>150</v>
      </c>
      <c r="Q927" s="16">
        <v>220</v>
      </c>
      <c r="R927" s="16">
        <v>14</v>
      </c>
      <c r="S927" s="18" t="s">
        <v>43</v>
      </c>
      <c r="T927" s="18"/>
      <c r="U927" s="17">
        <v>4000</v>
      </c>
      <c r="V927" s="18" t="s">
        <v>77</v>
      </c>
      <c r="W927" s="18" t="s">
        <v>69</v>
      </c>
      <c r="X927" s="16">
        <v>10</v>
      </c>
      <c r="Y927" s="43" t="str">
        <f>HYPERLINK("https://api-enni.alpina.ru/FilePrivilegesApproval/1191","https://api-enni.alpina.ru/FilePrivilegesApproval/1191")</f>
        <v>https://api-enni.alpina.ru/FilePrivilegesApproval/1191</v>
      </c>
      <c r="Z927" s="18" t="s">
        <v>113</v>
      </c>
      <c r="AS927" s="1">
        <f>IF($A927&lt;&gt;0,1,0)</f>
        <v>0</v>
      </c>
      <c r="AT927" s="1">
        <f>$A927*$B927</f>
        <v>0</v>
      </c>
      <c r="AU927" s="1">
        <f>$A927*$O927</f>
        <v>0</v>
      </c>
      <c r="AV927" s="1">
        <f>IF($R927=0,0,INT($A927/$R927))</f>
        <v>0</v>
      </c>
      <c r="AW927" s="1">
        <f>$A927-$AV927*$R927</f>
        <v>0</v>
      </c>
    </row>
    <row r="928" ht="24.95" customHeight="1" outlineLevel="3" s="1" customFormat="1">
      <c r="A928" s="15"/>
      <c r="B928" s="16">
        <v>790</v>
      </c>
      <c r="C928" s="17">
        <v>1146</v>
      </c>
      <c r="D928" s="16">
        <v>25804</v>
      </c>
      <c r="E928" s="18"/>
      <c r="F928" s="18" t="s">
        <v>3005</v>
      </c>
      <c r="G928" s="18" t="s">
        <v>3006</v>
      </c>
      <c r="H928" s="18" t="s">
        <v>73</v>
      </c>
      <c r="I928" s="18"/>
      <c r="J928" s="16">
        <v>2026</v>
      </c>
      <c r="K928" s="18" t="s">
        <v>3007</v>
      </c>
      <c r="L928" s="16">
        <v>9785001397113</v>
      </c>
      <c r="M928" s="18" t="s">
        <v>3008</v>
      </c>
      <c r="N928" s="16">
        <v>280</v>
      </c>
      <c r="O928" s="19">
        <v>0.44</v>
      </c>
      <c r="P928" s="16">
        <v>150</v>
      </c>
      <c r="Q928" s="16">
        <v>220</v>
      </c>
      <c r="R928" s="16">
        <v>10</v>
      </c>
      <c r="S928" s="18" t="s">
        <v>43</v>
      </c>
      <c r="T928" s="18"/>
      <c r="U928" s="17">
        <v>1000</v>
      </c>
      <c r="V928" s="18" t="s">
        <v>77</v>
      </c>
      <c r="W928" s="18" t="s">
        <v>91</v>
      </c>
      <c r="X928" s="16">
        <v>10</v>
      </c>
      <c r="Y928" s="43" t="str">
        <f>HYPERLINK("https://api-enni.alpina.ru/FilePrivilegesApproval/185","https://api-enni.alpina.ru/FilePrivilegesApproval/185")</f>
        <v>https://api-enni.alpina.ru/FilePrivilegesApproval/185</v>
      </c>
      <c r="Z928" s="18" t="s">
        <v>410</v>
      </c>
      <c r="AS928" s="1">
        <f>IF($A928&lt;&gt;0,1,0)</f>
        <v>0</v>
      </c>
      <c r="AT928" s="1">
        <f>$A928*$B928</f>
        <v>0</v>
      </c>
      <c r="AU928" s="1">
        <f>$A928*$O928</f>
        <v>0</v>
      </c>
      <c r="AV928" s="1">
        <f>IF($R928=0,0,INT($A928/$R928))</f>
        <v>0</v>
      </c>
      <c r="AW928" s="1">
        <f>$A928-$AV928*$R928</f>
        <v>0</v>
      </c>
    </row>
    <row r="929" ht="21.95" customHeight="1" outlineLevel="3" s="1" customFormat="1">
      <c r="A929" s="15"/>
      <c r="B929" s="16">
        <v>540</v>
      </c>
      <c r="C929" s="17">
        <v>1146</v>
      </c>
      <c r="D929" s="16">
        <v>11689</v>
      </c>
      <c r="E929" s="18"/>
      <c r="F929" s="18" t="s">
        <v>598</v>
      </c>
      <c r="G929" s="18" t="s">
        <v>599</v>
      </c>
      <c r="H929" s="18" t="s">
        <v>73</v>
      </c>
      <c r="I929" s="18"/>
      <c r="J929" s="16">
        <v>2026</v>
      </c>
      <c r="K929" s="18" t="s">
        <v>600</v>
      </c>
      <c r="L929" s="16">
        <v>9785001391203</v>
      </c>
      <c r="M929" s="18" t="s">
        <v>601</v>
      </c>
      <c r="N929" s="16">
        <v>314</v>
      </c>
      <c r="O929" s="19">
        <v>0.47</v>
      </c>
      <c r="P929" s="16">
        <v>140</v>
      </c>
      <c r="Q929" s="16">
        <v>210</v>
      </c>
      <c r="R929" s="16">
        <v>10</v>
      </c>
      <c r="S929" s="18" t="s">
        <v>43</v>
      </c>
      <c r="T929" s="18"/>
      <c r="U929" s="17">
        <v>1000</v>
      </c>
      <c r="V929" s="18" t="s">
        <v>77</v>
      </c>
      <c r="W929" s="18" t="s">
        <v>69</v>
      </c>
      <c r="X929" s="16">
        <v>10</v>
      </c>
      <c r="Y929" s="43" t="str">
        <f>HYPERLINK("","")</f>
      </c>
      <c r="Z929" s="18" t="s">
        <v>119</v>
      </c>
      <c r="AS929" s="1">
        <f>IF($A929&lt;&gt;0,1,0)</f>
        <v>0</v>
      </c>
      <c r="AT929" s="1">
        <f>$A929*$B929</f>
        <v>0</v>
      </c>
      <c r="AU929" s="1">
        <f>$A929*$O929</f>
        <v>0</v>
      </c>
      <c r="AV929" s="1">
        <f>IF($R929=0,0,INT($A929/$R929))</f>
        <v>0</v>
      </c>
      <c r="AW929" s="1">
        <f>$A929-$AV929*$R929</f>
        <v>0</v>
      </c>
    </row>
    <row r="930" ht="24.95" customHeight="1" outlineLevel="3" s="1" customFormat="1">
      <c r="A930" s="25"/>
      <c r="B930" s="26">
        <v>790</v>
      </c>
      <c r="C930" s="29">
        <v>1146</v>
      </c>
      <c r="D930" s="26">
        <v>17957</v>
      </c>
      <c r="E930" s="27"/>
      <c r="F930" s="27" t="s">
        <v>3009</v>
      </c>
      <c r="G930" s="27" t="s">
        <v>3010</v>
      </c>
      <c r="H930" s="27" t="s">
        <v>73</v>
      </c>
      <c r="I930" s="27"/>
      <c r="J930" s="26">
        <v>2026</v>
      </c>
      <c r="K930" s="27" t="s">
        <v>3011</v>
      </c>
      <c r="L930" s="26">
        <v>9785001393757</v>
      </c>
      <c r="M930" s="27" t="s">
        <v>3012</v>
      </c>
      <c r="N930" s="26">
        <v>352</v>
      </c>
      <c r="O930" s="28">
        <v>0.51</v>
      </c>
      <c r="P930" s="26">
        <v>150</v>
      </c>
      <c r="Q930" s="26">
        <v>220</v>
      </c>
      <c r="R930" s="26">
        <v>5</v>
      </c>
      <c r="S930" s="27" t="s">
        <v>43</v>
      </c>
      <c r="T930" s="27" t="s">
        <v>949</v>
      </c>
      <c r="U930" s="29">
        <v>1000</v>
      </c>
      <c r="V930" s="27" t="s">
        <v>77</v>
      </c>
      <c r="W930" s="27" t="s">
        <v>91</v>
      </c>
      <c r="X930" s="26">
        <v>10</v>
      </c>
      <c r="Y930" s="45" t="str">
        <f>HYPERLINK("https://api-enni.alpina.ru/FilePrivilegesApproval/226","https://api-enni.alpina.ru/FilePrivilegesApproval/226")</f>
        <v>https://api-enni.alpina.ru/FilePrivilegesApproval/226</v>
      </c>
      <c r="Z930" s="27"/>
      <c r="AS930" s="1">
        <f>IF($A930&lt;&gt;0,1,0)</f>
        <v>0</v>
      </c>
      <c r="AT930" s="1">
        <f>$A930*$B930</f>
        <v>0</v>
      </c>
      <c r="AU930" s="1">
        <f>$A930*$O930</f>
        <v>0</v>
      </c>
      <c r="AV930" s="1">
        <f>IF($R930=0,0,INT($A930/$R930))</f>
        <v>0</v>
      </c>
      <c r="AW930" s="1">
        <f>$A930-$AV930*$R930</f>
        <v>0</v>
      </c>
    </row>
    <row r="931" ht="24.95" customHeight="1" outlineLevel="3" s="1" customFormat="1">
      <c r="A931" s="15"/>
      <c r="B931" s="16">
        <v>390</v>
      </c>
      <c r="C931" s="16">
        <v>624</v>
      </c>
      <c r="D931" s="16">
        <v>27519</v>
      </c>
      <c r="E931" s="18"/>
      <c r="F931" s="18" t="s">
        <v>3013</v>
      </c>
      <c r="G931" s="18" t="s">
        <v>3014</v>
      </c>
      <c r="H931" s="18" t="s">
        <v>73</v>
      </c>
      <c r="I931" s="18" t="s">
        <v>74</v>
      </c>
      <c r="J931" s="16">
        <v>2023</v>
      </c>
      <c r="K931" s="18" t="s">
        <v>3015</v>
      </c>
      <c r="L931" s="16">
        <v>9785001398943</v>
      </c>
      <c r="M931" s="18" t="s">
        <v>3016</v>
      </c>
      <c r="N931" s="16">
        <v>512</v>
      </c>
      <c r="O931" s="19">
        <v>0.3</v>
      </c>
      <c r="P931" s="16">
        <v>120</v>
      </c>
      <c r="Q931" s="16">
        <v>170</v>
      </c>
      <c r="R931" s="16">
        <v>10</v>
      </c>
      <c r="S931" s="18" t="s">
        <v>190</v>
      </c>
      <c r="T931" s="18" t="s">
        <v>491</v>
      </c>
      <c r="U931" s="17">
        <v>4000</v>
      </c>
      <c r="V931" s="18" t="s">
        <v>44</v>
      </c>
      <c r="W931" s="18" t="s">
        <v>91</v>
      </c>
      <c r="X931" s="16">
        <v>10</v>
      </c>
      <c r="Y931" s="43" t="str">
        <f>HYPERLINK("https://api-enni.alpina.ru/FilePrivilegesApproval/145","https://api-enni.alpina.ru/FilePrivilegesApproval/145")</f>
        <v>https://api-enni.alpina.ru/FilePrivilegesApproval/145</v>
      </c>
      <c r="Z931" s="18"/>
      <c r="AS931" s="1">
        <f>IF($A931&lt;&gt;0,1,0)</f>
        <v>0</v>
      </c>
      <c r="AT931" s="1">
        <f>$A931*$B931</f>
        <v>0</v>
      </c>
      <c r="AU931" s="1">
        <f>$A931*$O931</f>
        <v>0</v>
      </c>
      <c r="AV931" s="1">
        <f>IF($R931=0,0,INT($A931/$R931))</f>
        <v>0</v>
      </c>
      <c r="AW931" s="1">
        <f>$A931-$AV931*$R931</f>
        <v>0</v>
      </c>
    </row>
    <row r="932" ht="24.95" customHeight="1" outlineLevel="3" s="1" customFormat="1">
      <c r="A932" s="15"/>
      <c r="B932" s="16">
        <v>440</v>
      </c>
      <c r="C932" s="16">
        <v>682</v>
      </c>
      <c r="D932" s="16">
        <v>30958</v>
      </c>
      <c r="E932" s="18"/>
      <c r="F932" s="18" t="s">
        <v>3017</v>
      </c>
      <c r="G932" s="18" t="s">
        <v>3018</v>
      </c>
      <c r="H932" s="18" t="s">
        <v>73</v>
      </c>
      <c r="I932" s="18"/>
      <c r="J932" s="16">
        <v>2026</v>
      </c>
      <c r="K932" s="18" t="s">
        <v>3019</v>
      </c>
      <c r="L932" s="16">
        <v>9785002233090</v>
      </c>
      <c r="M932" s="18" t="s">
        <v>3020</v>
      </c>
      <c r="N932" s="16">
        <v>352</v>
      </c>
      <c r="O932" s="19">
        <v>0.23</v>
      </c>
      <c r="P932" s="16">
        <v>120</v>
      </c>
      <c r="Q932" s="16">
        <v>170</v>
      </c>
      <c r="R932" s="16">
        <v>12</v>
      </c>
      <c r="S932" s="18" t="s">
        <v>190</v>
      </c>
      <c r="T932" s="18" t="s">
        <v>491</v>
      </c>
      <c r="U932" s="17">
        <v>3000</v>
      </c>
      <c r="V932" s="18" t="s">
        <v>44</v>
      </c>
      <c r="W932" s="18" t="s">
        <v>69</v>
      </c>
      <c r="X932" s="16">
        <v>10</v>
      </c>
      <c r="Y932" s="43" t="str">
        <f>HYPERLINK("https://api-enni.alpina.ru/FilePrivilegesApproval/126","https://api-enni.alpina.ru/FilePrivilegesApproval/126")</f>
        <v>https://api-enni.alpina.ru/FilePrivilegesApproval/126</v>
      </c>
      <c r="Z932" s="18" t="s">
        <v>717</v>
      </c>
      <c r="AS932" s="1">
        <f>IF($A932&lt;&gt;0,1,0)</f>
        <v>0</v>
      </c>
      <c r="AT932" s="1">
        <f>$A932*$B932</f>
        <v>0</v>
      </c>
      <c r="AU932" s="1">
        <f>$A932*$O932</f>
        <v>0</v>
      </c>
      <c r="AV932" s="1">
        <f>IF($R932=0,0,INT($A932/$R932))</f>
        <v>0</v>
      </c>
      <c r="AW932" s="1">
        <f>$A932-$AV932*$R932</f>
        <v>0</v>
      </c>
    </row>
    <row r="933" ht="24.95" customHeight="1" outlineLevel="3" s="1" customFormat="1">
      <c r="A933" s="15"/>
      <c r="B933" s="16">
        <v>690</v>
      </c>
      <c r="C933" s="17">
        <v>1035</v>
      </c>
      <c r="D933" s="16">
        <v>18427</v>
      </c>
      <c r="E933" s="18"/>
      <c r="F933" s="18" t="s">
        <v>3021</v>
      </c>
      <c r="G933" s="18" t="s">
        <v>3022</v>
      </c>
      <c r="H933" s="18" t="s">
        <v>73</v>
      </c>
      <c r="I933" s="18" t="s">
        <v>74</v>
      </c>
      <c r="J933" s="16">
        <v>2022</v>
      </c>
      <c r="K933" s="18" t="s">
        <v>3023</v>
      </c>
      <c r="L933" s="16">
        <v>9785001395645</v>
      </c>
      <c r="M933" s="18" t="s">
        <v>3024</v>
      </c>
      <c r="N933" s="16">
        <v>440</v>
      </c>
      <c r="O933" s="19">
        <v>0.53</v>
      </c>
      <c r="P933" s="16">
        <v>146</v>
      </c>
      <c r="Q933" s="16">
        <v>216</v>
      </c>
      <c r="R933" s="16">
        <v>12</v>
      </c>
      <c r="S933" s="18" t="s">
        <v>43</v>
      </c>
      <c r="T933" s="18"/>
      <c r="U933" s="17">
        <v>3000</v>
      </c>
      <c r="V933" s="18" t="s">
        <v>77</v>
      </c>
      <c r="W933" s="18" t="s">
        <v>91</v>
      </c>
      <c r="X933" s="16">
        <v>10</v>
      </c>
      <c r="Y933" s="43" t="str">
        <f>HYPERLINK("https://api-enni.alpina.ru/FilePrivilegesApproval/131","https://api-enni.alpina.ru/FilePrivilegesApproval/131")</f>
        <v>https://api-enni.alpina.ru/FilePrivilegesApproval/131</v>
      </c>
      <c r="Z933" s="18"/>
      <c r="AS933" s="1">
        <f>IF($A933&lt;&gt;0,1,0)</f>
        <v>0</v>
      </c>
      <c r="AT933" s="1">
        <f>$A933*$B933</f>
        <v>0</v>
      </c>
      <c r="AU933" s="1">
        <f>$A933*$O933</f>
        <v>0</v>
      </c>
      <c r="AV933" s="1">
        <f>IF($R933=0,0,INT($A933/$R933))</f>
        <v>0</v>
      </c>
      <c r="AW933" s="1">
        <f>$A933-$AV933*$R933</f>
        <v>0</v>
      </c>
    </row>
    <row r="934" ht="24.95" customHeight="1" outlineLevel="3" s="1" customFormat="1">
      <c r="A934" s="15"/>
      <c r="B934" s="16">
        <v>790</v>
      </c>
      <c r="C934" s="17">
        <v>1146</v>
      </c>
      <c r="D934" s="16">
        <v>28916</v>
      </c>
      <c r="E934" s="18"/>
      <c r="F934" s="18" t="s">
        <v>517</v>
      </c>
      <c r="G934" s="18" t="s">
        <v>3025</v>
      </c>
      <c r="H934" s="18" t="s">
        <v>73</v>
      </c>
      <c r="I934" s="18" t="s">
        <v>74</v>
      </c>
      <c r="J934" s="16">
        <v>2026</v>
      </c>
      <c r="K934" s="18" t="s">
        <v>3026</v>
      </c>
      <c r="L934" s="16">
        <v>9785002230846</v>
      </c>
      <c r="M934" s="18" t="s">
        <v>3027</v>
      </c>
      <c r="N934" s="16">
        <v>424</v>
      </c>
      <c r="O934" s="19">
        <v>0.42</v>
      </c>
      <c r="P934" s="16">
        <v>150</v>
      </c>
      <c r="Q934" s="16">
        <v>210</v>
      </c>
      <c r="R934" s="16">
        <v>10</v>
      </c>
      <c r="S934" s="18" t="s">
        <v>43</v>
      </c>
      <c r="T934" s="18"/>
      <c r="U934" s="17">
        <v>1000</v>
      </c>
      <c r="V934" s="18" t="s">
        <v>44</v>
      </c>
      <c r="W934" s="18" t="s">
        <v>69</v>
      </c>
      <c r="X934" s="16">
        <v>10</v>
      </c>
      <c r="Y934" s="43" t="str">
        <f>HYPERLINK("https://api-enni.alpina.ru/FilePrivilegesApproval/149","https://api-enni.alpina.ru/FilePrivilegesApproval/149")</f>
        <v>https://api-enni.alpina.ru/FilePrivilegesApproval/149</v>
      </c>
      <c r="Z934" s="18" t="s">
        <v>695</v>
      </c>
      <c r="AS934" s="1">
        <f>IF($A934&lt;&gt;0,1,0)</f>
        <v>0</v>
      </c>
      <c r="AT934" s="1">
        <f>$A934*$B934</f>
        <v>0</v>
      </c>
      <c r="AU934" s="1">
        <f>$A934*$O934</f>
        <v>0</v>
      </c>
      <c r="AV934" s="1">
        <f>IF($R934=0,0,INT($A934/$R934))</f>
        <v>0</v>
      </c>
      <c r="AW934" s="1">
        <f>$A934-$AV934*$R934</f>
        <v>0</v>
      </c>
    </row>
    <row r="935" ht="24.95" customHeight="1" outlineLevel="3" s="1" customFormat="1">
      <c r="A935" s="15"/>
      <c r="B935" s="16">
        <v>590</v>
      </c>
      <c r="C935" s="16">
        <v>885</v>
      </c>
      <c r="D935" s="16">
        <v>23253</v>
      </c>
      <c r="E935" s="18"/>
      <c r="F935" s="18" t="s">
        <v>3028</v>
      </c>
      <c r="G935" s="18" t="s">
        <v>3029</v>
      </c>
      <c r="H935" s="18" t="s">
        <v>73</v>
      </c>
      <c r="I935" s="18" t="s">
        <v>74</v>
      </c>
      <c r="J935" s="16">
        <v>2022</v>
      </c>
      <c r="K935" s="18" t="s">
        <v>3030</v>
      </c>
      <c r="L935" s="16">
        <v>9785001394617</v>
      </c>
      <c r="M935" s="18" t="s">
        <v>3031</v>
      </c>
      <c r="N935" s="16">
        <v>308</v>
      </c>
      <c r="O935" s="19">
        <v>0.4</v>
      </c>
      <c r="P935" s="16">
        <v>130</v>
      </c>
      <c r="Q935" s="16">
        <v>206</v>
      </c>
      <c r="R935" s="16">
        <v>14</v>
      </c>
      <c r="S935" s="18" t="s">
        <v>90</v>
      </c>
      <c r="T935" s="18"/>
      <c r="U935" s="17">
        <v>3000</v>
      </c>
      <c r="V935" s="18" t="s">
        <v>77</v>
      </c>
      <c r="W935" s="18" t="s">
        <v>91</v>
      </c>
      <c r="X935" s="16">
        <v>10</v>
      </c>
      <c r="Y935" s="43" t="str">
        <f>HYPERLINK("https://api-enni.alpina.ru/FilePrivilegesApproval/185","https://api-enni.alpina.ru/FilePrivilegesApproval/185")</f>
        <v>https://api-enni.alpina.ru/FilePrivilegesApproval/185</v>
      </c>
      <c r="Z935" s="18"/>
      <c r="AS935" s="1">
        <f>IF($A935&lt;&gt;0,1,0)</f>
        <v>0</v>
      </c>
      <c r="AT935" s="1">
        <f>$A935*$B935</f>
        <v>0</v>
      </c>
      <c r="AU935" s="1">
        <f>$A935*$O935</f>
        <v>0</v>
      </c>
      <c r="AV935" s="1">
        <f>IF($R935=0,0,INT($A935/$R935))</f>
        <v>0</v>
      </c>
      <c r="AW935" s="1">
        <f>$A935-$AV935*$R935</f>
        <v>0</v>
      </c>
    </row>
    <row r="936" ht="24.95" customHeight="1" outlineLevel="3" s="1" customFormat="1">
      <c r="A936" s="15"/>
      <c r="B936" s="16">
        <v>940</v>
      </c>
      <c r="C936" s="17">
        <v>1316</v>
      </c>
      <c r="D936" s="16">
        <v>27233</v>
      </c>
      <c r="E936" s="18"/>
      <c r="F936" s="18" t="s">
        <v>3032</v>
      </c>
      <c r="G936" s="18" t="s">
        <v>3033</v>
      </c>
      <c r="H936" s="18" t="s">
        <v>73</v>
      </c>
      <c r="I936" s="18" t="s">
        <v>74</v>
      </c>
      <c r="J936" s="16">
        <v>2026</v>
      </c>
      <c r="K936" s="18" t="s">
        <v>3034</v>
      </c>
      <c r="L936" s="16">
        <v>9785001398998</v>
      </c>
      <c r="M936" s="18" t="s">
        <v>3035</v>
      </c>
      <c r="N936" s="16">
        <v>346</v>
      </c>
      <c r="O936" s="19">
        <v>0.43</v>
      </c>
      <c r="P936" s="16">
        <v>150</v>
      </c>
      <c r="Q936" s="16">
        <v>210</v>
      </c>
      <c r="R936" s="16">
        <v>12</v>
      </c>
      <c r="S936" s="18" t="s">
        <v>43</v>
      </c>
      <c r="T936" s="18"/>
      <c r="U936" s="17">
        <v>1500</v>
      </c>
      <c r="V936" s="18" t="s">
        <v>44</v>
      </c>
      <c r="W936" s="18" t="s">
        <v>69</v>
      </c>
      <c r="X936" s="16">
        <v>10</v>
      </c>
      <c r="Y936" s="43" t="str">
        <f>HYPERLINK("https://api-enni.alpina.ru/FilePrivilegesApproval/1107","https://api-enni.alpina.ru/FilePrivilegesApproval/1107")</f>
        <v>https://api-enni.alpina.ru/FilePrivilegesApproval/1107</v>
      </c>
      <c r="Z936" s="18" t="s">
        <v>777</v>
      </c>
      <c r="AS936" s="1">
        <f>IF($A936&lt;&gt;0,1,0)</f>
        <v>0</v>
      </c>
      <c r="AT936" s="1">
        <f>$A936*$B936</f>
        <v>0</v>
      </c>
      <c r="AU936" s="1">
        <f>$A936*$O936</f>
        <v>0</v>
      </c>
      <c r="AV936" s="1">
        <f>IF($R936=0,0,INT($A936/$R936))</f>
        <v>0</v>
      </c>
      <c r="AW936" s="1">
        <f>$A936-$AV936*$R936</f>
        <v>0</v>
      </c>
    </row>
    <row r="937" ht="24.95" customHeight="1" outlineLevel="3" s="1" customFormat="1">
      <c r="A937" s="15"/>
      <c r="B937" s="16">
        <v>940</v>
      </c>
      <c r="C937" s="17">
        <v>1316</v>
      </c>
      <c r="D937" s="16">
        <v>28951</v>
      </c>
      <c r="E937" s="18"/>
      <c r="F937" s="18" t="s">
        <v>3036</v>
      </c>
      <c r="G937" s="18" t="s">
        <v>3037</v>
      </c>
      <c r="H937" s="18" t="s">
        <v>73</v>
      </c>
      <c r="I937" s="18"/>
      <c r="J937" s="16">
        <v>2025</v>
      </c>
      <c r="K937" s="18" t="s">
        <v>3038</v>
      </c>
      <c r="L937" s="16">
        <v>9785002230822</v>
      </c>
      <c r="M937" s="18" t="s">
        <v>3039</v>
      </c>
      <c r="N937" s="16">
        <v>440</v>
      </c>
      <c r="O937" s="19">
        <v>0.62</v>
      </c>
      <c r="P937" s="16">
        <v>150</v>
      </c>
      <c r="Q937" s="16">
        <v>220</v>
      </c>
      <c r="R937" s="16">
        <v>10</v>
      </c>
      <c r="S937" s="18" t="s">
        <v>43</v>
      </c>
      <c r="T937" s="18"/>
      <c r="U937" s="17">
        <v>3000</v>
      </c>
      <c r="V937" s="18" t="s">
        <v>77</v>
      </c>
      <c r="W937" s="18" t="s">
        <v>91</v>
      </c>
      <c r="X937" s="16">
        <v>10</v>
      </c>
      <c r="Y937" s="43" t="str">
        <f>HYPERLINK("https://api-enni.alpina.ru/FilePrivilegesApproval/407","https://api-enni.alpina.ru/FilePrivilegesApproval/407")</f>
        <v>https://api-enni.alpina.ru/FilePrivilegesApproval/407</v>
      </c>
      <c r="Z937" s="18"/>
      <c r="AS937" s="1">
        <f>IF($A937&lt;&gt;0,1,0)</f>
        <v>0</v>
      </c>
      <c r="AT937" s="1">
        <f>$A937*$B937</f>
        <v>0</v>
      </c>
      <c r="AU937" s="1">
        <f>$A937*$O937</f>
        <v>0</v>
      </c>
      <c r="AV937" s="1">
        <f>IF($R937=0,0,INT($A937/$R937))</f>
        <v>0</v>
      </c>
      <c r="AW937" s="1">
        <f>$A937-$AV937*$R937</f>
        <v>0</v>
      </c>
    </row>
    <row r="938" ht="24.95" customHeight="1" outlineLevel="3" s="1" customFormat="1">
      <c r="A938" s="15"/>
      <c r="B938" s="16">
        <v>790</v>
      </c>
      <c r="C938" s="17">
        <v>1146</v>
      </c>
      <c r="D938" s="16">
        <v>12541</v>
      </c>
      <c r="E938" s="18"/>
      <c r="F938" s="18" t="s">
        <v>3040</v>
      </c>
      <c r="G938" s="18" t="s">
        <v>3041</v>
      </c>
      <c r="H938" s="18" t="s">
        <v>86</v>
      </c>
      <c r="I938" s="18" t="s">
        <v>74</v>
      </c>
      <c r="J938" s="16">
        <v>2021</v>
      </c>
      <c r="K938" s="18" t="s">
        <v>3042</v>
      </c>
      <c r="L938" s="16">
        <v>9785961472486</v>
      </c>
      <c r="M938" s="18" t="s">
        <v>3043</v>
      </c>
      <c r="N938" s="16">
        <v>304</v>
      </c>
      <c r="O938" s="19">
        <v>0.47</v>
      </c>
      <c r="P938" s="16">
        <v>146</v>
      </c>
      <c r="Q938" s="16">
        <v>216</v>
      </c>
      <c r="R938" s="16">
        <v>12</v>
      </c>
      <c r="S938" s="18" t="s">
        <v>43</v>
      </c>
      <c r="T938" s="18"/>
      <c r="U938" s="17">
        <v>2000</v>
      </c>
      <c r="V938" s="18" t="s">
        <v>77</v>
      </c>
      <c r="W938" s="18" t="s">
        <v>91</v>
      </c>
      <c r="X938" s="16">
        <v>10</v>
      </c>
      <c r="Y938" s="43" t="str">
        <f>HYPERLINK("https://api-enni.alpina.ru/FilePrivilegesApproval/124","https://api-enni.alpina.ru/FilePrivilegesApproval/124")</f>
        <v>https://api-enni.alpina.ru/FilePrivilegesApproval/124</v>
      </c>
      <c r="Z938" s="18"/>
      <c r="AS938" s="1">
        <f>IF($A938&lt;&gt;0,1,0)</f>
        <v>0</v>
      </c>
      <c r="AT938" s="1">
        <f>$A938*$B938</f>
        <v>0</v>
      </c>
      <c r="AU938" s="1">
        <f>$A938*$O938</f>
        <v>0</v>
      </c>
      <c r="AV938" s="1">
        <f>IF($R938=0,0,INT($A938/$R938))</f>
        <v>0</v>
      </c>
      <c r="AW938" s="1">
        <f>$A938-$AV938*$R938</f>
        <v>0</v>
      </c>
    </row>
    <row r="939" ht="24.95" customHeight="1" outlineLevel="3" s="1" customFormat="1">
      <c r="A939" s="15"/>
      <c r="B939" s="16">
        <v>590</v>
      </c>
      <c r="C939" s="16">
        <v>885</v>
      </c>
      <c r="D939" s="16">
        <v>17475</v>
      </c>
      <c r="E939" s="18"/>
      <c r="F939" s="18" t="s">
        <v>3044</v>
      </c>
      <c r="G939" s="18" t="s">
        <v>3045</v>
      </c>
      <c r="H939" s="18" t="s">
        <v>86</v>
      </c>
      <c r="I939" s="18"/>
      <c r="J939" s="16">
        <v>2025</v>
      </c>
      <c r="K939" s="18" t="s">
        <v>3046</v>
      </c>
      <c r="L939" s="16">
        <v>9785961436068</v>
      </c>
      <c r="M939" s="18" t="s">
        <v>3047</v>
      </c>
      <c r="N939" s="16">
        <v>144</v>
      </c>
      <c r="O939" s="19">
        <v>0.3</v>
      </c>
      <c r="P939" s="16">
        <v>145</v>
      </c>
      <c r="Q939" s="16">
        <v>203</v>
      </c>
      <c r="R939" s="16">
        <v>20</v>
      </c>
      <c r="S939" s="18" t="s">
        <v>43</v>
      </c>
      <c r="T939" s="18"/>
      <c r="U939" s="17">
        <v>2000</v>
      </c>
      <c r="V939" s="18" t="s">
        <v>77</v>
      </c>
      <c r="W939" s="18" t="s">
        <v>69</v>
      </c>
      <c r="X939" s="16">
        <v>10</v>
      </c>
      <c r="Y939" s="43" t="str">
        <f>HYPERLINK("https://api-enni.alpina.ru/FilePrivilegesApproval/73","https://api-enni.alpina.ru/FilePrivilegesApproval/73")</f>
        <v>https://api-enni.alpina.ru/FilePrivilegesApproval/73</v>
      </c>
      <c r="Z939" s="18"/>
      <c r="AS939" s="1">
        <f>IF($A939&lt;&gt;0,1,0)</f>
        <v>0</v>
      </c>
      <c r="AT939" s="1">
        <f>$A939*$B939</f>
        <v>0</v>
      </c>
      <c r="AU939" s="1">
        <f>$A939*$O939</f>
        <v>0</v>
      </c>
      <c r="AV939" s="1">
        <f>IF($R939=0,0,INT($A939/$R939))</f>
        <v>0</v>
      </c>
      <c r="AW939" s="1">
        <f>$A939-$AV939*$R939</f>
        <v>0</v>
      </c>
    </row>
    <row r="940" ht="24.95" customHeight="1" outlineLevel="3" s="1" customFormat="1">
      <c r="A940" s="15"/>
      <c r="B940" s="16">
        <v>840</v>
      </c>
      <c r="C940" s="17">
        <v>1218</v>
      </c>
      <c r="D940" s="16">
        <v>24202</v>
      </c>
      <c r="E940" s="18"/>
      <c r="F940" s="18" t="s">
        <v>3048</v>
      </c>
      <c r="G940" s="18" t="s">
        <v>3049</v>
      </c>
      <c r="H940" s="18" t="s">
        <v>73</v>
      </c>
      <c r="I940" s="18" t="s">
        <v>74</v>
      </c>
      <c r="J940" s="16">
        <v>2025</v>
      </c>
      <c r="K940" s="18" t="s">
        <v>3050</v>
      </c>
      <c r="L940" s="16">
        <v>9785002232567</v>
      </c>
      <c r="M940" s="18" t="s">
        <v>3051</v>
      </c>
      <c r="N940" s="16">
        <v>282</v>
      </c>
      <c r="O940" s="19">
        <v>0.44</v>
      </c>
      <c r="P940" s="16">
        <v>150</v>
      </c>
      <c r="Q940" s="16">
        <v>220</v>
      </c>
      <c r="R940" s="16">
        <v>12</v>
      </c>
      <c r="S940" s="18" t="s">
        <v>43</v>
      </c>
      <c r="T940" s="18"/>
      <c r="U940" s="17">
        <v>1500</v>
      </c>
      <c r="V940" s="18" t="s">
        <v>77</v>
      </c>
      <c r="W940" s="18" t="s">
        <v>91</v>
      </c>
      <c r="X940" s="16">
        <v>10</v>
      </c>
      <c r="Y940" s="43" t="str">
        <f>HYPERLINK("https://api-enni.alpina.ru/FilePrivilegesApproval/386","https://api-enni.alpina.ru/FilePrivilegesApproval/386")</f>
        <v>https://api-enni.alpina.ru/FilePrivilegesApproval/386</v>
      </c>
      <c r="Z940" s="18"/>
      <c r="AS940" s="1">
        <f>IF($A940&lt;&gt;0,1,0)</f>
        <v>0</v>
      </c>
      <c r="AT940" s="1">
        <f>$A940*$B940</f>
        <v>0</v>
      </c>
      <c r="AU940" s="1">
        <f>$A940*$O940</f>
        <v>0</v>
      </c>
      <c r="AV940" s="1">
        <f>IF($R940=0,0,INT($A940/$R940))</f>
        <v>0</v>
      </c>
      <c r="AW940" s="1">
        <f>$A940-$AV940*$R940</f>
        <v>0</v>
      </c>
    </row>
    <row r="941" ht="24.95" customHeight="1" outlineLevel="3" s="1" customFormat="1">
      <c r="A941" s="15"/>
      <c r="B941" s="16">
        <v>440</v>
      </c>
      <c r="C941" s="16">
        <v>682</v>
      </c>
      <c r="D941" s="16">
        <v>30642</v>
      </c>
      <c r="E941" s="18"/>
      <c r="F941" s="18" t="s">
        <v>3052</v>
      </c>
      <c r="G941" s="18" t="s">
        <v>3053</v>
      </c>
      <c r="H941" s="18" t="s">
        <v>73</v>
      </c>
      <c r="I941" s="18"/>
      <c r="J941" s="16">
        <v>2024</v>
      </c>
      <c r="K941" s="18" t="s">
        <v>3054</v>
      </c>
      <c r="L941" s="16">
        <v>9785002232710</v>
      </c>
      <c r="M941" s="18" t="s">
        <v>3055</v>
      </c>
      <c r="N941" s="16">
        <v>656</v>
      </c>
      <c r="O941" s="19">
        <v>0.42</v>
      </c>
      <c r="P941" s="16">
        <v>120</v>
      </c>
      <c r="Q941" s="16">
        <v>170</v>
      </c>
      <c r="R941" s="16">
        <v>10</v>
      </c>
      <c r="S941" s="18" t="s">
        <v>190</v>
      </c>
      <c r="T941" s="18" t="s">
        <v>491</v>
      </c>
      <c r="U941" s="17">
        <v>2000</v>
      </c>
      <c r="V941" s="18" t="s">
        <v>44</v>
      </c>
      <c r="W941" s="18" t="s">
        <v>91</v>
      </c>
      <c r="X941" s="16">
        <v>10</v>
      </c>
      <c r="Y941" s="43" t="str">
        <f>HYPERLINK("https://api-enni.alpina.ru/FilePrivilegesApproval/185","https://api-enni.alpina.ru/FilePrivilegesApproval/185")</f>
        <v>https://api-enni.alpina.ru/FilePrivilegesApproval/185</v>
      </c>
      <c r="Z941" s="18"/>
      <c r="AS941" s="1">
        <f>IF($A941&lt;&gt;0,1,0)</f>
        <v>0</v>
      </c>
      <c r="AT941" s="1">
        <f>$A941*$B941</f>
        <v>0</v>
      </c>
      <c r="AU941" s="1">
        <f>$A941*$O941</f>
        <v>0</v>
      </c>
      <c r="AV941" s="1">
        <f>IF($R941=0,0,INT($A941/$R941))</f>
        <v>0</v>
      </c>
      <c r="AW941" s="1">
        <f>$A941-$AV941*$R941</f>
        <v>0</v>
      </c>
    </row>
    <row r="942" ht="24.95" customHeight="1" outlineLevel="3" s="1" customFormat="1">
      <c r="A942" s="15"/>
      <c r="B942" s="16">
        <v>760</v>
      </c>
      <c r="C942" s="17">
        <v>1102</v>
      </c>
      <c r="D942" s="16">
        <v>22849</v>
      </c>
      <c r="E942" s="18"/>
      <c r="F942" s="18" t="s">
        <v>3056</v>
      </c>
      <c r="G942" s="18" t="s">
        <v>3057</v>
      </c>
      <c r="H942" s="18" t="s">
        <v>73</v>
      </c>
      <c r="I942" s="18" t="s">
        <v>74</v>
      </c>
      <c r="J942" s="16">
        <v>2026</v>
      </c>
      <c r="K942" s="18" t="s">
        <v>3058</v>
      </c>
      <c r="L942" s="16">
        <v>9785001394921</v>
      </c>
      <c r="M942" s="18" t="s">
        <v>3059</v>
      </c>
      <c r="N942" s="16">
        <v>374</v>
      </c>
      <c r="O942" s="19">
        <v>0.45</v>
      </c>
      <c r="P942" s="16">
        <v>140</v>
      </c>
      <c r="Q942" s="16">
        <v>210</v>
      </c>
      <c r="R942" s="16">
        <v>12</v>
      </c>
      <c r="S942" s="18" t="s">
        <v>43</v>
      </c>
      <c r="T942" s="18"/>
      <c r="U942" s="17">
        <v>3000</v>
      </c>
      <c r="V942" s="18" t="s">
        <v>44</v>
      </c>
      <c r="W942" s="18" t="s">
        <v>69</v>
      </c>
      <c r="X942" s="16">
        <v>10</v>
      </c>
      <c r="Y942" s="43" t="str">
        <f>HYPERLINK("https://api-enni.alpina.ru/FilePrivilegesApproval/317","https://api-enni.alpina.ru/FilePrivilegesApproval/317")</f>
        <v>https://api-enni.alpina.ru/FilePrivilegesApproval/317</v>
      </c>
      <c r="Z942" s="18" t="s">
        <v>843</v>
      </c>
      <c r="AS942" s="1">
        <f>IF($A942&lt;&gt;0,1,0)</f>
        <v>0</v>
      </c>
      <c r="AT942" s="1">
        <f>$A942*$B942</f>
        <v>0</v>
      </c>
      <c r="AU942" s="1">
        <f>$A942*$O942</f>
        <v>0</v>
      </c>
      <c r="AV942" s="1">
        <f>IF($R942=0,0,INT($A942/$R942))</f>
        <v>0</v>
      </c>
      <c r="AW942" s="1">
        <f>$A942-$AV942*$R942</f>
        <v>0</v>
      </c>
    </row>
    <row r="943" ht="24.95" customHeight="1" outlineLevel="3" s="1" customFormat="1">
      <c r="A943" s="15"/>
      <c r="B943" s="17">
        <v>1590</v>
      </c>
      <c r="C943" s="17">
        <v>2067</v>
      </c>
      <c r="D943" s="16">
        <v>23432</v>
      </c>
      <c r="E943" s="18"/>
      <c r="F943" s="18" t="s">
        <v>3060</v>
      </c>
      <c r="G943" s="18" t="s">
        <v>3061</v>
      </c>
      <c r="H943" s="18" t="s">
        <v>73</v>
      </c>
      <c r="I943" s="18" t="s">
        <v>74</v>
      </c>
      <c r="J943" s="16">
        <v>2025</v>
      </c>
      <c r="K943" s="18" t="s">
        <v>3062</v>
      </c>
      <c r="L943" s="16">
        <v>9785001395157</v>
      </c>
      <c r="M943" s="18" t="s">
        <v>3063</v>
      </c>
      <c r="N943" s="16">
        <v>280</v>
      </c>
      <c r="O943" s="19">
        <v>0.93</v>
      </c>
      <c r="P943" s="16">
        <v>210</v>
      </c>
      <c r="Q943" s="16">
        <v>270</v>
      </c>
      <c r="R943" s="16">
        <v>5</v>
      </c>
      <c r="S943" s="18" t="s">
        <v>328</v>
      </c>
      <c r="T943" s="18"/>
      <c r="U943" s="17">
        <v>2000</v>
      </c>
      <c r="V943" s="18" t="s">
        <v>77</v>
      </c>
      <c r="W943" s="18" t="s">
        <v>91</v>
      </c>
      <c r="X943" s="16">
        <v>10</v>
      </c>
      <c r="Y943" s="43" t="str">
        <f>HYPERLINK("https://api-enni.alpina.ru/FilePrivilegesApproval/763","https://api-enni.alpina.ru/FilePrivilegesApproval/763")</f>
        <v>https://api-enni.alpina.ru/FilePrivilegesApproval/763</v>
      </c>
      <c r="Z943" s="18"/>
      <c r="AS943" s="1">
        <f>IF($A943&lt;&gt;0,1,0)</f>
        <v>0</v>
      </c>
      <c r="AT943" s="1">
        <f>$A943*$B943</f>
        <v>0</v>
      </c>
      <c r="AU943" s="1">
        <f>$A943*$O943</f>
        <v>0</v>
      </c>
      <c r="AV943" s="1">
        <f>IF($R943=0,0,INT($A943/$R943))</f>
        <v>0</v>
      </c>
      <c r="AW943" s="1">
        <f>$A943-$AV943*$R943</f>
        <v>0</v>
      </c>
    </row>
    <row r="944" ht="24.95" customHeight="1" outlineLevel="3" s="1" customFormat="1">
      <c r="A944" s="25"/>
      <c r="B944" s="26">
        <v>900</v>
      </c>
      <c r="C944" s="29">
        <v>1260</v>
      </c>
      <c r="D944" s="26">
        <v>27751</v>
      </c>
      <c r="E944" s="27"/>
      <c r="F944" s="27" t="s">
        <v>3064</v>
      </c>
      <c r="G944" s="27" t="s">
        <v>3065</v>
      </c>
      <c r="H944" s="27" t="s">
        <v>73</v>
      </c>
      <c r="I944" s="27"/>
      <c r="J944" s="26">
        <v>2026</v>
      </c>
      <c r="K944" s="27" t="s">
        <v>3066</v>
      </c>
      <c r="L944" s="26">
        <v>9785001399568</v>
      </c>
      <c r="M944" s="27" t="s">
        <v>3067</v>
      </c>
      <c r="N944" s="26">
        <v>454</v>
      </c>
      <c r="O944" s="28">
        <v>0.56</v>
      </c>
      <c r="P944" s="26">
        <v>140</v>
      </c>
      <c r="Q944" s="26">
        <v>210</v>
      </c>
      <c r="R944" s="26">
        <v>8</v>
      </c>
      <c r="S944" s="27" t="s">
        <v>43</v>
      </c>
      <c r="T944" s="27"/>
      <c r="U944" s="29">
        <v>1000</v>
      </c>
      <c r="V944" s="27" t="s">
        <v>44</v>
      </c>
      <c r="W944" s="27" t="s">
        <v>69</v>
      </c>
      <c r="X944" s="26">
        <v>10</v>
      </c>
      <c r="Y944" s="45" t="str">
        <f>HYPERLINK("https://api-enni.alpina.ru/FilePrivilegesApproval/190","https://api-enni.alpina.ru/FilePrivilegesApproval/190")</f>
        <v>https://api-enni.alpina.ru/FilePrivilegesApproval/190</v>
      </c>
      <c r="Z944" s="27"/>
      <c r="AS944" s="1">
        <f>IF($A944&lt;&gt;0,1,0)</f>
        <v>0</v>
      </c>
      <c r="AT944" s="1">
        <f>$A944*$B944</f>
        <v>0</v>
      </c>
      <c r="AU944" s="1">
        <f>$A944*$O944</f>
        <v>0</v>
      </c>
      <c r="AV944" s="1">
        <f>IF($R944=0,0,INT($A944/$R944))</f>
        <v>0</v>
      </c>
      <c r="AW944" s="1">
        <f>$A944-$AV944*$R944</f>
        <v>0</v>
      </c>
    </row>
    <row r="945" ht="24.95" customHeight="1" outlineLevel="3" s="1" customFormat="1">
      <c r="A945" s="15"/>
      <c r="B945" s="16">
        <v>820</v>
      </c>
      <c r="C945" s="17">
        <v>1189</v>
      </c>
      <c r="D945" s="16">
        <v>27714</v>
      </c>
      <c r="E945" s="18"/>
      <c r="F945" s="18" t="s">
        <v>3068</v>
      </c>
      <c r="G945" s="18" t="s">
        <v>3069</v>
      </c>
      <c r="H945" s="18" t="s">
        <v>73</v>
      </c>
      <c r="I945" s="18" t="s">
        <v>74</v>
      </c>
      <c r="J945" s="16">
        <v>2025</v>
      </c>
      <c r="K945" s="18" t="s">
        <v>3070</v>
      </c>
      <c r="L945" s="16">
        <v>9785001399452</v>
      </c>
      <c r="M945" s="18" t="s">
        <v>3071</v>
      </c>
      <c r="N945" s="16">
        <v>374</v>
      </c>
      <c r="O945" s="19">
        <v>0.54</v>
      </c>
      <c r="P945" s="16">
        <v>150</v>
      </c>
      <c r="Q945" s="16">
        <v>220</v>
      </c>
      <c r="R945" s="16">
        <v>10</v>
      </c>
      <c r="S945" s="18" t="s">
        <v>43</v>
      </c>
      <c r="T945" s="18"/>
      <c r="U945" s="17">
        <v>1500</v>
      </c>
      <c r="V945" s="18" t="s">
        <v>77</v>
      </c>
      <c r="W945" s="18" t="s">
        <v>69</v>
      </c>
      <c r="X945" s="16">
        <v>10</v>
      </c>
      <c r="Y945" s="43" t="str">
        <f>HYPERLINK("https://api-enni.alpina.ru/FilePrivilegesApproval/1006","https://api-enni.alpina.ru/FilePrivilegesApproval/1006")</f>
        <v>https://api-enni.alpina.ru/FilePrivilegesApproval/1006</v>
      </c>
      <c r="Z945" s="18"/>
      <c r="AS945" s="1">
        <f>IF($A945&lt;&gt;0,1,0)</f>
        <v>0</v>
      </c>
      <c r="AT945" s="1">
        <f>$A945*$B945</f>
        <v>0</v>
      </c>
      <c r="AU945" s="1">
        <f>$A945*$O945</f>
        <v>0</v>
      </c>
      <c r="AV945" s="1">
        <f>IF($R945=0,0,INT($A945/$R945))</f>
        <v>0</v>
      </c>
      <c r="AW945" s="1">
        <f>$A945-$AV945*$R945</f>
        <v>0</v>
      </c>
    </row>
    <row r="946" ht="24.95" customHeight="1" outlineLevel="3" s="1" customFormat="1">
      <c r="A946" s="15"/>
      <c r="B946" s="16">
        <v>690</v>
      </c>
      <c r="C946" s="17">
        <v>1035</v>
      </c>
      <c r="D946" s="16">
        <v>18025</v>
      </c>
      <c r="E946" s="18"/>
      <c r="F946" s="18" t="s">
        <v>3052</v>
      </c>
      <c r="G946" s="18" t="s">
        <v>3072</v>
      </c>
      <c r="H946" s="18" t="s">
        <v>73</v>
      </c>
      <c r="I946" s="18"/>
      <c r="J946" s="16">
        <v>2022</v>
      </c>
      <c r="K946" s="18" t="s">
        <v>3073</v>
      </c>
      <c r="L946" s="16">
        <v>9785001395607</v>
      </c>
      <c r="M946" s="18" t="s">
        <v>3074</v>
      </c>
      <c r="N946" s="16">
        <v>352</v>
      </c>
      <c r="O946" s="19">
        <v>0.5</v>
      </c>
      <c r="P946" s="16">
        <v>146</v>
      </c>
      <c r="Q946" s="16">
        <v>216</v>
      </c>
      <c r="R946" s="16">
        <v>8</v>
      </c>
      <c r="S946" s="18" t="s">
        <v>43</v>
      </c>
      <c r="T946" s="18" t="s">
        <v>2905</v>
      </c>
      <c r="U946" s="17">
        <v>1500</v>
      </c>
      <c r="V946" s="18" t="s">
        <v>77</v>
      </c>
      <c r="W946" s="18" t="s">
        <v>91</v>
      </c>
      <c r="X946" s="16">
        <v>10</v>
      </c>
      <c r="Y946" s="43" t="str">
        <f>HYPERLINK("https://api-enni.alpina.ru/FilePrivilegesApproval/179","https://api-enni.alpina.ru/FilePrivilegesApproval/179")</f>
        <v>https://api-enni.alpina.ru/FilePrivilegesApproval/179</v>
      </c>
      <c r="Z946" s="18"/>
      <c r="AS946" s="1">
        <f>IF($A946&lt;&gt;0,1,0)</f>
        <v>0</v>
      </c>
      <c r="AT946" s="1">
        <f>$A946*$B946</f>
        <v>0</v>
      </c>
      <c r="AU946" s="1">
        <f>$A946*$O946</f>
        <v>0</v>
      </c>
      <c r="AV946" s="1">
        <f>IF($R946=0,0,INT($A946/$R946))</f>
        <v>0</v>
      </c>
      <c r="AW946" s="1">
        <f>$A946-$AV946*$R946</f>
        <v>0</v>
      </c>
    </row>
    <row r="947" ht="24.95" customHeight="1" outlineLevel="3" s="1" customFormat="1">
      <c r="A947" s="15"/>
      <c r="B947" s="16">
        <v>390</v>
      </c>
      <c r="C947" s="16">
        <v>624</v>
      </c>
      <c r="D947" s="16">
        <v>29697</v>
      </c>
      <c r="E947" s="18"/>
      <c r="F947" s="18" t="s">
        <v>3075</v>
      </c>
      <c r="G947" s="18" t="s">
        <v>3076</v>
      </c>
      <c r="H947" s="18" t="s">
        <v>73</v>
      </c>
      <c r="I947" s="18"/>
      <c r="J947" s="16">
        <v>2025</v>
      </c>
      <c r="K947" s="18" t="s">
        <v>3077</v>
      </c>
      <c r="L947" s="16">
        <v>9785002231683</v>
      </c>
      <c r="M947" s="18" t="s">
        <v>3078</v>
      </c>
      <c r="N947" s="16">
        <v>352</v>
      </c>
      <c r="O947" s="19">
        <v>0.23</v>
      </c>
      <c r="P947" s="16">
        <v>120</v>
      </c>
      <c r="Q947" s="16">
        <v>170</v>
      </c>
      <c r="R947" s="16">
        <v>16</v>
      </c>
      <c r="S947" s="18" t="s">
        <v>190</v>
      </c>
      <c r="T947" s="18" t="s">
        <v>491</v>
      </c>
      <c r="U947" s="17">
        <v>2000</v>
      </c>
      <c r="V947" s="18" t="s">
        <v>44</v>
      </c>
      <c r="W947" s="18" t="s">
        <v>69</v>
      </c>
      <c r="X947" s="16">
        <v>10</v>
      </c>
      <c r="Y947" s="43" t="str">
        <f>HYPERLINK("https://api-enni.alpina.ru/FilePrivilegesApproval/226","https://api-enni.alpina.ru/FilePrivilegesApproval/226")</f>
        <v>https://api-enni.alpina.ru/FilePrivilegesApproval/226</v>
      </c>
      <c r="Z947" s="18"/>
      <c r="AS947" s="1">
        <f>IF($A947&lt;&gt;0,1,0)</f>
        <v>0</v>
      </c>
      <c r="AT947" s="1">
        <f>$A947*$B947</f>
        <v>0</v>
      </c>
      <c r="AU947" s="1">
        <f>$A947*$O947</f>
        <v>0</v>
      </c>
      <c r="AV947" s="1">
        <f>IF($R947=0,0,INT($A947/$R947))</f>
        <v>0</v>
      </c>
      <c r="AW947" s="1">
        <f>$A947-$AV947*$R947</f>
        <v>0</v>
      </c>
    </row>
    <row r="948" ht="24.95" customHeight="1" outlineLevel="3" s="1" customFormat="1">
      <c r="A948" s="15"/>
      <c r="B948" s="16">
        <v>690</v>
      </c>
      <c r="C948" s="17">
        <v>1035</v>
      </c>
      <c r="D948" s="16">
        <v>21048</v>
      </c>
      <c r="E948" s="18"/>
      <c r="F948" s="18" t="s">
        <v>3079</v>
      </c>
      <c r="G948" s="18" t="s">
        <v>3080</v>
      </c>
      <c r="H948" s="18" t="s">
        <v>73</v>
      </c>
      <c r="I948" s="18" t="s">
        <v>74</v>
      </c>
      <c r="J948" s="16">
        <v>2022</v>
      </c>
      <c r="K948" s="18" t="s">
        <v>3081</v>
      </c>
      <c r="L948" s="16">
        <v>9785001394051</v>
      </c>
      <c r="M948" s="18" t="s">
        <v>3082</v>
      </c>
      <c r="N948" s="16">
        <v>312</v>
      </c>
      <c r="O948" s="19">
        <v>0.47</v>
      </c>
      <c r="P948" s="16">
        <v>146</v>
      </c>
      <c r="Q948" s="16">
        <v>216</v>
      </c>
      <c r="R948" s="16">
        <v>12</v>
      </c>
      <c r="S948" s="18" t="s">
        <v>43</v>
      </c>
      <c r="T948" s="18"/>
      <c r="U948" s="17">
        <v>2500</v>
      </c>
      <c r="V948" s="18" t="s">
        <v>77</v>
      </c>
      <c r="W948" s="18" t="s">
        <v>91</v>
      </c>
      <c r="X948" s="16">
        <v>10</v>
      </c>
      <c r="Y948" s="43" t="str">
        <f>HYPERLINK("https://api-enni.alpina.ru/FilePrivilegesApproval/179","https://api-enni.alpina.ru/FilePrivilegesApproval/179")</f>
        <v>https://api-enni.alpina.ru/FilePrivilegesApproval/179</v>
      </c>
      <c r="Z948" s="18"/>
      <c r="AS948" s="1">
        <f>IF($A948&lt;&gt;0,1,0)</f>
        <v>0</v>
      </c>
      <c r="AT948" s="1">
        <f>$A948*$B948</f>
        <v>0</v>
      </c>
      <c r="AU948" s="1">
        <f>$A948*$O948</f>
        <v>0</v>
      </c>
      <c r="AV948" s="1">
        <f>IF($R948=0,0,INT($A948/$R948))</f>
        <v>0</v>
      </c>
      <c r="AW948" s="1">
        <f>$A948-$AV948*$R948</f>
        <v>0</v>
      </c>
    </row>
    <row r="949" ht="24.95" customHeight="1" outlineLevel="3" s="1" customFormat="1">
      <c r="A949" s="15"/>
      <c r="B949" s="16">
        <v>890</v>
      </c>
      <c r="C949" s="17">
        <v>1246</v>
      </c>
      <c r="D949" s="16">
        <v>25180</v>
      </c>
      <c r="E949" s="18"/>
      <c r="F949" s="18" t="s">
        <v>3083</v>
      </c>
      <c r="G949" s="18" t="s">
        <v>3084</v>
      </c>
      <c r="H949" s="18" t="s">
        <v>73</v>
      </c>
      <c r="I949" s="18" t="s">
        <v>74</v>
      </c>
      <c r="J949" s="16">
        <v>2024</v>
      </c>
      <c r="K949" s="18" t="s">
        <v>3085</v>
      </c>
      <c r="L949" s="16">
        <v>9785001396482</v>
      </c>
      <c r="M949" s="18" t="s">
        <v>3086</v>
      </c>
      <c r="N949" s="16">
        <v>472</v>
      </c>
      <c r="O949" s="19">
        <v>0.68</v>
      </c>
      <c r="P949" s="16">
        <v>150</v>
      </c>
      <c r="Q949" s="16">
        <v>220</v>
      </c>
      <c r="R949" s="16">
        <v>8</v>
      </c>
      <c r="S949" s="18" t="s">
        <v>43</v>
      </c>
      <c r="T949" s="18"/>
      <c r="U949" s="17">
        <v>3000</v>
      </c>
      <c r="V949" s="18" t="s">
        <v>77</v>
      </c>
      <c r="W949" s="18" t="s">
        <v>55</v>
      </c>
      <c r="X949" s="16">
        <v>10</v>
      </c>
      <c r="Y949" s="43" t="str">
        <f>HYPERLINK("https://api-enni.alpina.ru/FilePrivilegesApproval/374","https://api-enni.alpina.ru/FilePrivilegesApproval/374")</f>
        <v>https://api-enni.alpina.ru/FilePrivilegesApproval/374</v>
      </c>
      <c r="Z949" s="18"/>
      <c r="AS949" s="1">
        <f>IF($A949&lt;&gt;0,1,0)</f>
        <v>0</v>
      </c>
      <c r="AT949" s="1">
        <f>$A949*$B949</f>
        <v>0</v>
      </c>
      <c r="AU949" s="1">
        <f>$A949*$O949</f>
        <v>0</v>
      </c>
      <c r="AV949" s="1">
        <f>IF($R949=0,0,INT($A949/$R949))</f>
        <v>0</v>
      </c>
      <c r="AW949" s="1">
        <f>$A949-$AV949*$R949</f>
        <v>0</v>
      </c>
    </row>
    <row r="950" ht="24.95" customHeight="1" outlineLevel="3" s="1" customFormat="1">
      <c r="A950" s="15"/>
      <c r="B950" s="16">
        <v>990</v>
      </c>
      <c r="C950" s="17">
        <v>1386</v>
      </c>
      <c r="D950" s="16">
        <v>28751</v>
      </c>
      <c r="E950" s="18"/>
      <c r="F950" s="18" t="s">
        <v>3009</v>
      </c>
      <c r="G950" s="18" t="s">
        <v>3087</v>
      </c>
      <c r="H950" s="18" t="s">
        <v>73</v>
      </c>
      <c r="I950" s="18"/>
      <c r="J950" s="16">
        <v>2026</v>
      </c>
      <c r="K950" s="18" t="s">
        <v>3088</v>
      </c>
      <c r="L950" s="16">
        <v>9785002230525</v>
      </c>
      <c r="M950" s="18" t="s">
        <v>3089</v>
      </c>
      <c r="N950" s="16">
        <v>446</v>
      </c>
      <c r="O950" s="19">
        <v>0.51</v>
      </c>
      <c r="P950" s="16">
        <v>150</v>
      </c>
      <c r="Q950" s="16">
        <v>220</v>
      </c>
      <c r="R950" s="16">
        <v>10</v>
      </c>
      <c r="S950" s="18" t="s">
        <v>43</v>
      </c>
      <c r="T950" s="18"/>
      <c r="U950" s="17">
        <v>1000</v>
      </c>
      <c r="V950" s="18" t="s">
        <v>77</v>
      </c>
      <c r="W950" s="18" t="s">
        <v>69</v>
      </c>
      <c r="X950" s="16">
        <v>10</v>
      </c>
      <c r="Y950" s="43" t="str">
        <f>HYPERLINK("https://api-enni.alpina.ru/FilePrivilegesApproval/566","https://api-enni.alpina.ru/FilePrivilegesApproval/566")</f>
        <v>https://api-enni.alpina.ru/FilePrivilegesApproval/566</v>
      </c>
      <c r="Z950" s="18" t="s">
        <v>410</v>
      </c>
      <c r="AS950" s="1">
        <f>IF($A950&lt;&gt;0,1,0)</f>
        <v>0</v>
      </c>
      <c r="AT950" s="1">
        <f>$A950*$B950</f>
        <v>0</v>
      </c>
      <c r="AU950" s="1">
        <f>$A950*$O950</f>
        <v>0</v>
      </c>
      <c r="AV950" s="1">
        <f>IF($R950=0,0,INT($A950/$R950))</f>
        <v>0</v>
      </c>
      <c r="AW950" s="1">
        <f>$A950-$AV950*$R950</f>
        <v>0</v>
      </c>
    </row>
    <row r="951" ht="24.95" customHeight="1" outlineLevel="3" s="1" customFormat="1">
      <c r="A951" s="15"/>
      <c r="B951" s="16">
        <v>940</v>
      </c>
      <c r="C951" s="17">
        <v>1316</v>
      </c>
      <c r="D951" s="16">
        <v>23760</v>
      </c>
      <c r="E951" s="18"/>
      <c r="F951" s="18" t="s">
        <v>3090</v>
      </c>
      <c r="G951" s="18" t="s">
        <v>3091</v>
      </c>
      <c r="H951" s="18" t="s">
        <v>73</v>
      </c>
      <c r="I951" s="18" t="s">
        <v>74</v>
      </c>
      <c r="J951" s="16">
        <v>2023</v>
      </c>
      <c r="K951" s="18" t="s">
        <v>3092</v>
      </c>
      <c r="L951" s="16">
        <v>9785001398653</v>
      </c>
      <c r="M951" s="18" t="s">
        <v>3093</v>
      </c>
      <c r="N951" s="16">
        <v>416</v>
      </c>
      <c r="O951" s="19">
        <v>0.6</v>
      </c>
      <c r="P951" s="16">
        <v>150</v>
      </c>
      <c r="Q951" s="16">
        <v>220</v>
      </c>
      <c r="R951" s="16">
        <v>10</v>
      </c>
      <c r="S951" s="18" t="s">
        <v>43</v>
      </c>
      <c r="T951" s="18"/>
      <c r="U951" s="17">
        <v>3000</v>
      </c>
      <c r="V951" s="18" t="s">
        <v>77</v>
      </c>
      <c r="W951" s="18" t="s">
        <v>69</v>
      </c>
      <c r="X951" s="16">
        <v>10</v>
      </c>
      <c r="Y951" s="43" t="str">
        <f>HYPERLINK("https://api-enni.alpina.ru/FilePrivilegesApproval/203","https://api-enni.alpina.ru/FilePrivilegesApproval/203")</f>
        <v>https://api-enni.alpina.ru/FilePrivilegesApproval/203</v>
      </c>
      <c r="Z951" s="18"/>
      <c r="AS951" s="1">
        <f>IF($A951&lt;&gt;0,1,0)</f>
        <v>0</v>
      </c>
      <c r="AT951" s="1">
        <f>$A951*$B951</f>
        <v>0</v>
      </c>
      <c r="AU951" s="1">
        <f>$A951*$O951</f>
        <v>0</v>
      </c>
      <c r="AV951" s="1">
        <f>IF($R951=0,0,INT($A951/$R951))</f>
        <v>0</v>
      </c>
      <c r="AW951" s="1">
        <f>$A951-$AV951*$R951</f>
        <v>0</v>
      </c>
    </row>
    <row r="952" ht="24.95" customHeight="1" outlineLevel="3" s="1" customFormat="1">
      <c r="A952" s="15"/>
      <c r="B952" s="16">
        <v>990</v>
      </c>
      <c r="C952" s="17">
        <v>1386</v>
      </c>
      <c r="D952" s="16">
        <v>22768</v>
      </c>
      <c r="E952" s="18"/>
      <c r="F952" s="18" t="s">
        <v>3094</v>
      </c>
      <c r="G952" s="18" t="s">
        <v>3095</v>
      </c>
      <c r="H952" s="18" t="s">
        <v>73</v>
      </c>
      <c r="I952" s="18" t="s">
        <v>74</v>
      </c>
      <c r="J952" s="16">
        <v>2026</v>
      </c>
      <c r="K952" s="18" t="s">
        <v>3096</v>
      </c>
      <c r="L952" s="16">
        <v>9785001396727</v>
      </c>
      <c r="M952" s="18" t="s">
        <v>3097</v>
      </c>
      <c r="N952" s="16">
        <v>396</v>
      </c>
      <c r="O952" s="19">
        <v>0.58</v>
      </c>
      <c r="P952" s="16">
        <v>150</v>
      </c>
      <c r="Q952" s="16">
        <v>220</v>
      </c>
      <c r="R952" s="16">
        <v>8</v>
      </c>
      <c r="S952" s="18" t="s">
        <v>43</v>
      </c>
      <c r="T952" s="18"/>
      <c r="U952" s="17">
        <v>1000</v>
      </c>
      <c r="V952" s="18" t="s">
        <v>77</v>
      </c>
      <c r="W952" s="18" t="s">
        <v>91</v>
      </c>
      <c r="X952" s="16">
        <v>10</v>
      </c>
      <c r="Y952" s="43" t="str">
        <f>HYPERLINK("https://api-enni.alpina.ru/FilePrivilegesApproval/337","https://api-enni.alpina.ru/FilePrivilegesApproval/337")</f>
        <v>https://api-enni.alpina.ru/FilePrivilegesApproval/337</v>
      </c>
      <c r="Z952" s="18"/>
      <c r="AS952" s="1">
        <f>IF($A952&lt;&gt;0,1,0)</f>
        <v>0</v>
      </c>
      <c r="AT952" s="1">
        <f>$A952*$B952</f>
        <v>0</v>
      </c>
      <c r="AU952" s="1">
        <f>$A952*$O952</f>
        <v>0</v>
      </c>
      <c r="AV952" s="1">
        <f>IF($R952=0,0,INT($A952/$R952))</f>
        <v>0</v>
      </c>
      <c r="AW952" s="1">
        <f>$A952-$AV952*$R952</f>
        <v>0</v>
      </c>
    </row>
    <row r="953" ht="24.95" customHeight="1" outlineLevel="3" s="1" customFormat="1">
      <c r="A953" s="15"/>
      <c r="B953" s="16">
        <v>940</v>
      </c>
      <c r="C953" s="17">
        <v>1316</v>
      </c>
      <c r="D953" s="16">
        <v>26575</v>
      </c>
      <c r="E953" s="18"/>
      <c r="F953" s="18" t="s">
        <v>3098</v>
      </c>
      <c r="G953" s="18" t="s">
        <v>3099</v>
      </c>
      <c r="H953" s="18" t="s">
        <v>73</v>
      </c>
      <c r="I953" s="18"/>
      <c r="J953" s="16">
        <v>2025</v>
      </c>
      <c r="K953" s="18" t="s">
        <v>3100</v>
      </c>
      <c r="L953" s="16">
        <v>9785001397922</v>
      </c>
      <c r="M953" s="18" t="s">
        <v>3101</v>
      </c>
      <c r="N953" s="16">
        <v>388</v>
      </c>
      <c r="O953" s="19">
        <v>0.57</v>
      </c>
      <c r="P953" s="16">
        <v>150</v>
      </c>
      <c r="Q953" s="16">
        <v>220</v>
      </c>
      <c r="R953" s="16">
        <v>10</v>
      </c>
      <c r="S953" s="18" t="s">
        <v>43</v>
      </c>
      <c r="T953" s="18"/>
      <c r="U953" s="17">
        <v>1000</v>
      </c>
      <c r="V953" s="18" t="s">
        <v>77</v>
      </c>
      <c r="W953" s="18" t="s">
        <v>91</v>
      </c>
      <c r="X953" s="16">
        <v>10</v>
      </c>
      <c r="Y953" s="43" t="str">
        <f>HYPERLINK("https://api-enni.alpina.ru/FilePrivilegesApproval/353","https://api-enni.alpina.ru/FilePrivilegesApproval/353")</f>
        <v>https://api-enni.alpina.ru/FilePrivilegesApproval/353</v>
      </c>
      <c r="Z953" s="18"/>
      <c r="AS953" s="1">
        <f>IF($A953&lt;&gt;0,1,0)</f>
        <v>0</v>
      </c>
      <c r="AT953" s="1">
        <f>$A953*$B953</f>
        <v>0</v>
      </c>
      <c r="AU953" s="1">
        <f>$A953*$O953</f>
        <v>0</v>
      </c>
      <c r="AV953" s="1">
        <f>IF($R953=0,0,INT($A953/$R953))</f>
        <v>0</v>
      </c>
      <c r="AW953" s="1">
        <f>$A953-$AV953*$R953</f>
        <v>0</v>
      </c>
    </row>
    <row r="954" ht="24.95" customHeight="1" outlineLevel="3" s="1" customFormat="1">
      <c r="A954" s="15"/>
      <c r="B954" s="16">
        <v>900</v>
      </c>
      <c r="C954" s="17">
        <v>1386</v>
      </c>
      <c r="D954" s="16">
        <v>21096</v>
      </c>
      <c r="E954" s="18"/>
      <c r="F954" s="18" t="s">
        <v>3102</v>
      </c>
      <c r="G954" s="18" t="s">
        <v>3103</v>
      </c>
      <c r="H954" s="18" t="s">
        <v>73</v>
      </c>
      <c r="I954" s="18" t="s">
        <v>74</v>
      </c>
      <c r="J954" s="16">
        <v>2026</v>
      </c>
      <c r="K954" s="18" t="s">
        <v>3104</v>
      </c>
      <c r="L954" s="16">
        <v>9785916719949</v>
      </c>
      <c r="M954" s="18" t="s">
        <v>3105</v>
      </c>
      <c r="N954" s="16">
        <v>430</v>
      </c>
      <c r="O954" s="19">
        <v>0.54</v>
      </c>
      <c r="P954" s="16">
        <v>150</v>
      </c>
      <c r="Q954" s="16">
        <v>210</v>
      </c>
      <c r="R954" s="16">
        <v>10</v>
      </c>
      <c r="S954" s="18" t="s">
        <v>43</v>
      </c>
      <c r="T954" s="18"/>
      <c r="U954" s="17">
        <v>3000</v>
      </c>
      <c r="V954" s="18" t="s">
        <v>1667</v>
      </c>
      <c r="W954" s="18" t="s">
        <v>69</v>
      </c>
      <c r="X954" s="16">
        <v>10</v>
      </c>
      <c r="Y954" s="43" t="str">
        <f>HYPERLINK("https://api-enni.alpina.ru/FilePrivilegesApproval/146","https://api-enni.alpina.ru/FilePrivilegesApproval/146")</f>
        <v>https://api-enni.alpina.ru/FilePrivilegesApproval/146</v>
      </c>
      <c r="Z954" s="18"/>
      <c r="AS954" s="1">
        <f>IF($A954&lt;&gt;0,1,0)</f>
        <v>0</v>
      </c>
      <c r="AT954" s="1">
        <f>$A954*$B954</f>
        <v>0</v>
      </c>
      <c r="AU954" s="1">
        <f>$A954*$O954</f>
        <v>0</v>
      </c>
      <c r="AV954" s="1">
        <f>IF($R954=0,0,INT($A954/$R954))</f>
        <v>0</v>
      </c>
      <c r="AW954" s="1">
        <f>$A954-$AV954*$R954</f>
        <v>0</v>
      </c>
    </row>
    <row r="955" ht="24.95" customHeight="1" outlineLevel="3" s="1" customFormat="1">
      <c r="A955" s="15"/>
      <c r="B955" s="16">
        <v>890</v>
      </c>
      <c r="C955" s="17">
        <v>1246</v>
      </c>
      <c r="D955" s="16">
        <v>18021</v>
      </c>
      <c r="E955" s="18"/>
      <c r="F955" s="18" t="s">
        <v>3106</v>
      </c>
      <c r="G955" s="18" t="s">
        <v>3107</v>
      </c>
      <c r="H955" s="18" t="s">
        <v>73</v>
      </c>
      <c r="I955" s="18" t="s">
        <v>74</v>
      </c>
      <c r="J955" s="16">
        <v>2024</v>
      </c>
      <c r="K955" s="18" t="s">
        <v>3108</v>
      </c>
      <c r="L955" s="16">
        <v>9785001393801</v>
      </c>
      <c r="M955" s="18" t="s">
        <v>3109</v>
      </c>
      <c r="N955" s="16">
        <v>404</v>
      </c>
      <c r="O955" s="19">
        <v>0.68</v>
      </c>
      <c r="P955" s="16">
        <v>150</v>
      </c>
      <c r="Q955" s="16">
        <v>220</v>
      </c>
      <c r="R955" s="16">
        <v>8</v>
      </c>
      <c r="S955" s="18" t="s">
        <v>43</v>
      </c>
      <c r="T955" s="18"/>
      <c r="U955" s="17">
        <v>2500</v>
      </c>
      <c r="V955" s="18" t="s">
        <v>77</v>
      </c>
      <c r="W955" s="18" t="s">
        <v>45</v>
      </c>
      <c r="X955" s="16">
        <v>10</v>
      </c>
      <c r="Y955" s="43" t="str">
        <f>HYPERLINK("https://api-enni.alpina.ru/FilePrivilegesApproval/217","https://api-enni.alpina.ru/FilePrivilegesApproval/217")</f>
        <v>https://api-enni.alpina.ru/FilePrivilegesApproval/217</v>
      </c>
      <c r="Z955" s="18"/>
      <c r="AS955" s="1">
        <f>IF($A955&lt;&gt;0,1,0)</f>
        <v>0</v>
      </c>
      <c r="AT955" s="1">
        <f>$A955*$B955</f>
        <v>0</v>
      </c>
      <c r="AU955" s="1">
        <f>$A955*$O955</f>
        <v>0</v>
      </c>
      <c r="AV955" s="1">
        <f>IF($R955=0,0,INT($A955/$R955))</f>
        <v>0</v>
      </c>
      <c r="AW955" s="1">
        <f>$A955-$AV955*$R955</f>
        <v>0</v>
      </c>
    </row>
    <row r="956" ht="24.95" customHeight="1" outlineLevel="3" s="1" customFormat="1">
      <c r="A956" s="15"/>
      <c r="B956" s="16">
        <v>640</v>
      </c>
      <c r="C956" s="16">
        <v>960</v>
      </c>
      <c r="D956" s="16">
        <v>24775</v>
      </c>
      <c r="E956" s="18"/>
      <c r="F956" s="18" t="s">
        <v>3110</v>
      </c>
      <c r="G956" s="18" t="s">
        <v>3111</v>
      </c>
      <c r="H956" s="18" t="s">
        <v>73</v>
      </c>
      <c r="I956" s="18"/>
      <c r="J956" s="16">
        <v>2022</v>
      </c>
      <c r="K956" s="18" t="s">
        <v>3112</v>
      </c>
      <c r="L956" s="16">
        <v>9785001397502</v>
      </c>
      <c r="M956" s="18" t="s">
        <v>3113</v>
      </c>
      <c r="N956" s="16">
        <v>292</v>
      </c>
      <c r="O956" s="19">
        <v>0.45</v>
      </c>
      <c r="P956" s="16">
        <v>146</v>
      </c>
      <c r="Q956" s="16">
        <v>216</v>
      </c>
      <c r="R956" s="16">
        <v>14</v>
      </c>
      <c r="S956" s="18" t="s">
        <v>43</v>
      </c>
      <c r="T956" s="18"/>
      <c r="U956" s="17">
        <v>2000</v>
      </c>
      <c r="V956" s="18" t="s">
        <v>77</v>
      </c>
      <c r="W956" s="18" t="s">
        <v>69</v>
      </c>
      <c r="X956" s="16">
        <v>10</v>
      </c>
      <c r="Y956" s="43" t="str">
        <f>HYPERLINK("https://api-enni.alpina.ru/FilePrivilegesApproval/185","https://api-enni.alpina.ru/FilePrivilegesApproval/185")</f>
        <v>https://api-enni.alpina.ru/FilePrivilegesApproval/185</v>
      </c>
      <c r="Z956" s="18"/>
      <c r="AS956" s="1">
        <f>IF($A956&lt;&gt;0,1,0)</f>
        <v>0</v>
      </c>
      <c r="AT956" s="1">
        <f>$A956*$B956</f>
        <v>0</v>
      </c>
      <c r="AU956" s="1">
        <f>$A956*$O956</f>
        <v>0</v>
      </c>
      <c r="AV956" s="1">
        <f>IF($R956=0,0,INT($A956/$R956))</f>
        <v>0</v>
      </c>
      <c r="AW956" s="1">
        <f>$A956-$AV956*$R956</f>
        <v>0</v>
      </c>
    </row>
    <row r="957" ht="24.95" customHeight="1" outlineLevel="3" s="1" customFormat="1">
      <c r="A957" s="15"/>
      <c r="B957" s="16">
        <v>690</v>
      </c>
      <c r="C957" s="17">
        <v>1035</v>
      </c>
      <c r="D957" s="16">
        <v>20711</v>
      </c>
      <c r="E957" s="18"/>
      <c r="F957" s="18" t="s">
        <v>3114</v>
      </c>
      <c r="G957" s="18" t="s">
        <v>3115</v>
      </c>
      <c r="H957" s="18" t="s">
        <v>86</v>
      </c>
      <c r="I957" s="18" t="s">
        <v>3116</v>
      </c>
      <c r="J957" s="16">
        <v>2022</v>
      </c>
      <c r="K957" s="18" t="s">
        <v>3117</v>
      </c>
      <c r="L957" s="16">
        <v>9785961475166</v>
      </c>
      <c r="M957" s="18" t="s">
        <v>3118</v>
      </c>
      <c r="N957" s="16">
        <v>248</v>
      </c>
      <c r="O957" s="19">
        <v>0.4</v>
      </c>
      <c r="P957" s="16">
        <v>150</v>
      </c>
      <c r="Q957" s="16">
        <v>220</v>
      </c>
      <c r="R957" s="16">
        <v>14</v>
      </c>
      <c r="S957" s="18" t="s">
        <v>43</v>
      </c>
      <c r="T957" s="18"/>
      <c r="U957" s="17">
        <v>1500</v>
      </c>
      <c r="V957" s="18" t="s">
        <v>77</v>
      </c>
      <c r="W957" s="18" t="s">
        <v>91</v>
      </c>
      <c r="X957" s="16">
        <v>10</v>
      </c>
      <c r="Y957" s="43" t="str">
        <f>HYPERLINK("https://api-enni.alpina.ru/FilePrivilegesApproval/140","https://api-enni.alpina.ru/FilePrivilegesApproval/140")</f>
        <v>https://api-enni.alpina.ru/FilePrivilegesApproval/140</v>
      </c>
      <c r="Z957" s="18"/>
      <c r="AS957" s="1">
        <f>IF($A957&lt;&gt;0,1,0)</f>
        <v>0</v>
      </c>
      <c r="AT957" s="1">
        <f>$A957*$B957</f>
        <v>0</v>
      </c>
      <c r="AU957" s="1">
        <f>$A957*$O957</f>
        <v>0</v>
      </c>
      <c r="AV957" s="1">
        <f>IF($R957=0,0,INT($A957/$R957))</f>
        <v>0</v>
      </c>
      <c r="AW957" s="1">
        <f>$A957-$AV957*$R957</f>
        <v>0</v>
      </c>
    </row>
    <row r="958" ht="24.95" customHeight="1" outlineLevel="3" s="1" customFormat="1">
      <c r="A958" s="15"/>
      <c r="B958" s="17">
        <v>1110</v>
      </c>
      <c r="C958" s="17">
        <v>1498</v>
      </c>
      <c r="D958" s="16">
        <v>18844</v>
      </c>
      <c r="E958" s="18"/>
      <c r="F958" s="18" t="s">
        <v>3119</v>
      </c>
      <c r="G958" s="18" t="s">
        <v>3120</v>
      </c>
      <c r="H958" s="18" t="s">
        <v>73</v>
      </c>
      <c r="I958" s="18" t="s">
        <v>74</v>
      </c>
      <c r="J958" s="16">
        <v>2026</v>
      </c>
      <c r="K958" s="18" t="s">
        <v>3121</v>
      </c>
      <c r="L958" s="16">
        <v>9785001398691</v>
      </c>
      <c r="M958" s="18" t="s">
        <v>3122</v>
      </c>
      <c r="N958" s="16">
        <v>600</v>
      </c>
      <c r="O958" s="19">
        <v>0.84</v>
      </c>
      <c r="P958" s="16">
        <v>150</v>
      </c>
      <c r="Q958" s="16">
        <v>220</v>
      </c>
      <c r="R958" s="16">
        <v>6</v>
      </c>
      <c r="S958" s="18" t="s">
        <v>43</v>
      </c>
      <c r="T958" s="18"/>
      <c r="U958" s="17">
        <v>1500</v>
      </c>
      <c r="V958" s="18" t="s">
        <v>77</v>
      </c>
      <c r="W958" s="18" t="s">
        <v>69</v>
      </c>
      <c r="X958" s="16">
        <v>10</v>
      </c>
      <c r="Y958" s="43" t="str">
        <f>HYPERLINK("https://api-enni.alpina.ru/FilePrivilegesApproval/323","https://api-enni.alpina.ru/FilePrivilegesApproval/323")</f>
        <v>https://api-enni.alpina.ru/FilePrivilegesApproval/323</v>
      </c>
      <c r="Z958" s="18" t="s">
        <v>1958</v>
      </c>
      <c r="AS958" s="1">
        <f>IF($A958&lt;&gt;0,1,0)</f>
        <v>0</v>
      </c>
      <c r="AT958" s="1">
        <f>$A958*$B958</f>
        <v>0</v>
      </c>
      <c r="AU958" s="1">
        <f>$A958*$O958</f>
        <v>0</v>
      </c>
      <c r="AV958" s="1">
        <f>IF($R958=0,0,INT($A958/$R958))</f>
        <v>0</v>
      </c>
      <c r="AW958" s="1">
        <f>$A958-$AV958*$R958</f>
        <v>0</v>
      </c>
    </row>
    <row r="959" ht="24.95" customHeight="1" outlineLevel="3" s="1" customFormat="1">
      <c r="A959" s="15"/>
      <c r="B959" s="16">
        <v>990</v>
      </c>
      <c r="C959" s="17">
        <v>1386</v>
      </c>
      <c r="D959" s="16">
        <v>21211</v>
      </c>
      <c r="E959" s="18"/>
      <c r="F959" s="18" t="s">
        <v>3123</v>
      </c>
      <c r="G959" s="18" t="s">
        <v>3124</v>
      </c>
      <c r="H959" s="18" t="s">
        <v>73</v>
      </c>
      <c r="I959" s="18" t="s">
        <v>74</v>
      </c>
      <c r="J959" s="16">
        <v>2023</v>
      </c>
      <c r="K959" s="18" t="s">
        <v>3125</v>
      </c>
      <c r="L959" s="16">
        <v>9785001394365</v>
      </c>
      <c r="M959" s="18" t="s">
        <v>3126</v>
      </c>
      <c r="N959" s="16">
        <v>612</v>
      </c>
      <c r="O959" s="19">
        <v>0.64</v>
      </c>
      <c r="P959" s="16">
        <v>150</v>
      </c>
      <c r="Q959" s="16">
        <v>220</v>
      </c>
      <c r="R959" s="16">
        <v>8</v>
      </c>
      <c r="S959" s="18" t="s">
        <v>43</v>
      </c>
      <c r="T959" s="18"/>
      <c r="U959" s="17">
        <v>2000</v>
      </c>
      <c r="V959" s="18" t="s">
        <v>77</v>
      </c>
      <c r="W959" s="18" t="s">
        <v>91</v>
      </c>
      <c r="X959" s="16">
        <v>10</v>
      </c>
      <c r="Y959" s="43" t="str">
        <f>HYPERLINK("https://api-enni.alpina.ru/FilePrivilegesApproval/294","https://api-enni.alpina.ru/FilePrivilegesApproval/294")</f>
        <v>https://api-enni.alpina.ru/FilePrivilegesApproval/294</v>
      </c>
      <c r="Z959" s="18"/>
      <c r="AS959" s="1">
        <f>IF($A959&lt;&gt;0,1,0)</f>
        <v>0</v>
      </c>
      <c r="AT959" s="1">
        <f>$A959*$B959</f>
        <v>0</v>
      </c>
      <c r="AU959" s="1">
        <f>$A959*$O959</f>
        <v>0</v>
      </c>
      <c r="AV959" s="1">
        <f>IF($R959=0,0,INT($A959/$R959))</f>
        <v>0</v>
      </c>
      <c r="AW959" s="1">
        <f>$A959-$AV959*$R959</f>
        <v>0</v>
      </c>
    </row>
    <row r="960" ht="24.95" customHeight="1" outlineLevel="3" s="1" customFormat="1">
      <c r="A960" s="15"/>
      <c r="B960" s="16">
        <v>790</v>
      </c>
      <c r="C960" s="17">
        <v>1146</v>
      </c>
      <c r="D960" s="16">
        <v>29950</v>
      </c>
      <c r="E960" s="18"/>
      <c r="F960" s="18" t="s">
        <v>3127</v>
      </c>
      <c r="G960" s="18" t="s">
        <v>3128</v>
      </c>
      <c r="H960" s="18" t="s">
        <v>73</v>
      </c>
      <c r="I960" s="18" t="s">
        <v>74</v>
      </c>
      <c r="J960" s="16">
        <v>2025</v>
      </c>
      <c r="K960" s="18" t="s">
        <v>3129</v>
      </c>
      <c r="L960" s="16">
        <v>9785002232123</v>
      </c>
      <c r="M960" s="18" t="s">
        <v>3130</v>
      </c>
      <c r="N960" s="16">
        <v>286</v>
      </c>
      <c r="O960" s="19">
        <v>0.44</v>
      </c>
      <c r="P960" s="16">
        <v>150</v>
      </c>
      <c r="Q960" s="16">
        <v>220</v>
      </c>
      <c r="R960" s="16">
        <v>12</v>
      </c>
      <c r="S960" s="18" t="s">
        <v>43</v>
      </c>
      <c r="T960" s="18"/>
      <c r="U960" s="17">
        <v>3000</v>
      </c>
      <c r="V960" s="18" t="s">
        <v>77</v>
      </c>
      <c r="W960" s="18" t="s">
        <v>69</v>
      </c>
      <c r="X960" s="16">
        <v>10</v>
      </c>
      <c r="Y960" s="43" t="str">
        <f>HYPERLINK("https://api-enni.alpina.ru/FilePrivilegesApproval/888","https://api-enni.alpina.ru/FilePrivilegesApproval/888")</f>
        <v>https://api-enni.alpina.ru/FilePrivilegesApproval/888</v>
      </c>
      <c r="Z960" s="18"/>
      <c r="AS960" s="1">
        <f>IF($A960&lt;&gt;0,1,0)</f>
        <v>0</v>
      </c>
      <c r="AT960" s="1">
        <f>$A960*$B960</f>
        <v>0</v>
      </c>
      <c r="AU960" s="1">
        <f>$A960*$O960</f>
        <v>0</v>
      </c>
      <c r="AV960" s="1">
        <f>IF($R960=0,0,INT($A960/$R960))</f>
        <v>0</v>
      </c>
      <c r="AW960" s="1">
        <f>$A960-$AV960*$R960</f>
        <v>0</v>
      </c>
    </row>
    <row r="961" ht="24.95" customHeight="1" outlineLevel="3" s="1" customFormat="1">
      <c r="A961" s="15"/>
      <c r="B961" s="16">
        <v>720</v>
      </c>
      <c r="C961" s="17">
        <v>1044</v>
      </c>
      <c r="D961" s="16">
        <v>21208</v>
      </c>
      <c r="E961" s="18"/>
      <c r="F961" s="18" t="s">
        <v>3131</v>
      </c>
      <c r="G961" s="18" t="s">
        <v>3132</v>
      </c>
      <c r="H961" s="18" t="s">
        <v>73</v>
      </c>
      <c r="I961" s="18" t="s">
        <v>74</v>
      </c>
      <c r="J961" s="16">
        <v>2023</v>
      </c>
      <c r="K961" s="18" t="s">
        <v>3133</v>
      </c>
      <c r="L961" s="16">
        <v>9785001398677</v>
      </c>
      <c r="M961" s="18" t="s">
        <v>3134</v>
      </c>
      <c r="N961" s="16">
        <v>278</v>
      </c>
      <c r="O961" s="19">
        <v>0.35</v>
      </c>
      <c r="P961" s="16">
        <v>140</v>
      </c>
      <c r="Q961" s="16">
        <v>210</v>
      </c>
      <c r="R961" s="16">
        <v>16</v>
      </c>
      <c r="S961" s="18" t="s">
        <v>43</v>
      </c>
      <c r="T961" s="18"/>
      <c r="U961" s="17">
        <v>3000</v>
      </c>
      <c r="V961" s="18" t="s">
        <v>44</v>
      </c>
      <c r="W961" s="18" t="s">
        <v>91</v>
      </c>
      <c r="X961" s="16">
        <v>10</v>
      </c>
      <c r="Y961" s="43" t="str">
        <f>HYPERLINK("https://api-enni.alpina.ru/FilePrivilegesApproval/241","https://api-enni.alpina.ru/FilePrivilegesApproval/241")</f>
        <v>https://api-enni.alpina.ru/FilePrivilegesApproval/241</v>
      </c>
      <c r="Z961" s="18"/>
      <c r="AS961" s="1">
        <f>IF($A961&lt;&gt;0,1,0)</f>
        <v>0</v>
      </c>
      <c r="AT961" s="1">
        <f>$A961*$B961</f>
        <v>0</v>
      </c>
      <c r="AU961" s="1">
        <f>$A961*$O961</f>
        <v>0</v>
      </c>
      <c r="AV961" s="1">
        <f>IF($R961=0,0,INT($A961/$R961))</f>
        <v>0</v>
      </c>
      <c r="AW961" s="1">
        <f>$A961-$AV961*$R961</f>
        <v>0</v>
      </c>
    </row>
    <row r="962" ht="21.95" customHeight="1" outlineLevel="3" s="1" customFormat="1">
      <c r="A962" s="15"/>
      <c r="B962" s="17">
        <v>1190</v>
      </c>
      <c r="C962" s="17">
        <v>1606</v>
      </c>
      <c r="D962" s="16">
        <v>27833</v>
      </c>
      <c r="E962" s="18"/>
      <c r="F962" s="18" t="s">
        <v>789</v>
      </c>
      <c r="G962" s="18" t="s">
        <v>790</v>
      </c>
      <c r="H962" s="18" t="s">
        <v>73</v>
      </c>
      <c r="I962" s="18"/>
      <c r="J962" s="16">
        <v>2026</v>
      </c>
      <c r="K962" s="18" t="s">
        <v>791</v>
      </c>
      <c r="L962" s="16">
        <v>9785001399605</v>
      </c>
      <c r="M962" s="18" t="s">
        <v>792</v>
      </c>
      <c r="N962" s="16">
        <v>702</v>
      </c>
      <c r="O962" s="19">
        <v>0.8</v>
      </c>
      <c r="P962" s="16">
        <v>140</v>
      </c>
      <c r="Q962" s="16">
        <v>210</v>
      </c>
      <c r="R962" s="16">
        <v>5</v>
      </c>
      <c r="S962" s="18" t="s">
        <v>43</v>
      </c>
      <c r="T962" s="18"/>
      <c r="U962" s="17">
        <v>1000</v>
      </c>
      <c r="V962" s="18" t="s">
        <v>44</v>
      </c>
      <c r="W962" s="18" t="s">
        <v>91</v>
      </c>
      <c r="X962" s="16">
        <v>10</v>
      </c>
      <c r="Y962" s="43" t="str">
        <f>HYPERLINK("","")</f>
      </c>
      <c r="Z962" s="18" t="s">
        <v>246</v>
      </c>
      <c r="AS962" s="1">
        <f>IF($A962&lt;&gt;0,1,0)</f>
        <v>0</v>
      </c>
      <c r="AT962" s="1">
        <f>$A962*$B962</f>
        <v>0</v>
      </c>
      <c r="AU962" s="1">
        <f>$A962*$O962</f>
        <v>0</v>
      </c>
      <c r="AV962" s="1">
        <f>IF($R962=0,0,INT($A962/$R962))</f>
        <v>0</v>
      </c>
      <c r="AW962" s="1">
        <f>$A962-$AV962*$R962</f>
        <v>0</v>
      </c>
    </row>
    <row r="963" ht="24.95" customHeight="1" outlineLevel="3" s="1" customFormat="1">
      <c r="A963" s="15"/>
      <c r="B963" s="16">
        <v>690</v>
      </c>
      <c r="C963" s="17">
        <v>1035</v>
      </c>
      <c r="D963" s="16">
        <v>32180</v>
      </c>
      <c r="E963" s="18"/>
      <c r="F963" s="18" t="s">
        <v>3135</v>
      </c>
      <c r="G963" s="18" t="s">
        <v>3136</v>
      </c>
      <c r="H963" s="18" t="s">
        <v>86</v>
      </c>
      <c r="I963" s="18"/>
      <c r="J963" s="16">
        <v>2026</v>
      </c>
      <c r="K963" s="18" t="s">
        <v>3137</v>
      </c>
      <c r="L963" s="16">
        <v>9785006301603</v>
      </c>
      <c r="M963" s="18" t="s">
        <v>3138</v>
      </c>
      <c r="N963" s="16">
        <v>296</v>
      </c>
      <c r="O963" s="19">
        <v>0.45</v>
      </c>
      <c r="P963" s="16">
        <v>150</v>
      </c>
      <c r="Q963" s="16">
        <v>220</v>
      </c>
      <c r="R963" s="16">
        <v>8</v>
      </c>
      <c r="S963" s="18" t="s">
        <v>43</v>
      </c>
      <c r="T963" s="18"/>
      <c r="U963" s="17">
        <v>2000</v>
      </c>
      <c r="V963" s="18" t="s">
        <v>77</v>
      </c>
      <c r="W963" s="18" t="s">
        <v>91</v>
      </c>
      <c r="X963" s="16">
        <v>10</v>
      </c>
      <c r="Y963" s="43" t="str">
        <f>HYPERLINK("https://api-enni.alpina.ru/FilePrivilegesApproval/1000","https://api-enni.alpina.ru/FilePrivilegesApproval/1000")</f>
        <v>https://api-enni.alpina.ru/FilePrivilegesApproval/1000</v>
      </c>
      <c r="Z963" s="18"/>
      <c r="AS963" s="1">
        <f>IF($A963&lt;&gt;0,1,0)</f>
        <v>0</v>
      </c>
      <c r="AT963" s="1">
        <f>$A963*$B963</f>
        <v>0</v>
      </c>
      <c r="AU963" s="1">
        <f>$A963*$O963</f>
        <v>0</v>
      </c>
      <c r="AV963" s="1">
        <f>IF($R963=0,0,INT($A963/$R963))</f>
        <v>0</v>
      </c>
      <c r="AW963" s="1">
        <f>$A963-$AV963*$R963</f>
        <v>0</v>
      </c>
    </row>
    <row r="964" ht="24.95" customHeight="1" outlineLevel="3" s="1" customFormat="1">
      <c r="A964" s="15"/>
      <c r="B964" s="16">
        <v>840</v>
      </c>
      <c r="C964" s="17">
        <v>1218</v>
      </c>
      <c r="D964" s="16">
        <v>33257</v>
      </c>
      <c r="E964" s="18"/>
      <c r="F964" s="18" t="s">
        <v>3139</v>
      </c>
      <c r="G964" s="18" t="s">
        <v>3140</v>
      </c>
      <c r="H964" s="18" t="s">
        <v>73</v>
      </c>
      <c r="I964" s="18" t="s">
        <v>74</v>
      </c>
      <c r="J964" s="16">
        <v>2026</v>
      </c>
      <c r="K964" s="18" t="s">
        <v>3141</v>
      </c>
      <c r="L964" s="16">
        <v>9785002235513</v>
      </c>
      <c r="M964" s="18" t="s">
        <v>3142</v>
      </c>
      <c r="N964" s="16">
        <v>330</v>
      </c>
      <c r="O964" s="19">
        <v>0.41</v>
      </c>
      <c r="P964" s="16">
        <v>140</v>
      </c>
      <c r="Q964" s="16">
        <v>210</v>
      </c>
      <c r="R964" s="16">
        <v>14</v>
      </c>
      <c r="S964" s="18" t="s">
        <v>43</v>
      </c>
      <c r="T964" s="18"/>
      <c r="U964" s="17">
        <v>2000</v>
      </c>
      <c r="V964" s="18" t="s">
        <v>44</v>
      </c>
      <c r="W964" s="18" t="s">
        <v>69</v>
      </c>
      <c r="X964" s="16">
        <v>10</v>
      </c>
      <c r="Y964" s="43" t="str">
        <f>HYPERLINK("https://api-enni.alpina.ru/FilePrivilegesApproval/1015","https://api-enni.alpina.ru/FilePrivilegesApproval/1015")</f>
        <v>https://api-enni.alpina.ru/FilePrivilegesApproval/1015</v>
      </c>
      <c r="Z964" s="18"/>
      <c r="AS964" s="1">
        <f>IF($A964&lt;&gt;0,1,0)</f>
        <v>0</v>
      </c>
      <c r="AT964" s="1">
        <f>$A964*$B964</f>
        <v>0</v>
      </c>
      <c r="AU964" s="1">
        <f>$A964*$O964</f>
        <v>0</v>
      </c>
      <c r="AV964" s="1">
        <f>IF($R964=0,0,INT($A964/$R964))</f>
        <v>0</v>
      </c>
      <c r="AW964" s="1">
        <f>$A964-$AV964*$R964</f>
        <v>0</v>
      </c>
    </row>
    <row r="965" ht="24.95" customHeight="1" outlineLevel="3" s="1" customFormat="1">
      <c r="A965" s="25"/>
      <c r="B965" s="26">
        <v>990</v>
      </c>
      <c r="C965" s="29">
        <v>1386</v>
      </c>
      <c r="D965" s="26">
        <v>8547</v>
      </c>
      <c r="E965" s="27"/>
      <c r="F965" s="27" t="s">
        <v>3143</v>
      </c>
      <c r="G965" s="27" t="s">
        <v>3144</v>
      </c>
      <c r="H965" s="27" t="s">
        <v>73</v>
      </c>
      <c r="I965" s="27" t="s">
        <v>74</v>
      </c>
      <c r="J965" s="26">
        <v>2025</v>
      </c>
      <c r="K965" s="27" t="s">
        <v>3145</v>
      </c>
      <c r="L965" s="26">
        <v>9785002236657</v>
      </c>
      <c r="M965" s="27" t="s">
        <v>3146</v>
      </c>
      <c r="N965" s="26">
        <v>366</v>
      </c>
      <c r="O965" s="28">
        <v>0.52</v>
      </c>
      <c r="P965" s="26">
        <v>146</v>
      </c>
      <c r="Q965" s="26">
        <v>216</v>
      </c>
      <c r="R965" s="26">
        <v>10</v>
      </c>
      <c r="S965" s="27" t="s">
        <v>43</v>
      </c>
      <c r="T965" s="27"/>
      <c r="U965" s="29">
        <v>1000</v>
      </c>
      <c r="V965" s="27" t="s">
        <v>77</v>
      </c>
      <c r="W965" s="27" t="s">
        <v>69</v>
      </c>
      <c r="X965" s="26">
        <v>10</v>
      </c>
      <c r="Y965" s="45" t="str">
        <f>HYPERLINK("https://api-enni.alpina.ru/FilePrivilegesApproval/5","https://api-enni.alpina.ru/FilePrivilegesApproval/5")</f>
        <v>https://api-enni.alpina.ru/FilePrivilegesApproval/5</v>
      </c>
      <c r="Z965" s="27"/>
      <c r="AS965" s="1">
        <f>IF($A965&lt;&gt;0,1,0)</f>
        <v>0</v>
      </c>
      <c r="AT965" s="1">
        <f>$A965*$B965</f>
        <v>0</v>
      </c>
      <c r="AU965" s="1">
        <f>$A965*$O965</f>
        <v>0</v>
      </c>
      <c r="AV965" s="1">
        <f>IF($R965=0,0,INT($A965/$R965))</f>
        <v>0</v>
      </c>
      <c r="AW965" s="1">
        <f>$A965-$AV965*$R965</f>
        <v>0</v>
      </c>
    </row>
    <row r="966" ht="24.95" customHeight="1" outlineLevel="3" s="1" customFormat="1">
      <c r="A966" s="15"/>
      <c r="B966" s="17">
        <v>1090</v>
      </c>
      <c r="C966" s="17">
        <v>1472</v>
      </c>
      <c r="D966" s="16">
        <v>33120</v>
      </c>
      <c r="E966" s="18"/>
      <c r="F966" s="18" t="s">
        <v>3147</v>
      </c>
      <c r="G966" s="18" t="s">
        <v>3148</v>
      </c>
      <c r="H966" s="18" t="s">
        <v>73</v>
      </c>
      <c r="I966" s="18" t="s">
        <v>74</v>
      </c>
      <c r="J966" s="16">
        <v>2025</v>
      </c>
      <c r="K966" s="18" t="s">
        <v>3149</v>
      </c>
      <c r="L966" s="16">
        <v>9785002235391</v>
      </c>
      <c r="M966" s="18" t="s">
        <v>3150</v>
      </c>
      <c r="N966" s="16">
        <v>352</v>
      </c>
      <c r="O966" s="19">
        <v>0.46</v>
      </c>
      <c r="P966" s="16">
        <v>150</v>
      </c>
      <c r="Q966" s="16">
        <v>220</v>
      </c>
      <c r="R966" s="16">
        <v>14</v>
      </c>
      <c r="S966" s="18" t="s">
        <v>43</v>
      </c>
      <c r="T966" s="18"/>
      <c r="U966" s="17">
        <v>2000</v>
      </c>
      <c r="V966" s="18" t="s">
        <v>77</v>
      </c>
      <c r="W966" s="18" t="s">
        <v>91</v>
      </c>
      <c r="X966" s="16">
        <v>10</v>
      </c>
      <c r="Y966" s="43" t="str">
        <f>HYPERLINK("https://api-enni.alpina.ru/FilePrivilegesApproval/1003","https://api-enni.alpina.ru/FilePrivilegesApproval/1003")</f>
        <v>https://api-enni.alpina.ru/FilePrivilegesApproval/1003</v>
      </c>
      <c r="Z966" s="18"/>
      <c r="AS966" s="1">
        <f>IF($A966&lt;&gt;0,1,0)</f>
        <v>0</v>
      </c>
      <c r="AT966" s="1">
        <f>$A966*$B966</f>
        <v>0</v>
      </c>
      <c r="AU966" s="1">
        <f>$A966*$O966</f>
        <v>0</v>
      </c>
      <c r="AV966" s="1">
        <f>IF($R966=0,0,INT($A966/$R966))</f>
        <v>0</v>
      </c>
      <c r="AW966" s="1">
        <f>$A966-$AV966*$R966</f>
        <v>0</v>
      </c>
    </row>
    <row r="967" ht="24.95" customHeight="1" outlineLevel="3" s="1" customFormat="1">
      <c r="A967" s="15"/>
      <c r="B967" s="16">
        <v>890</v>
      </c>
      <c r="C967" s="17">
        <v>1246</v>
      </c>
      <c r="D967" s="16">
        <v>23838</v>
      </c>
      <c r="E967" s="18"/>
      <c r="F967" s="18" t="s">
        <v>3151</v>
      </c>
      <c r="G967" s="18" t="s">
        <v>3152</v>
      </c>
      <c r="H967" s="18" t="s">
        <v>73</v>
      </c>
      <c r="I967" s="18" t="s">
        <v>74</v>
      </c>
      <c r="J967" s="16">
        <v>2024</v>
      </c>
      <c r="K967" s="18" t="s">
        <v>3153</v>
      </c>
      <c r="L967" s="16">
        <v>9785001399179</v>
      </c>
      <c r="M967" s="18" t="s">
        <v>3154</v>
      </c>
      <c r="N967" s="16">
        <v>422</v>
      </c>
      <c r="O967" s="19">
        <v>0.63</v>
      </c>
      <c r="P967" s="16">
        <v>150</v>
      </c>
      <c r="Q967" s="16">
        <v>220</v>
      </c>
      <c r="R967" s="16">
        <v>10</v>
      </c>
      <c r="S967" s="18" t="s">
        <v>43</v>
      </c>
      <c r="T967" s="18"/>
      <c r="U967" s="17">
        <v>3000</v>
      </c>
      <c r="V967" s="18" t="s">
        <v>77</v>
      </c>
      <c r="W967" s="18" t="s">
        <v>91</v>
      </c>
      <c r="X967" s="16">
        <v>10</v>
      </c>
      <c r="Y967" s="43" t="str">
        <f>HYPERLINK("https://api-enni.alpina.ru/FilePrivilegesApproval/366","https://api-enni.alpina.ru/FilePrivilegesApproval/366")</f>
        <v>https://api-enni.alpina.ru/FilePrivilegesApproval/366</v>
      </c>
      <c r="Z967" s="18"/>
      <c r="AS967" s="1">
        <f>IF($A967&lt;&gt;0,1,0)</f>
        <v>0</v>
      </c>
      <c r="AT967" s="1">
        <f>$A967*$B967</f>
        <v>0</v>
      </c>
      <c r="AU967" s="1">
        <f>$A967*$O967</f>
        <v>0</v>
      </c>
      <c r="AV967" s="1">
        <f>IF($R967=0,0,INT($A967/$R967))</f>
        <v>0</v>
      </c>
      <c r="AW967" s="1">
        <f>$A967-$AV967*$R967</f>
        <v>0</v>
      </c>
    </row>
    <row r="968" ht="24.95" customHeight="1" outlineLevel="3" s="1" customFormat="1">
      <c r="A968" s="15"/>
      <c r="B968" s="16">
        <v>590</v>
      </c>
      <c r="C968" s="16">
        <v>885</v>
      </c>
      <c r="D968" s="16">
        <v>22419</v>
      </c>
      <c r="E968" s="18"/>
      <c r="F968" s="18" t="s">
        <v>3155</v>
      </c>
      <c r="G968" s="18" t="s">
        <v>3156</v>
      </c>
      <c r="H968" s="18" t="s">
        <v>73</v>
      </c>
      <c r="I968" s="18" t="s">
        <v>74</v>
      </c>
      <c r="J968" s="16">
        <v>2023</v>
      </c>
      <c r="K968" s="18" t="s">
        <v>3157</v>
      </c>
      <c r="L968" s="16">
        <v>9785001395874</v>
      </c>
      <c r="M968" s="18" t="s">
        <v>3158</v>
      </c>
      <c r="N968" s="16">
        <v>240</v>
      </c>
      <c r="O968" s="19">
        <v>0.39</v>
      </c>
      <c r="P968" s="16">
        <v>146</v>
      </c>
      <c r="Q968" s="16">
        <v>216</v>
      </c>
      <c r="R968" s="16">
        <v>16</v>
      </c>
      <c r="S968" s="18" t="s">
        <v>43</v>
      </c>
      <c r="T968" s="18"/>
      <c r="U968" s="17">
        <v>2000</v>
      </c>
      <c r="V968" s="18" t="s">
        <v>77</v>
      </c>
      <c r="W968" s="18" t="s">
        <v>69</v>
      </c>
      <c r="X968" s="16">
        <v>10</v>
      </c>
      <c r="Y968" s="43" t="str">
        <f>HYPERLINK("https://api-enni.alpina.ru/FilePrivilegesApproval/174","https://api-enni.alpina.ru/FilePrivilegesApproval/174")</f>
        <v>https://api-enni.alpina.ru/FilePrivilegesApproval/174</v>
      </c>
      <c r="Z968" s="18"/>
      <c r="AS968" s="1">
        <f>IF($A968&lt;&gt;0,1,0)</f>
        <v>0</v>
      </c>
      <c r="AT968" s="1">
        <f>$A968*$B968</f>
        <v>0</v>
      </c>
      <c r="AU968" s="1">
        <f>$A968*$O968</f>
        <v>0</v>
      </c>
      <c r="AV968" s="1">
        <f>IF($R968=0,0,INT($A968/$R968))</f>
        <v>0</v>
      </c>
      <c r="AW968" s="1">
        <f>$A968-$AV968*$R968</f>
        <v>0</v>
      </c>
    </row>
    <row r="969" ht="24.95" customHeight="1" outlineLevel="3" s="1" customFormat="1">
      <c r="A969" s="15"/>
      <c r="B969" s="16">
        <v>820</v>
      </c>
      <c r="C969" s="17">
        <v>1189</v>
      </c>
      <c r="D969" s="16">
        <v>24067</v>
      </c>
      <c r="E969" s="18"/>
      <c r="F969" s="18" t="s">
        <v>3159</v>
      </c>
      <c r="G969" s="18" t="s">
        <v>3160</v>
      </c>
      <c r="H969" s="18" t="s">
        <v>73</v>
      </c>
      <c r="I969" s="18" t="s">
        <v>74</v>
      </c>
      <c r="J969" s="16">
        <v>2026</v>
      </c>
      <c r="K969" s="18" t="s">
        <v>3161</v>
      </c>
      <c r="L969" s="16">
        <v>9785002233908</v>
      </c>
      <c r="M969" s="18" t="s">
        <v>3162</v>
      </c>
      <c r="N969" s="16">
        <v>360</v>
      </c>
      <c r="O969" s="19">
        <v>0.53</v>
      </c>
      <c r="P969" s="16">
        <v>150</v>
      </c>
      <c r="Q969" s="16">
        <v>220</v>
      </c>
      <c r="R969" s="16">
        <v>12</v>
      </c>
      <c r="S969" s="18" t="s">
        <v>43</v>
      </c>
      <c r="T969" s="18"/>
      <c r="U969" s="17">
        <v>1500</v>
      </c>
      <c r="V969" s="18" t="s">
        <v>77</v>
      </c>
      <c r="W969" s="18" t="s">
        <v>69</v>
      </c>
      <c r="X969" s="16">
        <v>10</v>
      </c>
      <c r="Y969" s="43" t="str">
        <f>HYPERLINK("https://api-enni.alpina.ru/FilePrivilegesApproval/1003","https://api-enni.alpina.ru/FilePrivilegesApproval/1003")</f>
        <v>https://api-enni.alpina.ru/FilePrivilegesApproval/1003</v>
      </c>
      <c r="Z969" s="18"/>
      <c r="AS969" s="1">
        <f>IF($A969&lt;&gt;0,1,0)</f>
        <v>0</v>
      </c>
      <c r="AT969" s="1">
        <f>$A969*$B969</f>
        <v>0</v>
      </c>
      <c r="AU969" s="1">
        <f>$A969*$O969</f>
        <v>0</v>
      </c>
      <c r="AV969" s="1">
        <f>IF($R969=0,0,INT($A969/$R969))</f>
        <v>0</v>
      </c>
      <c r="AW969" s="1">
        <f>$A969-$AV969*$R969</f>
        <v>0</v>
      </c>
    </row>
    <row r="970" ht="24.95" customHeight="1" outlineLevel="3" s="1" customFormat="1">
      <c r="A970" s="15"/>
      <c r="B970" s="16">
        <v>890</v>
      </c>
      <c r="C970" s="17">
        <v>1246</v>
      </c>
      <c r="D970" s="16">
        <v>37487</v>
      </c>
      <c r="E970" s="18"/>
      <c r="F970" s="18" t="s">
        <v>3163</v>
      </c>
      <c r="G970" s="18" t="s">
        <v>3164</v>
      </c>
      <c r="H970" s="18" t="s">
        <v>73</v>
      </c>
      <c r="I970" s="18" t="s">
        <v>764</v>
      </c>
      <c r="J970" s="16">
        <v>2025</v>
      </c>
      <c r="K970" s="18" t="s">
        <v>3165</v>
      </c>
      <c r="L970" s="16">
        <v>9785002239924</v>
      </c>
      <c r="M970" s="18" t="s">
        <v>3166</v>
      </c>
      <c r="N970" s="16">
        <v>332</v>
      </c>
      <c r="O970" s="19">
        <v>0.4</v>
      </c>
      <c r="P970" s="16">
        <v>140</v>
      </c>
      <c r="Q970" s="16">
        <v>210</v>
      </c>
      <c r="R970" s="16">
        <v>10</v>
      </c>
      <c r="S970" s="18" t="s">
        <v>43</v>
      </c>
      <c r="T970" s="18" t="s">
        <v>883</v>
      </c>
      <c r="U970" s="17">
        <v>1000</v>
      </c>
      <c r="V970" s="18" t="s">
        <v>44</v>
      </c>
      <c r="W970" s="18" t="s">
        <v>69</v>
      </c>
      <c r="X970" s="16">
        <v>10</v>
      </c>
      <c r="Y970" s="43" t="str">
        <f>HYPERLINK("https://api-enni.alpina.ru/FilePrivilegesApproval/171","https://api-enni.alpina.ru/FilePrivilegesApproval/171")</f>
        <v>https://api-enni.alpina.ru/FilePrivilegesApproval/171</v>
      </c>
      <c r="Z970" s="18" t="s">
        <v>843</v>
      </c>
      <c r="AS970" s="1">
        <f>IF($A970&lt;&gt;0,1,0)</f>
        <v>0</v>
      </c>
      <c r="AT970" s="1">
        <f>$A970*$B970</f>
        <v>0</v>
      </c>
      <c r="AU970" s="1">
        <f>$A970*$O970</f>
        <v>0</v>
      </c>
      <c r="AV970" s="1">
        <f>IF($R970=0,0,INT($A970/$R970))</f>
        <v>0</v>
      </c>
      <c r="AW970" s="1">
        <f>$A970-$AV970*$R970</f>
        <v>0</v>
      </c>
    </row>
    <row r="971" ht="24.95" customHeight="1" outlineLevel="3" s="1" customFormat="1">
      <c r="A971" s="15"/>
      <c r="B971" s="16">
        <v>840</v>
      </c>
      <c r="C971" s="17">
        <v>1218</v>
      </c>
      <c r="D971" s="16">
        <v>29695</v>
      </c>
      <c r="E971" s="18"/>
      <c r="F971" s="18" t="s">
        <v>3167</v>
      </c>
      <c r="G971" s="18" t="s">
        <v>3168</v>
      </c>
      <c r="H971" s="18" t="s">
        <v>73</v>
      </c>
      <c r="I971" s="18" t="s">
        <v>74</v>
      </c>
      <c r="J971" s="16">
        <v>2026</v>
      </c>
      <c r="K971" s="18" t="s">
        <v>3169</v>
      </c>
      <c r="L971" s="16">
        <v>9785002231676</v>
      </c>
      <c r="M971" s="18" t="s">
        <v>3170</v>
      </c>
      <c r="N971" s="16">
        <v>366</v>
      </c>
      <c r="O971" s="19">
        <v>0.54</v>
      </c>
      <c r="P971" s="16">
        <v>150</v>
      </c>
      <c r="Q971" s="16">
        <v>220</v>
      </c>
      <c r="R971" s="16">
        <v>12</v>
      </c>
      <c r="S971" s="18" t="s">
        <v>43</v>
      </c>
      <c r="T971" s="18"/>
      <c r="U971" s="17">
        <v>2000</v>
      </c>
      <c r="V971" s="18" t="s">
        <v>77</v>
      </c>
      <c r="W971" s="18" t="s">
        <v>69</v>
      </c>
      <c r="X971" s="16">
        <v>10</v>
      </c>
      <c r="Y971" s="43" t="str">
        <f>HYPERLINK("https://api-enni.alpina.ru/FilePrivilegesApproval/1058","https://api-enni.alpina.ru/FilePrivilegesApproval/1058")</f>
        <v>https://api-enni.alpina.ru/FilePrivilegesApproval/1058</v>
      </c>
      <c r="Z971" s="18"/>
      <c r="AS971" s="1">
        <f>IF($A971&lt;&gt;0,1,0)</f>
        <v>0</v>
      </c>
      <c r="AT971" s="1">
        <f>$A971*$B971</f>
        <v>0</v>
      </c>
      <c r="AU971" s="1">
        <f>$A971*$O971</f>
        <v>0</v>
      </c>
      <c r="AV971" s="1">
        <f>IF($R971=0,0,INT($A971/$R971))</f>
        <v>0</v>
      </c>
      <c r="AW971" s="1">
        <f>$A971-$AV971*$R971</f>
        <v>0</v>
      </c>
    </row>
    <row r="972" ht="24.95" customHeight="1" outlineLevel="3" s="1" customFormat="1">
      <c r="A972" s="15"/>
      <c r="B972" s="16">
        <v>990</v>
      </c>
      <c r="C972" s="17">
        <v>1386</v>
      </c>
      <c r="D972" s="16">
        <v>30011</v>
      </c>
      <c r="E972" s="18"/>
      <c r="F972" s="18" t="s">
        <v>3171</v>
      </c>
      <c r="G972" s="18" t="s">
        <v>3172</v>
      </c>
      <c r="H972" s="18" t="s">
        <v>73</v>
      </c>
      <c r="I972" s="18" t="s">
        <v>74</v>
      </c>
      <c r="J972" s="16">
        <v>2026</v>
      </c>
      <c r="K972" s="18" t="s">
        <v>3173</v>
      </c>
      <c r="L972" s="16">
        <v>9785002232215</v>
      </c>
      <c r="M972" s="18" t="s">
        <v>3174</v>
      </c>
      <c r="N972" s="16">
        <v>330</v>
      </c>
      <c r="O972" s="19">
        <v>0.5</v>
      </c>
      <c r="P972" s="16">
        <v>150</v>
      </c>
      <c r="Q972" s="16">
        <v>220</v>
      </c>
      <c r="R972" s="16">
        <v>10</v>
      </c>
      <c r="S972" s="18" t="s">
        <v>43</v>
      </c>
      <c r="T972" s="18"/>
      <c r="U972" s="17">
        <v>1000</v>
      </c>
      <c r="V972" s="18" t="s">
        <v>77</v>
      </c>
      <c r="W972" s="18" t="s">
        <v>69</v>
      </c>
      <c r="X972" s="16">
        <v>10</v>
      </c>
      <c r="Y972" s="43" t="str">
        <f>HYPERLINK("https://api-enni.alpina.ru/FilePrivilegesApproval/776","https://api-enni.alpina.ru/FilePrivilegesApproval/776")</f>
        <v>https://api-enni.alpina.ru/FilePrivilegesApproval/776</v>
      </c>
      <c r="Z972" s="18" t="s">
        <v>410</v>
      </c>
      <c r="AS972" s="1">
        <f>IF($A972&lt;&gt;0,1,0)</f>
        <v>0</v>
      </c>
      <c r="AT972" s="1">
        <f>$A972*$B972</f>
        <v>0</v>
      </c>
      <c r="AU972" s="1">
        <f>$A972*$O972</f>
        <v>0</v>
      </c>
      <c r="AV972" s="1">
        <f>IF($R972=0,0,INT($A972/$R972))</f>
        <v>0</v>
      </c>
      <c r="AW972" s="1">
        <f>$A972-$AV972*$R972</f>
        <v>0</v>
      </c>
    </row>
    <row r="973" ht="24.95" customHeight="1" outlineLevel="3" s="1" customFormat="1">
      <c r="A973" s="15"/>
      <c r="B973" s="16">
        <v>590</v>
      </c>
      <c r="C973" s="16">
        <v>885</v>
      </c>
      <c r="D973" s="16">
        <v>27355</v>
      </c>
      <c r="E973" s="18"/>
      <c r="F973" s="18" t="s">
        <v>827</v>
      </c>
      <c r="G973" s="18" t="s">
        <v>828</v>
      </c>
      <c r="H973" s="18" t="s">
        <v>73</v>
      </c>
      <c r="I973" s="18"/>
      <c r="J973" s="16">
        <v>2026</v>
      </c>
      <c r="K973" s="18" t="s">
        <v>829</v>
      </c>
      <c r="L973" s="16">
        <v>9785001399209</v>
      </c>
      <c r="M973" s="18" t="s">
        <v>830</v>
      </c>
      <c r="N973" s="16">
        <v>686</v>
      </c>
      <c r="O973" s="19">
        <v>0.44</v>
      </c>
      <c r="P973" s="16">
        <v>120</v>
      </c>
      <c r="Q973" s="16">
        <v>170</v>
      </c>
      <c r="R973" s="16">
        <v>4</v>
      </c>
      <c r="S973" s="18" t="s">
        <v>190</v>
      </c>
      <c r="T973" s="18" t="s">
        <v>491</v>
      </c>
      <c r="U973" s="17">
        <v>3000</v>
      </c>
      <c r="V973" s="18" t="s">
        <v>44</v>
      </c>
      <c r="W973" s="18" t="s">
        <v>184</v>
      </c>
      <c r="X973" s="16">
        <v>10</v>
      </c>
      <c r="Y973" s="43" t="str">
        <f>HYPERLINK("https://api-enni.alpina.ru/FilePrivilegesApproval/145","https://api-enni.alpina.ru/FilePrivilegesApproval/145")</f>
        <v>https://api-enni.alpina.ru/FilePrivilegesApproval/145</v>
      </c>
      <c r="Z973" s="18"/>
      <c r="AS973" s="1">
        <f>IF($A973&lt;&gt;0,1,0)</f>
        <v>0</v>
      </c>
      <c r="AT973" s="1">
        <f>$A973*$B973</f>
        <v>0</v>
      </c>
      <c r="AU973" s="1">
        <f>$A973*$O973</f>
        <v>0</v>
      </c>
      <c r="AV973" s="1">
        <f>IF($R973=0,0,INT($A973/$R973))</f>
        <v>0</v>
      </c>
      <c r="AW973" s="1">
        <f>$A973-$AV973*$R973</f>
        <v>0</v>
      </c>
    </row>
    <row r="974" ht="24.95" customHeight="1" outlineLevel="3" s="1" customFormat="1">
      <c r="A974" s="15"/>
      <c r="B974" s="17">
        <v>1190</v>
      </c>
      <c r="C974" s="17">
        <v>1606</v>
      </c>
      <c r="D974" s="16">
        <v>5891</v>
      </c>
      <c r="E974" s="18"/>
      <c r="F974" s="18" t="s">
        <v>827</v>
      </c>
      <c r="G974" s="18" t="s">
        <v>3175</v>
      </c>
      <c r="H974" s="18" t="s">
        <v>73</v>
      </c>
      <c r="I974" s="18"/>
      <c r="J974" s="16">
        <v>2026</v>
      </c>
      <c r="K974" s="18" t="s">
        <v>3176</v>
      </c>
      <c r="L974" s="16">
        <v>9785916718218</v>
      </c>
      <c r="M974" s="18" t="s">
        <v>3177</v>
      </c>
      <c r="N974" s="16">
        <v>542</v>
      </c>
      <c r="O974" s="19">
        <v>0.74</v>
      </c>
      <c r="P974" s="16">
        <v>146</v>
      </c>
      <c r="Q974" s="16">
        <v>340</v>
      </c>
      <c r="R974" s="16">
        <v>8</v>
      </c>
      <c r="S974" s="18" t="s">
        <v>43</v>
      </c>
      <c r="T974" s="18"/>
      <c r="U974" s="17">
        <v>2000</v>
      </c>
      <c r="V974" s="18" t="s">
        <v>77</v>
      </c>
      <c r="W974" s="18" t="s">
        <v>184</v>
      </c>
      <c r="X974" s="16">
        <v>10</v>
      </c>
      <c r="Y974" s="43" t="str">
        <f>HYPERLINK("https://api-enni.alpina.ru/FilePrivilegesApproval/145","https://api-enni.alpina.ru/FilePrivilegesApproval/145")</f>
        <v>https://api-enni.alpina.ru/FilePrivilegesApproval/145</v>
      </c>
      <c r="Z974" s="18" t="s">
        <v>545</v>
      </c>
      <c r="AS974" s="1">
        <f>IF($A974&lt;&gt;0,1,0)</f>
        <v>0</v>
      </c>
      <c r="AT974" s="1">
        <f>$A974*$B974</f>
        <v>0</v>
      </c>
      <c r="AU974" s="1">
        <f>$A974*$O974</f>
        <v>0</v>
      </c>
      <c r="AV974" s="1">
        <f>IF($R974=0,0,INT($A974/$R974))</f>
        <v>0</v>
      </c>
      <c r="AW974" s="1">
        <f>$A974-$AV974*$R974</f>
        <v>0</v>
      </c>
    </row>
    <row r="975" ht="24.95" customHeight="1" outlineLevel="3" s="1" customFormat="1">
      <c r="A975" s="15"/>
      <c r="B975" s="16">
        <v>690</v>
      </c>
      <c r="C975" s="17">
        <v>1035</v>
      </c>
      <c r="D975" s="16">
        <v>19419</v>
      </c>
      <c r="E975" s="18"/>
      <c r="F975" s="18" t="s">
        <v>3178</v>
      </c>
      <c r="G975" s="18" t="s">
        <v>3179</v>
      </c>
      <c r="H975" s="18" t="s">
        <v>73</v>
      </c>
      <c r="I975" s="18" t="s">
        <v>74</v>
      </c>
      <c r="J975" s="16">
        <v>2022</v>
      </c>
      <c r="K975" s="18" t="s">
        <v>3180</v>
      </c>
      <c r="L975" s="16">
        <v>9785001396819</v>
      </c>
      <c r="M975" s="18" t="s">
        <v>3181</v>
      </c>
      <c r="N975" s="16">
        <v>294</v>
      </c>
      <c r="O975" s="19">
        <v>0.45</v>
      </c>
      <c r="P975" s="16">
        <v>146</v>
      </c>
      <c r="Q975" s="16">
        <v>216</v>
      </c>
      <c r="R975" s="16">
        <v>14</v>
      </c>
      <c r="S975" s="18" t="s">
        <v>43</v>
      </c>
      <c r="T975" s="18"/>
      <c r="U975" s="17">
        <v>2000</v>
      </c>
      <c r="V975" s="18" t="s">
        <v>77</v>
      </c>
      <c r="W975" s="18" t="s">
        <v>91</v>
      </c>
      <c r="X975" s="16">
        <v>10</v>
      </c>
      <c r="Y975" s="43" t="str">
        <f>HYPERLINK("https://api-enni.alpina.ru/FilePrivilegesApproval/185","https://api-enni.alpina.ru/FilePrivilegesApproval/185")</f>
        <v>https://api-enni.alpina.ru/FilePrivilegesApproval/185</v>
      </c>
      <c r="Z975" s="18"/>
      <c r="AS975" s="1">
        <f>IF($A975&lt;&gt;0,1,0)</f>
        <v>0</v>
      </c>
      <c r="AT975" s="1">
        <f>$A975*$B975</f>
        <v>0</v>
      </c>
      <c r="AU975" s="1">
        <f>$A975*$O975</f>
        <v>0</v>
      </c>
      <c r="AV975" s="1">
        <f>IF($R975=0,0,INT($A975/$R975))</f>
        <v>0</v>
      </c>
      <c r="AW975" s="1">
        <f>$A975-$AV975*$R975</f>
        <v>0</v>
      </c>
    </row>
    <row r="976" ht="24.95" customHeight="1" outlineLevel="3" s="1" customFormat="1">
      <c r="A976" s="15"/>
      <c r="B976" s="16">
        <v>490</v>
      </c>
      <c r="C976" s="16">
        <v>760</v>
      </c>
      <c r="D976" s="16">
        <v>33504</v>
      </c>
      <c r="E976" s="18"/>
      <c r="F976" s="18" t="s">
        <v>3182</v>
      </c>
      <c r="G976" s="18" t="s">
        <v>3183</v>
      </c>
      <c r="H976" s="18" t="s">
        <v>73</v>
      </c>
      <c r="I976" s="18"/>
      <c r="J976" s="16">
        <v>2025</v>
      </c>
      <c r="K976" s="18" t="s">
        <v>3184</v>
      </c>
      <c r="L976" s="16">
        <v>9785002235636</v>
      </c>
      <c r="M976" s="18" t="s">
        <v>3185</v>
      </c>
      <c r="N976" s="16">
        <v>566</v>
      </c>
      <c r="O976" s="19">
        <v>0.44</v>
      </c>
      <c r="P976" s="16">
        <v>120</v>
      </c>
      <c r="Q976" s="16">
        <v>170</v>
      </c>
      <c r="R976" s="16">
        <v>10</v>
      </c>
      <c r="S976" s="18" t="s">
        <v>190</v>
      </c>
      <c r="T976" s="18" t="s">
        <v>491</v>
      </c>
      <c r="U976" s="17">
        <v>2000</v>
      </c>
      <c r="V976" s="18" t="s">
        <v>44</v>
      </c>
      <c r="W976" s="18" t="s">
        <v>91</v>
      </c>
      <c r="X976" s="16">
        <v>10</v>
      </c>
      <c r="Y976" s="43" t="str">
        <f>HYPERLINK("https://api-enni.alpina.ru/FilePrivilegesApproval/146","https://api-enni.alpina.ru/FilePrivilegesApproval/146")</f>
        <v>https://api-enni.alpina.ru/FilePrivilegesApproval/146</v>
      </c>
      <c r="Z976" s="18"/>
      <c r="AS976" s="1">
        <f>IF($A976&lt;&gt;0,1,0)</f>
        <v>0</v>
      </c>
      <c r="AT976" s="1">
        <f>$A976*$B976</f>
        <v>0</v>
      </c>
      <c r="AU976" s="1">
        <f>$A976*$O976</f>
        <v>0</v>
      </c>
      <c r="AV976" s="1">
        <f>IF($R976=0,0,INT($A976/$R976))</f>
        <v>0</v>
      </c>
      <c r="AW976" s="1">
        <f>$A976-$AV976*$R976</f>
        <v>0</v>
      </c>
    </row>
    <row r="977" ht="24.95" customHeight="1" outlineLevel="3" s="1" customFormat="1">
      <c r="A977" s="15"/>
      <c r="B977" s="16">
        <v>740</v>
      </c>
      <c r="C977" s="17">
        <v>1073</v>
      </c>
      <c r="D977" s="16">
        <v>17753</v>
      </c>
      <c r="E977" s="18"/>
      <c r="F977" s="18" t="s">
        <v>3186</v>
      </c>
      <c r="G977" s="18" t="s">
        <v>3187</v>
      </c>
      <c r="H977" s="18" t="s">
        <v>73</v>
      </c>
      <c r="I977" s="18" t="s">
        <v>74</v>
      </c>
      <c r="J977" s="16">
        <v>2021</v>
      </c>
      <c r="K977" s="18" t="s">
        <v>3188</v>
      </c>
      <c r="L977" s="16">
        <v>9785001392446</v>
      </c>
      <c r="M977" s="18" t="s">
        <v>3189</v>
      </c>
      <c r="N977" s="16">
        <v>412</v>
      </c>
      <c r="O977" s="19">
        <v>0.59</v>
      </c>
      <c r="P977" s="16">
        <v>146</v>
      </c>
      <c r="Q977" s="16">
        <v>216</v>
      </c>
      <c r="R977" s="16">
        <v>10</v>
      </c>
      <c r="S977" s="18" t="s">
        <v>43</v>
      </c>
      <c r="T977" s="18"/>
      <c r="U977" s="17">
        <v>4000</v>
      </c>
      <c r="V977" s="18" t="s">
        <v>77</v>
      </c>
      <c r="W977" s="18" t="s">
        <v>91</v>
      </c>
      <c r="X977" s="16">
        <v>10</v>
      </c>
      <c r="Y977" s="43" t="str">
        <f>HYPERLINK("https://api-enni.alpina.ru/FilePrivilegesApproval/148","https://api-enni.alpina.ru/FilePrivilegesApproval/148")</f>
        <v>https://api-enni.alpina.ru/FilePrivilegesApproval/148</v>
      </c>
      <c r="Z977" s="18"/>
      <c r="AS977" s="1">
        <f>IF($A977&lt;&gt;0,1,0)</f>
        <v>0</v>
      </c>
      <c r="AT977" s="1">
        <f>$A977*$B977</f>
        <v>0</v>
      </c>
      <c r="AU977" s="1">
        <f>$A977*$O977</f>
        <v>0</v>
      </c>
      <c r="AV977" s="1">
        <f>IF($R977=0,0,INT($A977/$R977))</f>
        <v>0</v>
      </c>
      <c r="AW977" s="1">
        <f>$A977-$AV977*$R977</f>
        <v>0</v>
      </c>
    </row>
    <row r="978" ht="24.95" customHeight="1" outlineLevel="3" s="1" customFormat="1">
      <c r="A978" s="15"/>
      <c r="B978" s="16">
        <v>990</v>
      </c>
      <c r="C978" s="17">
        <v>1386</v>
      </c>
      <c r="D978" s="16">
        <v>23609</v>
      </c>
      <c r="E978" s="18"/>
      <c r="F978" s="18" t="s">
        <v>3190</v>
      </c>
      <c r="G978" s="18" t="s">
        <v>3191</v>
      </c>
      <c r="H978" s="18" t="s">
        <v>73</v>
      </c>
      <c r="I978" s="18" t="s">
        <v>74</v>
      </c>
      <c r="J978" s="16">
        <v>2024</v>
      </c>
      <c r="K978" s="18" t="s">
        <v>3192</v>
      </c>
      <c r="L978" s="16">
        <v>9785002231171</v>
      </c>
      <c r="M978" s="18" t="s">
        <v>3193</v>
      </c>
      <c r="N978" s="16">
        <v>652</v>
      </c>
      <c r="O978" s="19">
        <v>0.74</v>
      </c>
      <c r="P978" s="16">
        <v>150</v>
      </c>
      <c r="Q978" s="16">
        <v>220</v>
      </c>
      <c r="R978" s="16">
        <v>8</v>
      </c>
      <c r="S978" s="18" t="s">
        <v>43</v>
      </c>
      <c r="T978" s="18"/>
      <c r="U978" s="17">
        <v>3000</v>
      </c>
      <c r="V978" s="18" t="s">
        <v>77</v>
      </c>
      <c r="W978" s="18" t="s">
        <v>91</v>
      </c>
      <c r="X978" s="16">
        <v>10</v>
      </c>
      <c r="Y978" s="43" t="str">
        <f>HYPERLINK("https://api-enni.alpina.ru/FilePrivilegesApproval/317","https://api-enni.alpina.ru/FilePrivilegesApproval/317")</f>
        <v>https://api-enni.alpina.ru/FilePrivilegesApproval/317</v>
      </c>
      <c r="Z978" s="18"/>
      <c r="AS978" s="1">
        <f>IF($A978&lt;&gt;0,1,0)</f>
        <v>0</v>
      </c>
      <c r="AT978" s="1">
        <f>$A978*$B978</f>
        <v>0</v>
      </c>
      <c r="AU978" s="1">
        <f>$A978*$O978</f>
        <v>0</v>
      </c>
      <c r="AV978" s="1">
        <f>IF($R978=0,0,INT($A978/$R978))</f>
        <v>0</v>
      </c>
      <c r="AW978" s="1">
        <f>$A978-$AV978*$R978</f>
        <v>0</v>
      </c>
    </row>
    <row r="979" ht="24.95" customHeight="1" outlineLevel="3" s="1" customFormat="1">
      <c r="A979" s="15"/>
      <c r="B979" s="17">
        <v>1090</v>
      </c>
      <c r="C979" s="17">
        <v>1472</v>
      </c>
      <c r="D979" s="16">
        <v>26592</v>
      </c>
      <c r="E979" s="18"/>
      <c r="F979" s="18" t="s">
        <v>3194</v>
      </c>
      <c r="G979" s="18" t="s">
        <v>3195</v>
      </c>
      <c r="H979" s="18" t="s">
        <v>95</v>
      </c>
      <c r="I979" s="18"/>
      <c r="J979" s="16">
        <v>2023</v>
      </c>
      <c r="K979" s="18" t="s">
        <v>3196</v>
      </c>
      <c r="L979" s="16">
        <v>9785206000931</v>
      </c>
      <c r="M979" s="18" t="s">
        <v>3197</v>
      </c>
      <c r="N979" s="16">
        <v>156</v>
      </c>
      <c r="O979" s="19">
        <v>0.45</v>
      </c>
      <c r="P979" s="16">
        <v>168</v>
      </c>
      <c r="Q979" s="16">
        <v>241</v>
      </c>
      <c r="R979" s="16">
        <v>6</v>
      </c>
      <c r="S979" s="18" t="s">
        <v>123</v>
      </c>
      <c r="T979" s="18"/>
      <c r="U979" s="17">
        <v>1010</v>
      </c>
      <c r="V979" s="18" t="s">
        <v>77</v>
      </c>
      <c r="W979" s="18" t="s">
        <v>91</v>
      </c>
      <c r="X979" s="16">
        <v>10</v>
      </c>
      <c r="Y979" s="43" t="str">
        <f>HYPERLINK("https://api-enni.alpina.ru/FilePrivilegesApproval/168","https://api-enni.alpina.ru/FilePrivilegesApproval/168")</f>
        <v>https://api-enni.alpina.ru/FilePrivilegesApproval/168</v>
      </c>
      <c r="Z979" s="18"/>
      <c r="AS979" s="1">
        <f>IF($A979&lt;&gt;0,1,0)</f>
        <v>0</v>
      </c>
      <c r="AT979" s="1">
        <f>$A979*$B979</f>
        <v>0</v>
      </c>
      <c r="AU979" s="1">
        <f>$A979*$O979</f>
        <v>0</v>
      </c>
      <c r="AV979" s="1">
        <f>IF($R979=0,0,INT($A979/$R979))</f>
        <v>0</v>
      </c>
      <c r="AW979" s="1">
        <f>$A979-$AV979*$R979</f>
        <v>0</v>
      </c>
    </row>
    <row r="980" ht="24.95" customHeight="1" outlineLevel="3" s="1" customFormat="1">
      <c r="A980" s="15"/>
      <c r="B980" s="16">
        <v>790</v>
      </c>
      <c r="C980" s="17">
        <v>1146</v>
      </c>
      <c r="D980" s="16">
        <v>20971</v>
      </c>
      <c r="E980" s="18"/>
      <c r="F980" s="18" t="s">
        <v>3198</v>
      </c>
      <c r="G980" s="18" t="s">
        <v>3199</v>
      </c>
      <c r="H980" s="18" t="s">
        <v>73</v>
      </c>
      <c r="I980" s="18" t="s">
        <v>74</v>
      </c>
      <c r="J980" s="16">
        <v>2023</v>
      </c>
      <c r="K980" s="18" t="s">
        <v>3200</v>
      </c>
      <c r="L980" s="16">
        <v>9785001397908</v>
      </c>
      <c r="M980" s="18" t="s">
        <v>3201</v>
      </c>
      <c r="N980" s="16">
        <v>546</v>
      </c>
      <c r="O980" s="19">
        <v>0.7</v>
      </c>
      <c r="P980" s="16">
        <v>146</v>
      </c>
      <c r="Q980" s="16">
        <v>216</v>
      </c>
      <c r="R980" s="16">
        <v>6</v>
      </c>
      <c r="S980" s="18" t="s">
        <v>43</v>
      </c>
      <c r="T980" s="18"/>
      <c r="U980" s="17">
        <v>3000</v>
      </c>
      <c r="V980" s="18" t="s">
        <v>77</v>
      </c>
      <c r="W980" s="18" t="s">
        <v>69</v>
      </c>
      <c r="X980" s="16">
        <v>10</v>
      </c>
      <c r="Y980" s="43" t="str">
        <f>HYPERLINK("https://api-enni.alpina.ru/FilePrivilegesApproval/197","https://api-enni.alpina.ru/FilePrivilegesApproval/197")</f>
        <v>https://api-enni.alpina.ru/FilePrivilegesApproval/197</v>
      </c>
      <c r="Z980" s="18"/>
      <c r="AS980" s="1">
        <f>IF($A980&lt;&gt;0,1,0)</f>
        <v>0</v>
      </c>
      <c r="AT980" s="1">
        <f>$A980*$B980</f>
        <v>0</v>
      </c>
      <c r="AU980" s="1">
        <f>$A980*$O980</f>
        <v>0</v>
      </c>
      <c r="AV980" s="1">
        <f>IF($R980=0,0,INT($A980/$R980))</f>
        <v>0</v>
      </c>
      <c r="AW980" s="1">
        <f>$A980-$AV980*$R980</f>
        <v>0</v>
      </c>
    </row>
    <row r="981" ht="24.95" customHeight="1" outlineLevel="3" s="1" customFormat="1">
      <c r="A981" s="15"/>
      <c r="B981" s="16">
        <v>420</v>
      </c>
      <c r="C981" s="16">
        <v>651</v>
      </c>
      <c r="D981" s="16">
        <v>29729</v>
      </c>
      <c r="E981" s="18"/>
      <c r="F981" s="18" t="s">
        <v>3202</v>
      </c>
      <c r="G981" s="18" t="s">
        <v>3203</v>
      </c>
      <c r="H981" s="18" t="s">
        <v>73</v>
      </c>
      <c r="I981" s="18"/>
      <c r="J981" s="16">
        <v>2024</v>
      </c>
      <c r="K981" s="18" t="s">
        <v>3204</v>
      </c>
      <c r="L981" s="16">
        <v>9785002231720</v>
      </c>
      <c r="M981" s="18" t="s">
        <v>3205</v>
      </c>
      <c r="N981" s="16">
        <v>400</v>
      </c>
      <c r="O981" s="19">
        <v>0.26</v>
      </c>
      <c r="P981" s="16">
        <v>120</v>
      </c>
      <c r="Q981" s="16">
        <v>170</v>
      </c>
      <c r="R981" s="16">
        <v>12</v>
      </c>
      <c r="S981" s="18" t="s">
        <v>190</v>
      </c>
      <c r="T981" s="18" t="s">
        <v>3206</v>
      </c>
      <c r="U981" s="17">
        <v>4000</v>
      </c>
      <c r="V981" s="18" t="s">
        <v>44</v>
      </c>
      <c r="W981" s="18" t="s">
        <v>69</v>
      </c>
      <c r="X981" s="16">
        <v>10</v>
      </c>
      <c r="Y981" s="43" t="str">
        <f>HYPERLINK("https://api-enni.alpina.ru/FilePrivilegesApproval/217","https://api-enni.alpina.ru/FilePrivilegesApproval/217")</f>
        <v>https://api-enni.alpina.ru/FilePrivilegesApproval/217</v>
      </c>
      <c r="Z981" s="18"/>
      <c r="AS981" s="1">
        <f>IF($A981&lt;&gt;0,1,0)</f>
        <v>0</v>
      </c>
      <c r="AT981" s="1">
        <f>$A981*$B981</f>
        <v>0</v>
      </c>
      <c r="AU981" s="1">
        <f>$A981*$O981</f>
        <v>0</v>
      </c>
      <c r="AV981" s="1">
        <f>IF($R981=0,0,INT($A981/$R981))</f>
        <v>0</v>
      </c>
      <c r="AW981" s="1">
        <f>$A981-$AV981*$R981</f>
        <v>0</v>
      </c>
    </row>
    <row r="982" ht="24.95" customHeight="1" outlineLevel="3" s="1" customFormat="1">
      <c r="A982" s="15"/>
      <c r="B982" s="16">
        <v>890</v>
      </c>
      <c r="C982" s="17">
        <v>1246</v>
      </c>
      <c r="D982" s="16">
        <v>27614</v>
      </c>
      <c r="E982" s="18"/>
      <c r="F982" s="18" t="s">
        <v>3207</v>
      </c>
      <c r="G982" s="18" t="s">
        <v>3208</v>
      </c>
      <c r="H982" s="18" t="s">
        <v>73</v>
      </c>
      <c r="I982" s="18"/>
      <c r="J982" s="16">
        <v>2023</v>
      </c>
      <c r="K982" s="18" t="s">
        <v>3209</v>
      </c>
      <c r="L982" s="16">
        <v>9785001399353</v>
      </c>
      <c r="M982" s="18" t="s">
        <v>3210</v>
      </c>
      <c r="N982" s="16">
        <v>456</v>
      </c>
      <c r="O982" s="19">
        <v>0.63</v>
      </c>
      <c r="P982" s="16">
        <v>150</v>
      </c>
      <c r="Q982" s="16">
        <v>220</v>
      </c>
      <c r="R982" s="16">
        <v>10</v>
      </c>
      <c r="S982" s="18" t="s">
        <v>43</v>
      </c>
      <c r="T982" s="18"/>
      <c r="U982" s="17">
        <v>3000</v>
      </c>
      <c r="V982" s="18" t="s">
        <v>77</v>
      </c>
      <c r="W982" s="18" t="s">
        <v>45</v>
      </c>
      <c r="X982" s="16">
        <v>10</v>
      </c>
      <c r="Y982" s="43" t="str">
        <f>HYPERLINK("https://api-enni.alpina.ru/FilePrivilegesApproval/364","https://api-enni.alpina.ru/FilePrivilegesApproval/364")</f>
        <v>https://api-enni.alpina.ru/FilePrivilegesApproval/364</v>
      </c>
      <c r="Z982" s="18"/>
      <c r="AS982" s="1">
        <f>IF($A982&lt;&gt;0,1,0)</f>
        <v>0</v>
      </c>
      <c r="AT982" s="1">
        <f>$A982*$B982</f>
        <v>0</v>
      </c>
      <c r="AU982" s="1">
        <f>$A982*$O982</f>
        <v>0</v>
      </c>
      <c r="AV982" s="1">
        <f>IF($R982=0,0,INT($A982/$R982))</f>
        <v>0</v>
      </c>
      <c r="AW982" s="1">
        <f>$A982-$AV982*$R982</f>
        <v>0</v>
      </c>
    </row>
    <row r="983" ht="24.95" customHeight="1" outlineLevel="3" s="1" customFormat="1">
      <c r="A983" s="15"/>
      <c r="B983" s="16">
        <v>940</v>
      </c>
      <c r="C983" s="17">
        <v>1316</v>
      </c>
      <c r="D983" s="16">
        <v>24313</v>
      </c>
      <c r="E983" s="18"/>
      <c r="F983" s="18" t="s">
        <v>3211</v>
      </c>
      <c r="G983" s="18" t="s">
        <v>3212</v>
      </c>
      <c r="H983" s="18" t="s">
        <v>73</v>
      </c>
      <c r="I983" s="18" t="s">
        <v>74</v>
      </c>
      <c r="J983" s="16">
        <v>2025</v>
      </c>
      <c r="K983" s="18" t="s">
        <v>3213</v>
      </c>
      <c r="L983" s="16">
        <v>9785001395737</v>
      </c>
      <c r="M983" s="18" t="s">
        <v>3214</v>
      </c>
      <c r="N983" s="16">
        <v>504</v>
      </c>
      <c r="O983" s="19">
        <v>0.7</v>
      </c>
      <c r="P983" s="16">
        <v>150</v>
      </c>
      <c r="Q983" s="16">
        <v>220</v>
      </c>
      <c r="R983" s="16">
        <v>8</v>
      </c>
      <c r="S983" s="18" t="s">
        <v>43</v>
      </c>
      <c r="T983" s="18"/>
      <c r="U983" s="17">
        <v>2000</v>
      </c>
      <c r="V983" s="18" t="s">
        <v>77</v>
      </c>
      <c r="W983" s="18" t="s">
        <v>69</v>
      </c>
      <c r="X983" s="16">
        <v>10</v>
      </c>
      <c r="Y983" s="43" t="str">
        <f>HYPERLINK("https://api-enni.alpina.ru/FilePrivilegesApproval/776","https://api-enni.alpina.ru/FilePrivilegesApproval/776")</f>
        <v>https://api-enni.alpina.ru/FilePrivilegesApproval/776</v>
      </c>
      <c r="Z983" s="18"/>
      <c r="AS983" s="1">
        <f>IF($A983&lt;&gt;0,1,0)</f>
        <v>0</v>
      </c>
      <c r="AT983" s="1">
        <f>$A983*$B983</f>
        <v>0</v>
      </c>
      <c r="AU983" s="1">
        <f>$A983*$O983</f>
        <v>0</v>
      </c>
      <c r="AV983" s="1">
        <f>IF($R983=0,0,INT($A983/$R983))</f>
        <v>0</v>
      </c>
      <c r="AW983" s="1">
        <f>$A983-$AV983*$R983</f>
        <v>0</v>
      </c>
    </row>
    <row r="984" ht="24.95" customHeight="1" outlineLevel="3" s="1" customFormat="1">
      <c r="A984" s="15"/>
      <c r="B984" s="16">
        <v>360</v>
      </c>
      <c r="C984" s="16">
        <v>576</v>
      </c>
      <c r="D984" s="16">
        <v>29896</v>
      </c>
      <c r="E984" s="18"/>
      <c r="F984" s="18" t="s">
        <v>3215</v>
      </c>
      <c r="G984" s="18" t="s">
        <v>3216</v>
      </c>
      <c r="H984" s="18" t="s">
        <v>73</v>
      </c>
      <c r="I984" s="18" t="s">
        <v>74</v>
      </c>
      <c r="J984" s="16">
        <v>2024</v>
      </c>
      <c r="K984" s="18" t="s">
        <v>3217</v>
      </c>
      <c r="L984" s="16">
        <v>9785002232031</v>
      </c>
      <c r="M984" s="18" t="s">
        <v>3218</v>
      </c>
      <c r="N984" s="16">
        <v>320</v>
      </c>
      <c r="O984" s="19">
        <v>0.21</v>
      </c>
      <c r="P984" s="16">
        <v>120</v>
      </c>
      <c r="Q984" s="16">
        <v>170</v>
      </c>
      <c r="R984" s="16">
        <v>16</v>
      </c>
      <c r="S984" s="18" t="s">
        <v>190</v>
      </c>
      <c r="T984" s="18" t="s">
        <v>959</v>
      </c>
      <c r="U984" s="17">
        <v>2000</v>
      </c>
      <c r="V984" s="18" t="s">
        <v>44</v>
      </c>
      <c r="W984" s="18" t="s">
        <v>69</v>
      </c>
      <c r="X984" s="16">
        <v>10</v>
      </c>
      <c r="Y984" s="43" t="str">
        <f>HYPERLINK("https://api-enni.alpina.ru/FilePrivilegesApproval/259","https://api-enni.alpina.ru/FilePrivilegesApproval/259")</f>
        <v>https://api-enni.alpina.ru/FilePrivilegesApproval/259</v>
      </c>
      <c r="Z984" s="18"/>
      <c r="AS984" s="1">
        <f>IF($A984&lt;&gt;0,1,0)</f>
        <v>0</v>
      </c>
      <c r="AT984" s="1">
        <f>$A984*$B984</f>
        <v>0</v>
      </c>
      <c r="AU984" s="1">
        <f>$A984*$O984</f>
        <v>0</v>
      </c>
      <c r="AV984" s="1">
        <f>IF($R984=0,0,INT($A984/$R984))</f>
        <v>0</v>
      </c>
      <c r="AW984" s="1">
        <f>$A984-$AV984*$R984</f>
        <v>0</v>
      </c>
    </row>
    <row r="985" ht="24.95" customHeight="1" outlineLevel="3" s="1" customFormat="1">
      <c r="A985" s="25"/>
      <c r="B985" s="26">
        <v>690</v>
      </c>
      <c r="C985" s="29">
        <v>1035</v>
      </c>
      <c r="D985" s="26">
        <v>17577</v>
      </c>
      <c r="E985" s="27"/>
      <c r="F985" s="27" t="s">
        <v>3219</v>
      </c>
      <c r="G985" s="27" t="s">
        <v>3220</v>
      </c>
      <c r="H985" s="27" t="s">
        <v>73</v>
      </c>
      <c r="I985" s="27" t="s">
        <v>74</v>
      </c>
      <c r="J985" s="26">
        <v>2021</v>
      </c>
      <c r="K985" s="27" t="s">
        <v>3221</v>
      </c>
      <c r="L985" s="26">
        <v>9785001393641</v>
      </c>
      <c r="M985" s="27" t="s">
        <v>3222</v>
      </c>
      <c r="N985" s="26">
        <v>412</v>
      </c>
      <c r="O985" s="28">
        <v>0.52</v>
      </c>
      <c r="P985" s="26">
        <v>146</v>
      </c>
      <c r="Q985" s="26">
        <v>216</v>
      </c>
      <c r="R985" s="26">
        <v>10</v>
      </c>
      <c r="S985" s="27" t="s">
        <v>43</v>
      </c>
      <c r="T985" s="27" t="s">
        <v>2905</v>
      </c>
      <c r="U985" s="29">
        <v>3000</v>
      </c>
      <c r="V985" s="27" t="s">
        <v>77</v>
      </c>
      <c r="W985" s="27" t="s">
        <v>69</v>
      </c>
      <c r="X985" s="26">
        <v>10</v>
      </c>
      <c r="Y985" s="45" t="str">
        <f>HYPERLINK("https://api-enni.alpina.ru/FilePrivilegesApproval/258","https://api-enni.alpina.ru/FilePrivilegesApproval/258")</f>
        <v>https://api-enni.alpina.ru/FilePrivilegesApproval/258</v>
      </c>
      <c r="Z985" s="27"/>
      <c r="AS985" s="1">
        <f>IF($A985&lt;&gt;0,1,0)</f>
        <v>0</v>
      </c>
      <c r="AT985" s="1">
        <f>$A985*$B985</f>
        <v>0</v>
      </c>
      <c r="AU985" s="1">
        <f>$A985*$O985</f>
        <v>0</v>
      </c>
      <c r="AV985" s="1">
        <f>IF($R985=0,0,INT($A985/$R985))</f>
        <v>0</v>
      </c>
      <c r="AW985" s="1">
        <f>$A985-$AV985*$R985</f>
        <v>0</v>
      </c>
    </row>
    <row r="986" ht="24.95" customHeight="1" outlineLevel="3" s="1" customFormat="1">
      <c r="A986" s="15"/>
      <c r="B986" s="16">
        <v>540</v>
      </c>
      <c r="C986" s="16">
        <v>837</v>
      </c>
      <c r="D986" s="16">
        <v>28239</v>
      </c>
      <c r="E986" s="18"/>
      <c r="F986" s="18" t="s">
        <v>3223</v>
      </c>
      <c r="G986" s="18" t="s">
        <v>3224</v>
      </c>
      <c r="H986" s="18" t="s">
        <v>86</v>
      </c>
      <c r="I986" s="18" t="s">
        <v>74</v>
      </c>
      <c r="J986" s="16">
        <v>2025</v>
      </c>
      <c r="K986" s="18" t="s">
        <v>3225</v>
      </c>
      <c r="L986" s="16">
        <v>9785961487541</v>
      </c>
      <c r="M986" s="18" t="s">
        <v>3226</v>
      </c>
      <c r="N986" s="16">
        <v>216</v>
      </c>
      <c r="O986" s="19">
        <v>0.35</v>
      </c>
      <c r="P986" s="16">
        <v>170</v>
      </c>
      <c r="Q986" s="16">
        <v>240</v>
      </c>
      <c r="R986" s="16">
        <v>10</v>
      </c>
      <c r="S986" s="18" t="s">
        <v>123</v>
      </c>
      <c r="T986" s="18"/>
      <c r="U986" s="17">
        <v>1500</v>
      </c>
      <c r="V986" s="18" t="s">
        <v>44</v>
      </c>
      <c r="W986" s="18" t="s">
        <v>45</v>
      </c>
      <c r="X986" s="16">
        <v>10</v>
      </c>
      <c r="Y986" s="43" t="str">
        <f>HYPERLINK("https://api-enni.alpina.ru/FilePrivilegesApproval/292","https://api-enni.alpina.ru/FilePrivilegesApproval/292")</f>
        <v>https://api-enni.alpina.ru/FilePrivilegesApproval/292</v>
      </c>
      <c r="Z986" s="18"/>
      <c r="AS986" s="1">
        <f>IF($A986&lt;&gt;0,1,0)</f>
        <v>0</v>
      </c>
      <c r="AT986" s="1">
        <f>$A986*$B986</f>
        <v>0</v>
      </c>
      <c r="AU986" s="1">
        <f>$A986*$O986</f>
        <v>0</v>
      </c>
      <c r="AV986" s="1">
        <f>IF($R986=0,0,INT($A986/$R986))</f>
        <v>0</v>
      </c>
      <c r="AW986" s="1">
        <f>$A986-$AV986*$R986</f>
        <v>0</v>
      </c>
    </row>
    <row r="987" ht="24.95" customHeight="1" outlineLevel="3" s="1" customFormat="1">
      <c r="A987" s="25"/>
      <c r="B987" s="26">
        <v>810</v>
      </c>
      <c r="C987" s="29">
        <v>1174</v>
      </c>
      <c r="D987" s="26">
        <v>24234</v>
      </c>
      <c r="E987" s="27"/>
      <c r="F987" s="27" t="s">
        <v>879</v>
      </c>
      <c r="G987" s="27" t="s">
        <v>880</v>
      </c>
      <c r="H987" s="27" t="s">
        <v>73</v>
      </c>
      <c r="I987" s="27" t="s">
        <v>74</v>
      </c>
      <c r="J987" s="26">
        <v>2026</v>
      </c>
      <c r="K987" s="27" t="s">
        <v>881</v>
      </c>
      <c r="L987" s="26">
        <v>9785001398660</v>
      </c>
      <c r="M987" s="27" t="s">
        <v>882</v>
      </c>
      <c r="N987" s="26">
        <v>384</v>
      </c>
      <c r="O987" s="28">
        <v>0.46</v>
      </c>
      <c r="P987" s="26">
        <v>140</v>
      </c>
      <c r="Q987" s="26">
        <v>210</v>
      </c>
      <c r="R987" s="26">
        <v>10</v>
      </c>
      <c r="S987" s="27" t="s">
        <v>43</v>
      </c>
      <c r="T987" s="27" t="s">
        <v>883</v>
      </c>
      <c r="U987" s="29">
        <v>1000</v>
      </c>
      <c r="V987" s="27" t="s">
        <v>44</v>
      </c>
      <c r="W987" s="27" t="s">
        <v>69</v>
      </c>
      <c r="X987" s="26">
        <v>10</v>
      </c>
      <c r="Y987" s="45" t="str">
        <f>HYPERLINK("https://api-enni.alpina.ru/FilePrivilegesApproval/317","https://api-enni.alpina.ru/FilePrivilegesApproval/317")</f>
        <v>https://api-enni.alpina.ru/FilePrivilegesApproval/317</v>
      </c>
      <c r="Z987" s="27"/>
      <c r="AS987" s="1">
        <f>IF($A987&lt;&gt;0,1,0)</f>
        <v>0</v>
      </c>
      <c r="AT987" s="1">
        <f>$A987*$B987</f>
        <v>0</v>
      </c>
      <c r="AU987" s="1">
        <f>$A987*$O987</f>
        <v>0</v>
      </c>
      <c r="AV987" s="1">
        <f>IF($R987=0,0,INT($A987/$R987))</f>
        <v>0</v>
      </c>
      <c r="AW987" s="1">
        <f>$A987-$AV987*$R987</f>
        <v>0</v>
      </c>
    </row>
    <row r="988" ht="24.95" customHeight="1" outlineLevel="3" s="1" customFormat="1">
      <c r="A988" s="15"/>
      <c r="B988" s="17">
        <v>1100</v>
      </c>
      <c r="C988" s="17">
        <v>1485</v>
      </c>
      <c r="D988" s="16">
        <v>8187</v>
      </c>
      <c r="E988" s="18"/>
      <c r="F988" s="18" t="s">
        <v>3036</v>
      </c>
      <c r="G988" s="18" t="s">
        <v>3227</v>
      </c>
      <c r="H988" s="18" t="s">
        <v>73</v>
      </c>
      <c r="I988" s="18"/>
      <c r="J988" s="16">
        <v>2026</v>
      </c>
      <c r="K988" s="18" t="s">
        <v>3228</v>
      </c>
      <c r="L988" s="16">
        <v>9785916719024</v>
      </c>
      <c r="M988" s="18" t="s">
        <v>3229</v>
      </c>
      <c r="N988" s="16">
        <v>514</v>
      </c>
      <c r="O988" s="19">
        <v>0.72</v>
      </c>
      <c r="P988" s="16">
        <v>150</v>
      </c>
      <c r="Q988" s="16">
        <v>220</v>
      </c>
      <c r="R988" s="16">
        <v>10</v>
      </c>
      <c r="S988" s="18" t="s">
        <v>43</v>
      </c>
      <c r="T988" s="18"/>
      <c r="U988" s="17">
        <v>1000</v>
      </c>
      <c r="V988" s="18" t="s">
        <v>77</v>
      </c>
      <c r="W988" s="18" t="s">
        <v>91</v>
      </c>
      <c r="X988" s="16">
        <v>10</v>
      </c>
      <c r="Y988" s="43" t="str">
        <f>HYPERLINK("https://api-enni.alpina.ru/FilePrivilegesApproval/5","https://api-enni.alpina.ru/FilePrivilegesApproval/5")</f>
        <v>https://api-enni.alpina.ru/FilePrivilegesApproval/5</v>
      </c>
      <c r="Z988" s="18" t="s">
        <v>3230</v>
      </c>
      <c r="AS988" s="1">
        <f>IF($A988&lt;&gt;0,1,0)</f>
        <v>0</v>
      </c>
      <c r="AT988" s="1">
        <f>$A988*$B988</f>
        <v>0</v>
      </c>
      <c r="AU988" s="1">
        <f>$A988*$O988</f>
        <v>0</v>
      </c>
      <c r="AV988" s="1">
        <f>IF($R988=0,0,INT($A988/$R988))</f>
        <v>0</v>
      </c>
      <c r="AW988" s="1">
        <f>$A988-$AV988*$R988</f>
        <v>0</v>
      </c>
    </row>
    <row r="989" ht="24.95" customHeight="1" outlineLevel="3" s="1" customFormat="1">
      <c r="A989" s="15"/>
      <c r="B989" s="16">
        <v>840</v>
      </c>
      <c r="C989" s="17">
        <v>1218</v>
      </c>
      <c r="D989" s="16">
        <v>18182</v>
      </c>
      <c r="E989" s="18"/>
      <c r="F989" s="18" t="s">
        <v>888</v>
      </c>
      <c r="G989" s="18" t="s">
        <v>889</v>
      </c>
      <c r="H989" s="18" t="s">
        <v>73</v>
      </c>
      <c r="I989" s="18"/>
      <c r="J989" s="16">
        <v>2026</v>
      </c>
      <c r="K989" s="18" t="s">
        <v>890</v>
      </c>
      <c r="L989" s="16">
        <v>9785001393023</v>
      </c>
      <c r="M989" s="18" t="s">
        <v>891</v>
      </c>
      <c r="N989" s="16">
        <v>576</v>
      </c>
      <c r="O989" s="19">
        <v>0.7</v>
      </c>
      <c r="P989" s="16">
        <v>148</v>
      </c>
      <c r="Q989" s="16">
        <v>217</v>
      </c>
      <c r="R989" s="16">
        <v>6</v>
      </c>
      <c r="S989" s="18" t="s">
        <v>43</v>
      </c>
      <c r="T989" s="18"/>
      <c r="U989" s="17">
        <v>1000</v>
      </c>
      <c r="V989" s="18" t="s">
        <v>77</v>
      </c>
      <c r="W989" s="18" t="s">
        <v>69</v>
      </c>
      <c r="X989" s="16">
        <v>10</v>
      </c>
      <c r="Y989" s="43" t="str">
        <f>HYPERLINK("https://api-enni.alpina.ru/FilePrivilegesApproval/253","https://api-enni.alpina.ru/FilePrivilegesApproval/253")</f>
        <v>https://api-enni.alpina.ru/FilePrivilegesApproval/253</v>
      </c>
      <c r="Z989" s="18" t="s">
        <v>144</v>
      </c>
      <c r="AS989" s="1">
        <f>IF($A989&lt;&gt;0,1,0)</f>
        <v>0</v>
      </c>
      <c r="AT989" s="1">
        <f>$A989*$B989</f>
        <v>0</v>
      </c>
      <c r="AU989" s="1">
        <f>$A989*$O989</f>
        <v>0</v>
      </c>
      <c r="AV989" s="1">
        <f>IF($R989=0,0,INT($A989/$R989))</f>
        <v>0</v>
      </c>
      <c r="AW989" s="1">
        <f>$A989-$AV989*$R989</f>
        <v>0</v>
      </c>
    </row>
    <row r="990" ht="24.95" customHeight="1" outlineLevel="3" s="1" customFormat="1">
      <c r="A990" s="15"/>
      <c r="B990" s="16">
        <v>990</v>
      </c>
      <c r="C990" s="17">
        <v>1386</v>
      </c>
      <c r="D990" s="16">
        <v>25035</v>
      </c>
      <c r="E990" s="18"/>
      <c r="F990" s="18" t="s">
        <v>3231</v>
      </c>
      <c r="G990" s="18" t="s">
        <v>3232</v>
      </c>
      <c r="H990" s="18" t="s">
        <v>73</v>
      </c>
      <c r="I990" s="18" t="s">
        <v>74</v>
      </c>
      <c r="J990" s="16">
        <v>2023</v>
      </c>
      <c r="K990" s="18" t="s">
        <v>3233</v>
      </c>
      <c r="L990" s="16">
        <v>9785001396390</v>
      </c>
      <c r="M990" s="18" t="s">
        <v>3234</v>
      </c>
      <c r="N990" s="16">
        <v>622</v>
      </c>
      <c r="O990" s="19">
        <v>0.64</v>
      </c>
      <c r="P990" s="16">
        <v>150</v>
      </c>
      <c r="Q990" s="16">
        <v>220</v>
      </c>
      <c r="R990" s="16">
        <v>8</v>
      </c>
      <c r="S990" s="18" t="s">
        <v>43</v>
      </c>
      <c r="T990" s="18"/>
      <c r="U990" s="17">
        <v>2000</v>
      </c>
      <c r="V990" s="18" t="s">
        <v>77</v>
      </c>
      <c r="W990" s="18" t="s">
        <v>91</v>
      </c>
      <c r="X990" s="16">
        <v>10</v>
      </c>
      <c r="Y990" s="43" t="str">
        <f>HYPERLINK("https://api-enni.alpina.ru/FilePrivilegesApproval/171","https://api-enni.alpina.ru/FilePrivilegesApproval/171")</f>
        <v>https://api-enni.alpina.ru/FilePrivilegesApproval/171</v>
      </c>
      <c r="Z990" s="18"/>
      <c r="AS990" s="1">
        <f>IF($A990&lt;&gt;0,1,0)</f>
        <v>0</v>
      </c>
      <c r="AT990" s="1">
        <f>$A990*$B990</f>
        <v>0</v>
      </c>
      <c r="AU990" s="1">
        <f>$A990*$O990</f>
        <v>0</v>
      </c>
      <c r="AV990" s="1">
        <f>IF($R990=0,0,INT($A990/$R990))</f>
        <v>0</v>
      </c>
      <c r="AW990" s="1">
        <f>$A990-$AV990*$R990</f>
        <v>0</v>
      </c>
    </row>
    <row r="991" ht="24.95" customHeight="1" outlineLevel="3" s="1" customFormat="1">
      <c r="A991" s="15"/>
      <c r="B991" s="16">
        <v>990</v>
      </c>
      <c r="C991" s="17">
        <v>1386</v>
      </c>
      <c r="D991" s="16">
        <v>24050</v>
      </c>
      <c r="E991" s="18"/>
      <c r="F991" s="18" t="s">
        <v>3235</v>
      </c>
      <c r="G991" s="18" t="s">
        <v>3236</v>
      </c>
      <c r="H991" s="18" t="s">
        <v>73</v>
      </c>
      <c r="I991" s="18" t="s">
        <v>74</v>
      </c>
      <c r="J991" s="16">
        <v>2024</v>
      </c>
      <c r="K991" s="18" t="s">
        <v>3237</v>
      </c>
      <c r="L991" s="16">
        <v>9785002231881</v>
      </c>
      <c r="M991" s="18" t="s">
        <v>3238</v>
      </c>
      <c r="N991" s="16">
        <v>400</v>
      </c>
      <c r="O991" s="19">
        <v>0.59</v>
      </c>
      <c r="P991" s="16">
        <v>150</v>
      </c>
      <c r="Q991" s="16">
        <v>220</v>
      </c>
      <c r="R991" s="16">
        <v>10</v>
      </c>
      <c r="S991" s="18" t="s">
        <v>43</v>
      </c>
      <c r="T991" s="18"/>
      <c r="U991" s="17">
        <v>3000</v>
      </c>
      <c r="V991" s="18" t="s">
        <v>77</v>
      </c>
      <c r="W991" s="18" t="s">
        <v>45</v>
      </c>
      <c r="X991" s="16">
        <v>10</v>
      </c>
      <c r="Y991" s="43" t="str">
        <f>HYPERLINK("https://api-enni.alpina.ru/FilePrivilegesApproval/419","https://api-enni.alpina.ru/FilePrivilegesApproval/419")</f>
        <v>https://api-enni.alpina.ru/FilePrivilegesApproval/419</v>
      </c>
      <c r="Z991" s="18"/>
      <c r="AS991" s="1">
        <f>IF($A991&lt;&gt;0,1,0)</f>
        <v>0</v>
      </c>
      <c r="AT991" s="1">
        <f>$A991*$B991</f>
        <v>0</v>
      </c>
      <c r="AU991" s="1">
        <f>$A991*$O991</f>
        <v>0</v>
      </c>
      <c r="AV991" s="1">
        <f>IF($R991=0,0,INT($A991/$R991))</f>
        <v>0</v>
      </c>
      <c r="AW991" s="1">
        <f>$A991-$AV991*$R991</f>
        <v>0</v>
      </c>
    </row>
    <row r="992" ht="24.95" customHeight="1" outlineLevel="3" s="1" customFormat="1">
      <c r="A992" s="15"/>
      <c r="B992" s="16">
        <v>390</v>
      </c>
      <c r="C992" s="16">
        <v>624</v>
      </c>
      <c r="D992" s="16">
        <v>30704</v>
      </c>
      <c r="E992" s="18"/>
      <c r="F992" s="18" t="s">
        <v>3239</v>
      </c>
      <c r="G992" s="18" t="s">
        <v>3240</v>
      </c>
      <c r="H992" s="18" t="s">
        <v>73</v>
      </c>
      <c r="I992" s="18" t="s">
        <v>74</v>
      </c>
      <c r="J992" s="16">
        <v>2024</v>
      </c>
      <c r="K992" s="18" t="s">
        <v>3241</v>
      </c>
      <c r="L992" s="16">
        <v>9785002232765</v>
      </c>
      <c r="M992" s="18" t="s">
        <v>3242</v>
      </c>
      <c r="N992" s="16">
        <v>376</v>
      </c>
      <c r="O992" s="19">
        <v>0.25</v>
      </c>
      <c r="P992" s="16">
        <v>120</v>
      </c>
      <c r="Q992" s="16">
        <v>170</v>
      </c>
      <c r="R992" s="16">
        <v>16</v>
      </c>
      <c r="S992" s="18" t="s">
        <v>190</v>
      </c>
      <c r="T992" s="18" t="s">
        <v>491</v>
      </c>
      <c r="U992" s="17">
        <v>2000</v>
      </c>
      <c r="V992" s="18" t="s">
        <v>44</v>
      </c>
      <c r="W992" s="18" t="s">
        <v>91</v>
      </c>
      <c r="X992" s="16">
        <v>10</v>
      </c>
      <c r="Y992" s="43" t="str">
        <f>HYPERLINK("https://api-enni.alpina.ru/FilePrivilegesApproval/126","https://api-enni.alpina.ru/FilePrivilegesApproval/126")</f>
        <v>https://api-enni.alpina.ru/FilePrivilegesApproval/126</v>
      </c>
      <c r="Z992" s="18"/>
      <c r="AS992" s="1">
        <f>IF($A992&lt;&gt;0,1,0)</f>
        <v>0</v>
      </c>
      <c r="AT992" s="1">
        <f>$A992*$B992</f>
        <v>0</v>
      </c>
      <c r="AU992" s="1">
        <f>$A992*$O992</f>
        <v>0</v>
      </c>
      <c r="AV992" s="1">
        <f>IF($R992=0,0,INT($A992/$R992))</f>
        <v>0</v>
      </c>
      <c r="AW992" s="1">
        <f>$A992-$AV992*$R992</f>
        <v>0</v>
      </c>
    </row>
    <row r="993" ht="24.95" customHeight="1" outlineLevel="3" s="1" customFormat="1">
      <c r="A993" s="15"/>
      <c r="B993" s="16">
        <v>940</v>
      </c>
      <c r="C993" s="17">
        <v>1316</v>
      </c>
      <c r="D993" s="16">
        <v>31313</v>
      </c>
      <c r="E993" s="18"/>
      <c r="F993" s="18" t="s">
        <v>3243</v>
      </c>
      <c r="G993" s="18" t="s">
        <v>3244</v>
      </c>
      <c r="H993" s="18" t="s">
        <v>73</v>
      </c>
      <c r="I993" s="18" t="s">
        <v>40</v>
      </c>
      <c r="J993" s="16">
        <v>2026</v>
      </c>
      <c r="K993" s="18" t="s">
        <v>3245</v>
      </c>
      <c r="L993" s="16">
        <v>9785002233700</v>
      </c>
      <c r="M993" s="18" t="s">
        <v>3246</v>
      </c>
      <c r="N993" s="16">
        <v>410</v>
      </c>
      <c r="O993" s="19">
        <v>0.39</v>
      </c>
      <c r="P993" s="16">
        <v>140</v>
      </c>
      <c r="Q993" s="16">
        <v>210</v>
      </c>
      <c r="R993" s="16">
        <v>8</v>
      </c>
      <c r="S993" s="18" t="s">
        <v>43</v>
      </c>
      <c r="T993" s="18"/>
      <c r="U993" s="17">
        <v>2000</v>
      </c>
      <c r="V993" s="18" t="s">
        <v>44</v>
      </c>
      <c r="W993" s="18" t="s">
        <v>69</v>
      </c>
      <c r="X993" s="16">
        <v>10</v>
      </c>
      <c r="Y993" s="43" t="str">
        <f>HYPERLINK("https://api-enni.alpina.ru/FilePrivilegesApproval/904","https://api-enni.alpina.ru/FilePrivilegesApproval/904")</f>
        <v>https://api-enni.alpina.ru/FilePrivilegesApproval/904</v>
      </c>
      <c r="Z993" s="18"/>
      <c r="AS993" s="1">
        <f>IF($A993&lt;&gt;0,1,0)</f>
        <v>0</v>
      </c>
      <c r="AT993" s="1">
        <f>$A993*$B993</f>
        <v>0</v>
      </c>
      <c r="AU993" s="1">
        <f>$A993*$O993</f>
        <v>0</v>
      </c>
      <c r="AV993" s="1">
        <f>IF($R993=0,0,INT($A993/$R993))</f>
        <v>0</v>
      </c>
      <c r="AW993" s="1">
        <f>$A993-$AV993*$R993</f>
        <v>0</v>
      </c>
    </row>
    <row r="994" ht="24.95" customHeight="1" outlineLevel="3" s="1" customFormat="1">
      <c r="A994" s="15"/>
      <c r="B994" s="17">
        <v>1190</v>
      </c>
      <c r="C994" s="17">
        <v>1606</v>
      </c>
      <c r="D994" s="16">
        <v>17536</v>
      </c>
      <c r="E994" s="18"/>
      <c r="F994" s="18" t="s">
        <v>945</v>
      </c>
      <c r="G994" s="18" t="s">
        <v>946</v>
      </c>
      <c r="H994" s="18" t="s">
        <v>73</v>
      </c>
      <c r="I994" s="18"/>
      <c r="J994" s="16">
        <v>2026</v>
      </c>
      <c r="K994" s="18" t="s">
        <v>947</v>
      </c>
      <c r="L994" s="16">
        <v>9785001393016</v>
      </c>
      <c r="M994" s="18" t="s">
        <v>948</v>
      </c>
      <c r="N994" s="16">
        <v>542</v>
      </c>
      <c r="O994" s="19">
        <v>0.74</v>
      </c>
      <c r="P994" s="16">
        <v>150</v>
      </c>
      <c r="Q994" s="16">
        <v>220</v>
      </c>
      <c r="R994" s="16">
        <v>8</v>
      </c>
      <c r="S994" s="18" t="s">
        <v>43</v>
      </c>
      <c r="T994" s="18" t="s">
        <v>949</v>
      </c>
      <c r="U994" s="17">
        <v>5000</v>
      </c>
      <c r="V994" s="18" t="s">
        <v>77</v>
      </c>
      <c r="W994" s="18" t="s">
        <v>69</v>
      </c>
      <c r="X994" s="16">
        <v>10</v>
      </c>
      <c r="Y994" s="43" t="str">
        <f>HYPERLINK("https://api-enni.alpina.ru/FilePrivilegesApproval/131","https://api-enni.alpina.ru/FilePrivilegesApproval/131")</f>
        <v>https://api-enni.alpina.ru/FilePrivilegesApproval/131</v>
      </c>
      <c r="Z994" s="18" t="s">
        <v>950</v>
      </c>
      <c r="AS994" s="1">
        <f>IF($A994&lt;&gt;0,1,0)</f>
        <v>0</v>
      </c>
      <c r="AT994" s="1">
        <f>$A994*$B994</f>
        <v>0</v>
      </c>
      <c r="AU994" s="1">
        <f>$A994*$O994</f>
        <v>0</v>
      </c>
      <c r="AV994" s="1">
        <f>IF($R994=0,0,INT($A994/$R994))</f>
        <v>0</v>
      </c>
      <c r="AW994" s="1">
        <f>$A994-$AV994*$R994</f>
        <v>0</v>
      </c>
    </row>
    <row r="995" ht="24.95" customHeight="1" outlineLevel="3" s="1" customFormat="1">
      <c r="A995" s="15"/>
      <c r="B995" s="16">
        <v>890</v>
      </c>
      <c r="C995" s="17">
        <v>1246</v>
      </c>
      <c r="D995" s="16">
        <v>37477</v>
      </c>
      <c r="E995" s="18"/>
      <c r="F995" s="18" t="s">
        <v>945</v>
      </c>
      <c r="G995" s="18" t="s">
        <v>3247</v>
      </c>
      <c r="H995" s="18" t="s">
        <v>73</v>
      </c>
      <c r="I995" s="18"/>
      <c r="J995" s="16">
        <v>2026</v>
      </c>
      <c r="K995" s="18" t="s">
        <v>3248</v>
      </c>
      <c r="L995" s="16">
        <v>9785002239801</v>
      </c>
      <c r="M995" s="18" t="s">
        <v>3249</v>
      </c>
      <c r="N995" s="16">
        <v>542</v>
      </c>
      <c r="O995" s="19">
        <v>0.65</v>
      </c>
      <c r="P995" s="16">
        <v>140</v>
      </c>
      <c r="Q995" s="16">
        <v>210</v>
      </c>
      <c r="R995" s="16">
        <v>8</v>
      </c>
      <c r="S995" s="18" t="s">
        <v>43</v>
      </c>
      <c r="T995" s="18" t="s">
        <v>949</v>
      </c>
      <c r="U995" s="17">
        <v>5000</v>
      </c>
      <c r="V995" s="18" t="s">
        <v>44</v>
      </c>
      <c r="W995" s="18" t="s">
        <v>69</v>
      </c>
      <c r="X995" s="16">
        <v>10</v>
      </c>
      <c r="Y995" s="43" t="str">
        <f>HYPERLINK("https://api-enni.alpina.ru/FilePrivilegesApproval/131","https://api-enni.alpina.ru/FilePrivilegesApproval/131")</f>
        <v>https://api-enni.alpina.ru/FilePrivilegesApproval/131</v>
      </c>
      <c r="Z995" s="18" t="s">
        <v>144</v>
      </c>
      <c r="AS995" s="1">
        <f>IF($A995&lt;&gt;0,1,0)</f>
        <v>0</v>
      </c>
      <c r="AT995" s="1">
        <f>$A995*$B995</f>
        <v>0</v>
      </c>
      <c r="AU995" s="1">
        <f>$A995*$O995</f>
        <v>0</v>
      </c>
      <c r="AV995" s="1">
        <f>IF($R995=0,0,INT($A995/$R995))</f>
        <v>0</v>
      </c>
      <c r="AW995" s="1">
        <f>$A995-$AV995*$R995</f>
        <v>0</v>
      </c>
    </row>
    <row r="996" ht="24.95" customHeight="1" outlineLevel="3" s="1" customFormat="1">
      <c r="A996" s="15"/>
      <c r="B996" s="16">
        <v>790</v>
      </c>
      <c r="C996" s="17">
        <v>1146</v>
      </c>
      <c r="D996" s="16">
        <v>34628</v>
      </c>
      <c r="E996" s="18"/>
      <c r="F996" s="18" t="s">
        <v>3250</v>
      </c>
      <c r="G996" s="18" t="s">
        <v>3251</v>
      </c>
      <c r="H996" s="18" t="s">
        <v>73</v>
      </c>
      <c r="I996" s="18"/>
      <c r="J996" s="16">
        <v>2026</v>
      </c>
      <c r="K996" s="18" t="s">
        <v>3252</v>
      </c>
      <c r="L996" s="16">
        <v>9785002236831</v>
      </c>
      <c r="M996" s="18" t="s">
        <v>3253</v>
      </c>
      <c r="N996" s="16">
        <v>287</v>
      </c>
      <c r="O996" s="19">
        <v>0.44</v>
      </c>
      <c r="P996" s="16">
        <v>150</v>
      </c>
      <c r="Q996" s="16">
        <v>220</v>
      </c>
      <c r="R996" s="16">
        <v>14</v>
      </c>
      <c r="S996" s="18" t="s">
        <v>43</v>
      </c>
      <c r="T996" s="18"/>
      <c r="U996" s="17">
        <v>4000</v>
      </c>
      <c r="V996" s="18" t="s">
        <v>77</v>
      </c>
      <c r="W996" s="18" t="s">
        <v>69</v>
      </c>
      <c r="X996" s="16">
        <v>10</v>
      </c>
      <c r="Y996" s="43" t="str">
        <f>HYPERLINK("https://api-enni.alpina.ru/FilePrivilegesApproval/1107","https://api-enni.alpina.ru/FilePrivilegesApproval/1107")</f>
        <v>https://api-enni.alpina.ru/FilePrivilegesApproval/1107</v>
      </c>
      <c r="Z996" s="18" t="s">
        <v>777</v>
      </c>
      <c r="AS996" s="1">
        <f>IF($A996&lt;&gt;0,1,0)</f>
        <v>0</v>
      </c>
      <c r="AT996" s="1">
        <f>$A996*$B996</f>
        <v>0</v>
      </c>
      <c r="AU996" s="1">
        <f>$A996*$O996</f>
        <v>0</v>
      </c>
      <c r="AV996" s="1">
        <f>IF($R996=0,0,INT($A996/$R996))</f>
        <v>0</v>
      </c>
      <c r="AW996" s="1">
        <f>$A996-$AV996*$R996</f>
        <v>0</v>
      </c>
    </row>
    <row r="997" ht="24.95" customHeight="1" outlineLevel="3" s="1" customFormat="1">
      <c r="A997" s="15"/>
      <c r="B997" s="17">
        <v>1190</v>
      </c>
      <c r="C997" s="17">
        <v>1607</v>
      </c>
      <c r="D997" s="16">
        <v>6370</v>
      </c>
      <c r="E997" s="18"/>
      <c r="F997" s="18" t="s">
        <v>2860</v>
      </c>
      <c r="G997" s="18" t="s">
        <v>3254</v>
      </c>
      <c r="H997" s="18" t="s">
        <v>73</v>
      </c>
      <c r="I997" s="18" t="s">
        <v>74</v>
      </c>
      <c r="J997" s="16">
        <v>2022</v>
      </c>
      <c r="K997" s="18" t="s">
        <v>3255</v>
      </c>
      <c r="L997" s="16">
        <v>9785001394419</v>
      </c>
      <c r="M997" s="18" t="s">
        <v>3256</v>
      </c>
      <c r="N997" s="16">
        <v>608</v>
      </c>
      <c r="O997" s="19">
        <v>1</v>
      </c>
      <c r="P997" s="16">
        <v>170</v>
      </c>
      <c r="Q997" s="16">
        <v>240</v>
      </c>
      <c r="R997" s="16">
        <v>3</v>
      </c>
      <c r="S997" s="18" t="s">
        <v>123</v>
      </c>
      <c r="T997" s="18"/>
      <c r="U997" s="17">
        <v>3885</v>
      </c>
      <c r="V997" s="18" t="s">
        <v>77</v>
      </c>
      <c r="W997" s="18" t="s">
        <v>69</v>
      </c>
      <c r="X997" s="16">
        <v>10</v>
      </c>
      <c r="Y997" s="43" t="str">
        <f>HYPERLINK("https://api-enni.alpina.ru/FilePrivilegesApproval/127","https://api-enni.alpina.ru/FilePrivilegesApproval/127")</f>
        <v>https://api-enni.alpina.ru/FilePrivilegesApproval/127</v>
      </c>
      <c r="Z997" s="18"/>
      <c r="AS997" s="1">
        <f>IF($A997&lt;&gt;0,1,0)</f>
        <v>0</v>
      </c>
      <c r="AT997" s="1">
        <f>$A997*$B997</f>
        <v>0</v>
      </c>
      <c r="AU997" s="1">
        <f>$A997*$O997</f>
        <v>0</v>
      </c>
      <c r="AV997" s="1">
        <f>IF($R997=0,0,INT($A997/$R997))</f>
        <v>0</v>
      </c>
      <c r="AW997" s="1">
        <f>$A997-$AV997*$R997</f>
        <v>0</v>
      </c>
    </row>
    <row r="998" ht="24.95" customHeight="1" outlineLevel="3" s="1" customFormat="1">
      <c r="A998" s="15"/>
      <c r="B998" s="16">
        <v>790</v>
      </c>
      <c r="C998" s="17">
        <v>1146</v>
      </c>
      <c r="D998" s="16">
        <v>28272</v>
      </c>
      <c r="E998" s="18"/>
      <c r="F998" s="18" t="s">
        <v>3257</v>
      </c>
      <c r="G998" s="18" t="s">
        <v>3258</v>
      </c>
      <c r="H998" s="18" t="s">
        <v>73</v>
      </c>
      <c r="I998" s="18" t="s">
        <v>74</v>
      </c>
      <c r="J998" s="16">
        <v>2025</v>
      </c>
      <c r="K998" s="18" t="s">
        <v>3259</v>
      </c>
      <c r="L998" s="16">
        <v>9785916714326</v>
      </c>
      <c r="M998" s="18" t="s">
        <v>3260</v>
      </c>
      <c r="N998" s="16">
        <v>344</v>
      </c>
      <c r="O998" s="19">
        <v>0.42</v>
      </c>
      <c r="P998" s="16">
        <v>140</v>
      </c>
      <c r="Q998" s="16">
        <v>210</v>
      </c>
      <c r="R998" s="16">
        <v>12</v>
      </c>
      <c r="S998" s="18" t="s">
        <v>43</v>
      </c>
      <c r="T998" s="18"/>
      <c r="U998" s="17">
        <v>2000</v>
      </c>
      <c r="V998" s="18" t="s">
        <v>44</v>
      </c>
      <c r="W998" s="18" t="s">
        <v>69</v>
      </c>
      <c r="X998" s="16">
        <v>10</v>
      </c>
      <c r="Y998" s="43" t="str">
        <f>HYPERLINK("https://api-enni.alpina.ru/FilePrivilegesApproval/730","https://api-enni.alpina.ru/FilePrivilegesApproval/730")</f>
        <v>https://api-enni.alpina.ru/FilePrivilegesApproval/730</v>
      </c>
      <c r="Z998" s="18"/>
      <c r="AS998" s="1">
        <f>IF($A998&lt;&gt;0,1,0)</f>
        <v>0</v>
      </c>
      <c r="AT998" s="1">
        <f>$A998*$B998</f>
        <v>0</v>
      </c>
      <c r="AU998" s="1">
        <f>$A998*$O998</f>
        <v>0</v>
      </c>
      <c r="AV998" s="1">
        <f>IF($R998=0,0,INT($A998/$R998))</f>
        <v>0</v>
      </c>
      <c r="AW998" s="1">
        <f>$A998-$AV998*$R998</f>
        <v>0</v>
      </c>
    </row>
    <row r="999" ht="24.95" customHeight="1" outlineLevel="3" s="1" customFormat="1">
      <c r="A999" s="15"/>
      <c r="B999" s="17">
        <v>1190</v>
      </c>
      <c r="C999" s="17">
        <v>1607</v>
      </c>
      <c r="D999" s="16">
        <v>18119</v>
      </c>
      <c r="E999" s="18"/>
      <c r="F999" s="18" t="s">
        <v>2990</v>
      </c>
      <c r="G999" s="18" t="s">
        <v>3261</v>
      </c>
      <c r="H999" s="18" t="s">
        <v>73</v>
      </c>
      <c r="I999" s="18" t="s">
        <v>74</v>
      </c>
      <c r="J999" s="16">
        <v>2025</v>
      </c>
      <c r="K999" s="18" t="s">
        <v>3262</v>
      </c>
      <c r="L999" s="16">
        <v>9785001397847</v>
      </c>
      <c r="M999" s="18" t="s">
        <v>3263</v>
      </c>
      <c r="N999" s="16">
        <v>552</v>
      </c>
      <c r="O999" s="19">
        <v>0.75</v>
      </c>
      <c r="P999" s="16">
        <v>150</v>
      </c>
      <c r="Q999" s="16">
        <v>220</v>
      </c>
      <c r="R999" s="16">
        <v>8</v>
      </c>
      <c r="S999" s="18" t="s">
        <v>43</v>
      </c>
      <c r="T999" s="18"/>
      <c r="U999" s="17">
        <v>2000</v>
      </c>
      <c r="V999" s="18" t="s">
        <v>77</v>
      </c>
      <c r="W999" s="18" t="s">
        <v>91</v>
      </c>
      <c r="X999" s="16">
        <v>10</v>
      </c>
      <c r="Y999" s="43" t="str">
        <f>HYPERLINK("https://api-enni.alpina.ru/FilePrivilegesApproval/806","https://api-enni.alpina.ru/FilePrivilegesApproval/806")</f>
        <v>https://api-enni.alpina.ru/FilePrivilegesApproval/806</v>
      </c>
      <c r="Z999" s="18"/>
      <c r="AS999" s="1">
        <f>IF($A999&lt;&gt;0,1,0)</f>
        <v>0</v>
      </c>
      <c r="AT999" s="1">
        <f>$A999*$B999</f>
        <v>0</v>
      </c>
      <c r="AU999" s="1">
        <f>$A999*$O999</f>
        <v>0</v>
      </c>
      <c r="AV999" s="1">
        <f>IF($R999=0,0,INT($A999/$R999))</f>
        <v>0</v>
      </c>
      <c r="AW999" s="1">
        <f>$A999-$AV999*$R999</f>
        <v>0</v>
      </c>
    </row>
    <row r="1000" ht="24.95" customHeight="1" outlineLevel="3" s="1" customFormat="1">
      <c r="A1000" s="15"/>
      <c r="B1000" s="16">
        <v>790</v>
      </c>
      <c r="C1000" s="17">
        <v>1146</v>
      </c>
      <c r="D1000" s="16">
        <v>7332</v>
      </c>
      <c r="E1000" s="18"/>
      <c r="F1000" s="18" t="s">
        <v>3264</v>
      </c>
      <c r="G1000" s="18" t="s">
        <v>3265</v>
      </c>
      <c r="H1000" s="18" t="s">
        <v>73</v>
      </c>
      <c r="I1000" s="18" t="s">
        <v>74</v>
      </c>
      <c r="J1000" s="16">
        <v>2026</v>
      </c>
      <c r="K1000" s="18" t="s">
        <v>3266</v>
      </c>
      <c r="L1000" s="16">
        <v>9785916719444</v>
      </c>
      <c r="M1000" s="18" t="s">
        <v>3267</v>
      </c>
      <c r="N1000" s="16">
        <v>486</v>
      </c>
      <c r="O1000" s="19">
        <v>0.61</v>
      </c>
      <c r="P1000" s="16">
        <v>141</v>
      </c>
      <c r="Q1000" s="16">
        <v>210</v>
      </c>
      <c r="R1000" s="16">
        <v>10</v>
      </c>
      <c r="S1000" s="18" t="s">
        <v>43</v>
      </c>
      <c r="T1000" s="18" t="s">
        <v>883</v>
      </c>
      <c r="U1000" s="17">
        <v>1500</v>
      </c>
      <c r="V1000" s="18" t="s">
        <v>44</v>
      </c>
      <c r="W1000" s="18" t="s">
        <v>91</v>
      </c>
      <c r="X1000" s="16">
        <v>10</v>
      </c>
      <c r="Y1000" s="43" t="str">
        <f>HYPERLINK("https://api-enni.alpina.ru/FilePrivilegesApproval/5","https://api-enni.alpina.ru/FilePrivilegesApproval/5")</f>
        <v>https://api-enni.alpina.ru/FilePrivilegesApproval/5</v>
      </c>
      <c r="Z1000" s="18"/>
      <c r="AS1000" s="1">
        <f>IF($A1000&lt;&gt;0,1,0)</f>
        <v>0</v>
      </c>
      <c r="AT1000" s="1">
        <f>$A1000*$B1000</f>
        <v>0</v>
      </c>
      <c r="AU1000" s="1">
        <f>$A1000*$O1000</f>
        <v>0</v>
      </c>
      <c r="AV1000" s="1">
        <f>IF($R1000=0,0,INT($A1000/$R1000))</f>
        <v>0</v>
      </c>
      <c r="AW1000" s="1">
        <f>$A1000-$AV1000*$R1000</f>
        <v>0</v>
      </c>
    </row>
    <row r="1001" ht="24.95" customHeight="1" outlineLevel="3" s="1" customFormat="1">
      <c r="A1001" s="15"/>
      <c r="B1001" s="16">
        <v>390</v>
      </c>
      <c r="C1001" s="16">
        <v>624</v>
      </c>
      <c r="D1001" s="16">
        <v>30462</v>
      </c>
      <c r="E1001" s="18"/>
      <c r="F1001" s="18" t="s">
        <v>3268</v>
      </c>
      <c r="G1001" s="18" t="s">
        <v>3269</v>
      </c>
      <c r="H1001" s="18" t="s">
        <v>73</v>
      </c>
      <c r="I1001" s="18" t="s">
        <v>764</v>
      </c>
      <c r="J1001" s="16">
        <v>2024</v>
      </c>
      <c r="K1001" s="18" t="s">
        <v>3270</v>
      </c>
      <c r="L1001" s="16">
        <v>9785002232581</v>
      </c>
      <c r="M1001" s="18" t="s">
        <v>3271</v>
      </c>
      <c r="N1001" s="16">
        <v>320</v>
      </c>
      <c r="O1001" s="19">
        <v>0.21</v>
      </c>
      <c r="P1001" s="16">
        <v>120</v>
      </c>
      <c r="Q1001" s="16">
        <v>170</v>
      </c>
      <c r="R1001" s="16">
        <v>16</v>
      </c>
      <c r="S1001" s="18" t="s">
        <v>190</v>
      </c>
      <c r="T1001" s="18" t="s">
        <v>491</v>
      </c>
      <c r="U1001" s="17">
        <v>2000</v>
      </c>
      <c r="V1001" s="18" t="s">
        <v>44</v>
      </c>
      <c r="W1001" s="18" t="s">
        <v>91</v>
      </c>
      <c r="X1001" s="16">
        <v>10</v>
      </c>
      <c r="Y1001" s="43" t="str">
        <f>HYPERLINK("https://api-enni.alpina.ru/FilePrivilegesApproval/259","https://api-enni.alpina.ru/FilePrivilegesApproval/259")</f>
        <v>https://api-enni.alpina.ru/FilePrivilegesApproval/259</v>
      </c>
      <c r="Z1001" s="18"/>
      <c r="AS1001" s="1">
        <f>IF($A1001&lt;&gt;0,1,0)</f>
        <v>0</v>
      </c>
      <c r="AT1001" s="1">
        <f>$A1001*$B1001</f>
        <v>0</v>
      </c>
      <c r="AU1001" s="1">
        <f>$A1001*$O1001</f>
        <v>0</v>
      </c>
      <c r="AV1001" s="1">
        <f>IF($R1001=0,0,INT($A1001/$R1001))</f>
        <v>0</v>
      </c>
      <c r="AW1001" s="1">
        <f>$A1001-$AV1001*$R1001</f>
        <v>0</v>
      </c>
    </row>
    <row r="1002" ht="24.95" customHeight="1" outlineLevel="3" s="1" customFormat="1">
      <c r="A1002" s="25"/>
      <c r="B1002" s="26">
        <v>630</v>
      </c>
      <c r="C1002" s="26">
        <v>945</v>
      </c>
      <c r="D1002" s="26">
        <v>18460</v>
      </c>
      <c r="E1002" s="27"/>
      <c r="F1002" s="27" t="s">
        <v>3272</v>
      </c>
      <c r="G1002" s="27" t="s">
        <v>3273</v>
      </c>
      <c r="H1002" s="27" t="s">
        <v>73</v>
      </c>
      <c r="I1002" s="27" t="s">
        <v>74</v>
      </c>
      <c r="J1002" s="26">
        <v>2023</v>
      </c>
      <c r="K1002" s="27" t="s">
        <v>3274</v>
      </c>
      <c r="L1002" s="26">
        <v>9785001397939</v>
      </c>
      <c r="M1002" s="27" t="s">
        <v>3275</v>
      </c>
      <c r="N1002" s="26">
        <v>308</v>
      </c>
      <c r="O1002" s="28">
        <v>0.41</v>
      </c>
      <c r="P1002" s="26">
        <v>141</v>
      </c>
      <c r="Q1002" s="26">
        <v>210</v>
      </c>
      <c r="R1002" s="26">
        <v>14</v>
      </c>
      <c r="S1002" s="27" t="s">
        <v>43</v>
      </c>
      <c r="T1002" s="27" t="s">
        <v>883</v>
      </c>
      <c r="U1002" s="29">
        <v>2000</v>
      </c>
      <c r="V1002" s="27" t="s">
        <v>44</v>
      </c>
      <c r="W1002" s="27" t="s">
        <v>91</v>
      </c>
      <c r="X1002" s="26">
        <v>10</v>
      </c>
      <c r="Y1002" s="45" t="str">
        <f>HYPERLINK("https://api-enni.alpina.ru/FilePrivilegesApproval/173","https://api-enni.alpina.ru/FilePrivilegesApproval/173")</f>
        <v>https://api-enni.alpina.ru/FilePrivilegesApproval/173</v>
      </c>
      <c r="Z1002" s="27"/>
      <c r="AS1002" s="1">
        <f>IF($A1002&lt;&gt;0,1,0)</f>
        <v>0</v>
      </c>
      <c r="AT1002" s="1">
        <f>$A1002*$B1002</f>
        <v>0</v>
      </c>
      <c r="AU1002" s="1">
        <f>$A1002*$O1002</f>
        <v>0</v>
      </c>
      <c r="AV1002" s="1">
        <f>IF($R1002=0,0,INT($A1002/$R1002))</f>
        <v>0</v>
      </c>
      <c r="AW1002" s="1">
        <f>$A1002-$AV1002*$R1002</f>
        <v>0</v>
      </c>
    </row>
    <row r="1003" ht="11.1" customHeight="1" outlineLevel="2">
      <c r="A1003" s="41" t="s">
        <v>3276</v>
      </c>
      <c r="B1003" s="41"/>
      <c r="C1003" s="41"/>
      <c r="D1003" s="41"/>
      <c r="E1003" s="41"/>
      <c r="F1003" s="41"/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24"/>
    </row>
    <row r="1004" ht="24.95" customHeight="1" outlineLevel="3" s="1" customFormat="1">
      <c r="A1004" s="15"/>
      <c r="B1004" s="16">
        <v>890</v>
      </c>
      <c r="C1004" s="17">
        <v>1246</v>
      </c>
      <c r="D1004" s="16">
        <v>21107</v>
      </c>
      <c r="E1004" s="18"/>
      <c r="F1004" s="18" t="s">
        <v>3277</v>
      </c>
      <c r="G1004" s="18" t="s">
        <v>3278</v>
      </c>
      <c r="H1004" s="18" t="s">
        <v>86</v>
      </c>
      <c r="I1004" s="18" t="s">
        <v>74</v>
      </c>
      <c r="J1004" s="16">
        <v>2026</v>
      </c>
      <c r="K1004" s="18" t="s">
        <v>3279</v>
      </c>
      <c r="L1004" s="16">
        <v>9785961475173</v>
      </c>
      <c r="M1004" s="18" t="s">
        <v>3280</v>
      </c>
      <c r="N1004" s="16">
        <v>392</v>
      </c>
      <c r="O1004" s="19">
        <v>0.6</v>
      </c>
      <c r="P1004" s="16">
        <v>150</v>
      </c>
      <c r="Q1004" s="16">
        <v>220</v>
      </c>
      <c r="R1004" s="16">
        <v>10</v>
      </c>
      <c r="S1004" s="18" t="s">
        <v>43</v>
      </c>
      <c r="T1004" s="18"/>
      <c r="U1004" s="17">
        <v>1000</v>
      </c>
      <c r="V1004" s="18" t="s">
        <v>77</v>
      </c>
      <c r="W1004" s="18" t="s">
        <v>184</v>
      </c>
      <c r="X1004" s="16">
        <v>10</v>
      </c>
      <c r="Y1004" s="43" t="str">
        <f>HYPERLINK("https://api-enni.alpina.ru/FilePrivilegesApproval/122","https://api-enni.alpina.ru/FilePrivilegesApproval/122")</f>
        <v>https://api-enni.alpina.ru/FilePrivilegesApproval/122</v>
      </c>
      <c r="Z1004" s="18"/>
      <c r="AS1004" s="1">
        <f>IF($A1004&lt;&gt;0,1,0)</f>
        <v>0</v>
      </c>
      <c r="AT1004" s="1">
        <f>$A1004*$B1004</f>
        <v>0</v>
      </c>
      <c r="AU1004" s="1">
        <f>$A1004*$O1004</f>
        <v>0</v>
      </c>
      <c r="AV1004" s="1">
        <f>IF($R1004=0,0,INT($A1004/$R1004))</f>
        <v>0</v>
      </c>
      <c r="AW1004" s="1">
        <f>$A1004-$AV1004*$R1004</f>
        <v>0</v>
      </c>
    </row>
    <row r="1005" ht="24.95" customHeight="1" outlineLevel="3" s="1" customFormat="1">
      <c r="A1005" s="25"/>
      <c r="B1005" s="26">
        <v>790</v>
      </c>
      <c r="C1005" s="29">
        <v>1146</v>
      </c>
      <c r="D1005" s="26">
        <v>11764</v>
      </c>
      <c r="E1005" s="27"/>
      <c r="F1005" s="27" t="s">
        <v>3281</v>
      </c>
      <c r="G1005" s="27" t="s">
        <v>3282</v>
      </c>
      <c r="H1005" s="27" t="s">
        <v>86</v>
      </c>
      <c r="I1005" s="27"/>
      <c r="J1005" s="26">
        <v>2019</v>
      </c>
      <c r="K1005" s="27" t="s">
        <v>3283</v>
      </c>
      <c r="L1005" s="26">
        <v>9785961423822</v>
      </c>
      <c r="M1005" s="27" t="s">
        <v>3284</v>
      </c>
      <c r="N1005" s="26">
        <v>259</v>
      </c>
      <c r="O1005" s="28">
        <v>0.42</v>
      </c>
      <c r="P1005" s="26">
        <v>146</v>
      </c>
      <c r="Q1005" s="26">
        <v>216</v>
      </c>
      <c r="R1005" s="26">
        <v>14</v>
      </c>
      <c r="S1005" s="27" t="s">
        <v>43</v>
      </c>
      <c r="T1005" s="27"/>
      <c r="U1005" s="29">
        <v>3000</v>
      </c>
      <c r="V1005" s="27" t="s">
        <v>77</v>
      </c>
      <c r="W1005" s="27" t="s">
        <v>184</v>
      </c>
      <c r="X1005" s="26">
        <v>10</v>
      </c>
      <c r="Y1005" s="45" t="str">
        <f>HYPERLINK("https://api-enni.alpina.ru/FilePrivilegesApproval/239","https://api-enni.alpina.ru/FilePrivilegesApproval/239")</f>
        <v>https://api-enni.alpina.ru/FilePrivilegesApproval/239</v>
      </c>
      <c r="Z1005" s="27"/>
      <c r="AS1005" s="1">
        <f>IF($A1005&lt;&gt;0,1,0)</f>
        <v>0</v>
      </c>
      <c r="AT1005" s="1">
        <f>$A1005*$B1005</f>
        <v>0</v>
      </c>
      <c r="AU1005" s="1">
        <f>$A1005*$O1005</f>
        <v>0</v>
      </c>
      <c r="AV1005" s="1">
        <f>IF($R1005=0,0,INT($A1005/$R1005))</f>
        <v>0</v>
      </c>
      <c r="AW1005" s="1">
        <f>$A1005-$AV1005*$R1005</f>
        <v>0</v>
      </c>
    </row>
    <row r="1006" ht="24.95" customHeight="1" outlineLevel="3" s="1" customFormat="1">
      <c r="A1006" s="15"/>
      <c r="B1006" s="17">
        <v>1000</v>
      </c>
      <c r="C1006" s="17">
        <v>1400</v>
      </c>
      <c r="D1006" s="16">
        <v>8143</v>
      </c>
      <c r="E1006" s="18"/>
      <c r="F1006" s="18" t="s">
        <v>557</v>
      </c>
      <c r="G1006" s="18" t="s">
        <v>3285</v>
      </c>
      <c r="H1006" s="18" t="s">
        <v>73</v>
      </c>
      <c r="I1006" s="18" t="s">
        <v>74</v>
      </c>
      <c r="J1006" s="16">
        <v>2026</v>
      </c>
      <c r="K1006" s="18" t="s">
        <v>3286</v>
      </c>
      <c r="L1006" s="16">
        <v>9785001390534</v>
      </c>
      <c r="M1006" s="18" t="s">
        <v>3287</v>
      </c>
      <c r="N1006" s="16">
        <v>452</v>
      </c>
      <c r="O1006" s="19">
        <v>0.66</v>
      </c>
      <c r="P1006" s="16">
        <v>150</v>
      </c>
      <c r="Q1006" s="16">
        <v>220</v>
      </c>
      <c r="R1006" s="16">
        <v>5</v>
      </c>
      <c r="S1006" s="18" t="s">
        <v>43</v>
      </c>
      <c r="T1006" s="18"/>
      <c r="U1006" s="17">
        <v>1000</v>
      </c>
      <c r="V1006" s="18" t="s">
        <v>77</v>
      </c>
      <c r="W1006" s="18" t="s">
        <v>91</v>
      </c>
      <c r="X1006" s="16">
        <v>10</v>
      </c>
      <c r="Y1006" s="43" t="str">
        <f>HYPERLINK("https://api-enni.alpina.ru/FilePrivilegesApproval/5","https://api-enni.alpina.ru/FilePrivilegesApproval/5")</f>
        <v>https://api-enni.alpina.ru/FilePrivilegesApproval/5</v>
      </c>
      <c r="Z1006" s="18"/>
      <c r="AS1006" s="1">
        <f>IF($A1006&lt;&gt;0,1,0)</f>
        <v>0</v>
      </c>
      <c r="AT1006" s="1">
        <f>$A1006*$B1006</f>
        <v>0</v>
      </c>
      <c r="AU1006" s="1">
        <f>$A1006*$O1006</f>
        <v>0</v>
      </c>
      <c r="AV1006" s="1">
        <f>IF($R1006=0,0,INT($A1006/$R1006))</f>
        <v>0</v>
      </c>
      <c r="AW1006" s="1">
        <f>$A1006-$AV1006*$R1006</f>
        <v>0</v>
      </c>
    </row>
    <row r="1007" ht="24.95" customHeight="1" outlineLevel="3" s="1" customFormat="1">
      <c r="A1007" s="15"/>
      <c r="B1007" s="16">
        <v>740</v>
      </c>
      <c r="C1007" s="17">
        <v>1073</v>
      </c>
      <c r="D1007" s="16">
        <v>20699</v>
      </c>
      <c r="E1007" s="18"/>
      <c r="F1007" s="18" t="s">
        <v>3288</v>
      </c>
      <c r="G1007" s="18" t="s">
        <v>3289</v>
      </c>
      <c r="H1007" s="18" t="s">
        <v>73</v>
      </c>
      <c r="I1007" s="18" t="s">
        <v>74</v>
      </c>
      <c r="J1007" s="16">
        <v>2022</v>
      </c>
      <c r="K1007" s="18" t="s">
        <v>3290</v>
      </c>
      <c r="L1007" s="16">
        <v>9785001395683</v>
      </c>
      <c r="M1007" s="18" t="s">
        <v>3291</v>
      </c>
      <c r="N1007" s="16">
        <v>326</v>
      </c>
      <c r="O1007" s="19">
        <v>0.49</v>
      </c>
      <c r="P1007" s="16">
        <v>150</v>
      </c>
      <c r="Q1007" s="16">
        <v>220</v>
      </c>
      <c r="R1007" s="16">
        <v>12</v>
      </c>
      <c r="S1007" s="18" t="s">
        <v>43</v>
      </c>
      <c r="T1007" s="18"/>
      <c r="U1007" s="17">
        <v>2500</v>
      </c>
      <c r="V1007" s="18" t="s">
        <v>77</v>
      </c>
      <c r="W1007" s="18" t="s">
        <v>91</v>
      </c>
      <c r="X1007" s="16">
        <v>10</v>
      </c>
      <c r="Y1007" s="43" t="str">
        <f>HYPERLINK("https://api-enni.alpina.ru/FilePrivilegesApproval/190","https://api-enni.alpina.ru/FilePrivilegesApproval/190")</f>
        <v>https://api-enni.alpina.ru/FilePrivilegesApproval/190</v>
      </c>
      <c r="Z1007" s="18"/>
      <c r="AS1007" s="1">
        <f>IF($A1007&lt;&gt;0,1,0)</f>
        <v>0</v>
      </c>
      <c r="AT1007" s="1">
        <f>$A1007*$B1007</f>
        <v>0</v>
      </c>
      <c r="AU1007" s="1">
        <f>$A1007*$O1007</f>
        <v>0</v>
      </c>
      <c r="AV1007" s="1">
        <f>IF($R1007=0,0,INT($A1007/$R1007))</f>
        <v>0</v>
      </c>
      <c r="AW1007" s="1">
        <f>$A1007-$AV1007*$R1007</f>
        <v>0</v>
      </c>
    </row>
    <row r="1008" ht="24.95" customHeight="1" outlineLevel="3" s="1" customFormat="1">
      <c r="A1008" s="15"/>
      <c r="B1008" s="16">
        <v>790</v>
      </c>
      <c r="C1008" s="17">
        <v>1146</v>
      </c>
      <c r="D1008" s="16">
        <v>21040</v>
      </c>
      <c r="E1008" s="18"/>
      <c r="F1008" s="18" t="s">
        <v>3292</v>
      </c>
      <c r="G1008" s="18" t="s">
        <v>3293</v>
      </c>
      <c r="H1008" s="18" t="s">
        <v>73</v>
      </c>
      <c r="I1008" s="18"/>
      <c r="J1008" s="16">
        <v>2025</v>
      </c>
      <c r="K1008" s="18" t="s">
        <v>3294</v>
      </c>
      <c r="L1008" s="16">
        <v>9785001394587</v>
      </c>
      <c r="M1008" s="18" t="s">
        <v>3295</v>
      </c>
      <c r="N1008" s="16">
        <v>176</v>
      </c>
      <c r="O1008" s="19">
        <v>0.32</v>
      </c>
      <c r="P1008" s="16">
        <v>150</v>
      </c>
      <c r="Q1008" s="16">
        <v>220</v>
      </c>
      <c r="R1008" s="16">
        <v>10</v>
      </c>
      <c r="S1008" s="18" t="s">
        <v>43</v>
      </c>
      <c r="T1008" s="18"/>
      <c r="U1008" s="17">
        <v>1000</v>
      </c>
      <c r="V1008" s="18" t="s">
        <v>77</v>
      </c>
      <c r="W1008" s="18" t="s">
        <v>91</v>
      </c>
      <c r="X1008" s="16">
        <v>10</v>
      </c>
      <c r="Y1008" s="43" t="str">
        <f>HYPERLINK("https://api-enni.alpina.ru/FilePrivilegesApproval/151","https://api-enni.alpina.ru/FilePrivilegesApproval/151")</f>
        <v>https://api-enni.alpina.ru/FilePrivilegesApproval/151</v>
      </c>
      <c r="Z1008" s="18"/>
      <c r="AS1008" s="1">
        <f>IF($A1008&lt;&gt;0,1,0)</f>
        <v>0</v>
      </c>
      <c r="AT1008" s="1">
        <f>$A1008*$B1008</f>
        <v>0</v>
      </c>
      <c r="AU1008" s="1">
        <f>$A1008*$O1008</f>
        <v>0</v>
      </c>
      <c r="AV1008" s="1">
        <f>IF($R1008=0,0,INT($A1008/$R1008))</f>
        <v>0</v>
      </c>
      <c r="AW1008" s="1">
        <f>$A1008-$AV1008*$R1008</f>
        <v>0</v>
      </c>
    </row>
    <row r="1009" ht="24.95" customHeight="1" outlineLevel="3" s="1" customFormat="1">
      <c r="A1009" s="15"/>
      <c r="B1009" s="17">
        <v>1240</v>
      </c>
      <c r="C1009" s="17">
        <v>1674</v>
      </c>
      <c r="D1009" s="16">
        <v>32012</v>
      </c>
      <c r="E1009" s="18"/>
      <c r="F1009" s="18" t="s">
        <v>3296</v>
      </c>
      <c r="G1009" s="18" t="s">
        <v>3297</v>
      </c>
      <c r="H1009" s="18" t="s">
        <v>95</v>
      </c>
      <c r="I1009" s="18"/>
      <c r="J1009" s="16">
        <v>2025</v>
      </c>
      <c r="K1009" s="18" t="s">
        <v>3298</v>
      </c>
      <c r="L1009" s="16">
        <v>9785206003987</v>
      </c>
      <c r="M1009" s="18" t="s">
        <v>3299</v>
      </c>
      <c r="N1009" s="16">
        <v>298</v>
      </c>
      <c r="O1009" s="19">
        <v>0.86</v>
      </c>
      <c r="P1009" s="16">
        <v>170</v>
      </c>
      <c r="Q1009" s="16">
        <v>240</v>
      </c>
      <c r="R1009" s="16">
        <v>5</v>
      </c>
      <c r="S1009" s="18" t="s">
        <v>123</v>
      </c>
      <c r="T1009" s="18"/>
      <c r="U1009" s="17">
        <v>1005</v>
      </c>
      <c r="V1009" s="18" t="s">
        <v>77</v>
      </c>
      <c r="W1009" s="18" t="s">
        <v>69</v>
      </c>
      <c r="X1009" s="16">
        <v>10</v>
      </c>
      <c r="Y1009" s="43" t="str">
        <f>HYPERLINK("https://api-enni.alpina.ru/FilePrivilegesApproval/735","https://api-enni.alpina.ru/FilePrivilegesApproval/735")</f>
        <v>https://api-enni.alpina.ru/FilePrivilegesApproval/735</v>
      </c>
      <c r="Z1009" s="18"/>
      <c r="AS1009" s="1">
        <f>IF($A1009&lt;&gt;0,1,0)</f>
        <v>0</v>
      </c>
      <c r="AT1009" s="1">
        <f>$A1009*$B1009</f>
        <v>0</v>
      </c>
      <c r="AU1009" s="1">
        <f>$A1009*$O1009</f>
        <v>0</v>
      </c>
      <c r="AV1009" s="1">
        <f>IF($R1009=0,0,INT($A1009/$R1009))</f>
        <v>0</v>
      </c>
      <c r="AW1009" s="1">
        <f>$A1009-$AV1009*$R1009</f>
        <v>0</v>
      </c>
    </row>
    <row r="1010" ht="21.95" customHeight="1" outlineLevel="3" s="1" customFormat="1">
      <c r="A1010" s="25"/>
      <c r="B1010" s="29">
        <v>1140</v>
      </c>
      <c r="C1010" s="29">
        <v>1539</v>
      </c>
      <c r="D1010" s="26">
        <v>17629</v>
      </c>
      <c r="E1010" s="27"/>
      <c r="F1010" s="27" t="s">
        <v>614</v>
      </c>
      <c r="G1010" s="27" t="s">
        <v>615</v>
      </c>
      <c r="H1010" s="27" t="s">
        <v>95</v>
      </c>
      <c r="I1010" s="27" t="s">
        <v>74</v>
      </c>
      <c r="J1010" s="26">
        <v>2025</v>
      </c>
      <c r="K1010" s="27" t="s">
        <v>616</v>
      </c>
      <c r="L1010" s="26">
        <v>9785907274815</v>
      </c>
      <c r="M1010" s="27" t="s">
        <v>617</v>
      </c>
      <c r="N1010" s="26">
        <v>231</v>
      </c>
      <c r="O1010" s="28">
        <v>0.5</v>
      </c>
      <c r="P1010" s="26">
        <v>170</v>
      </c>
      <c r="Q1010" s="26">
        <v>240</v>
      </c>
      <c r="R1010" s="26">
        <v>10</v>
      </c>
      <c r="S1010" s="27" t="s">
        <v>123</v>
      </c>
      <c r="T1010" s="27"/>
      <c r="U1010" s="29">
        <v>1000</v>
      </c>
      <c r="V1010" s="27" t="s">
        <v>77</v>
      </c>
      <c r="W1010" s="27" t="s">
        <v>91</v>
      </c>
      <c r="X1010" s="26">
        <v>10</v>
      </c>
      <c r="Y1010" s="45" t="str">
        <f>HYPERLINK("","")</f>
      </c>
      <c r="Z1010" s="27" t="s">
        <v>46</v>
      </c>
      <c r="AS1010" s="1">
        <f>IF($A1010&lt;&gt;0,1,0)</f>
        <v>0</v>
      </c>
      <c r="AT1010" s="1">
        <f>$A1010*$B1010</f>
        <v>0</v>
      </c>
      <c r="AU1010" s="1">
        <f>$A1010*$O1010</f>
        <v>0</v>
      </c>
      <c r="AV1010" s="1">
        <f>IF($R1010=0,0,INT($A1010/$R1010))</f>
        <v>0</v>
      </c>
      <c r="AW1010" s="1">
        <f>$A1010-$AV1010*$R1010</f>
        <v>0</v>
      </c>
    </row>
    <row r="1011" ht="24.95" customHeight="1" outlineLevel="3" s="1" customFormat="1">
      <c r="A1011" s="25"/>
      <c r="B1011" s="26">
        <v>930</v>
      </c>
      <c r="C1011" s="29">
        <v>1302</v>
      </c>
      <c r="D1011" s="26">
        <v>17721</v>
      </c>
      <c r="E1011" s="27"/>
      <c r="F1011" s="27" t="s">
        <v>3300</v>
      </c>
      <c r="G1011" s="27" t="s">
        <v>3301</v>
      </c>
      <c r="H1011" s="27" t="s">
        <v>95</v>
      </c>
      <c r="I1011" s="27" t="s">
        <v>74</v>
      </c>
      <c r="J1011" s="26">
        <v>2022</v>
      </c>
      <c r="K1011" s="27" t="s">
        <v>3302</v>
      </c>
      <c r="L1011" s="26">
        <v>9785907534698</v>
      </c>
      <c r="M1011" s="27" t="s">
        <v>3303</v>
      </c>
      <c r="N1011" s="26">
        <v>303</v>
      </c>
      <c r="O1011" s="28">
        <v>0.48</v>
      </c>
      <c r="P1011" s="26">
        <v>150</v>
      </c>
      <c r="Q1011" s="26">
        <v>220</v>
      </c>
      <c r="R1011" s="26">
        <v>10</v>
      </c>
      <c r="S1011" s="27" t="s">
        <v>43</v>
      </c>
      <c r="T1011" s="27"/>
      <c r="U1011" s="29">
        <v>1000</v>
      </c>
      <c r="V1011" s="27" t="s">
        <v>77</v>
      </c>
      <c r="W1011" s="27" t="s">
        <v>91</v>
      </c>
      <c r="X1011" s="26">
        <v>10</v>
      </c>
      <c r="Y1011" s="45" t="str">
        <f>HYPERLINK("https://api-enni.alpina.ru/FilePrivilegesApproval/139","https://api-enni.alpina.ru/FilePrivilegesApproval/139")</f>
        <v>https://api-enni.alpina.ru/FilePrivilegesApproval/139</v>
      </c>
      <c r="Z1011" s="27"/>
      <c r="AS1011" s="1">
        <f>IF($A1011&lt;&gt;0,1,0)</f>
        <v>0</v>
      </c>
      <c r="AT1011" s="1">
        <f>$A1011*$B1011</f>
        <v>0</v>
      </c>
      <c r="AU1011" s="1">
        <f>$A1011*$O1011</f>
        <v>0</v>
      </c>
      <c r="AV1011" s="1">
        <f>IF($R1011=0,0,INT($A1011/$R1011))</f>
        <v>0</v>
      </c>
      <c r="AW1011" s="1">
        <f>$A1011-$AV1011*$R1011</f>
        <v>0</v>
      </c>
    </row>
    <row r="1012" ht="24.95" customHeight="1" outlineLevel="3" s="1" customFormat="1">
      <c r="A1012" s="15"/>
      <c r="B1012" s="17">
        <v>1090</v>
      </c>
      <c r="C1012" s="17">
        <v>1472</v>
      </c>
      <c r="D1012" s="16">
        <v>23360</v>
      </c>
      <c r="E1012" s="18"/>
      <c r="F1012" s="18" t="s">
        <v>3304</v>
      </c>
      <c r="G1012" s="18" t="s">
        <v>3305</v>
      </c>
      <c r="H1012" s="18" t="s">
        <v>95</v>
      </c>
      <c r="I1012" s="18" t="s">
        <v>74</v>
      </c>
      <c r="J1012" s="16">
        <v>2021</v>
      </c>
      <c r="K1012" s="18" t="s">
        <v>3306</v>
      </c>
      <c r="L1012" s="16">
        <v>9785907394933</v>
      </c>
      <c r="M1012" s="18" t="s">
        <v>3307</v>
      </c>
      <c r="N1012" s="16">
        <v>304</v>
      </c>
      <c r="O1012" s="19">
        <v>0.62</v>
      </c>
      <c r="P1012" s="16">
        <v>168</v>
      </c>
      <c r="Q1012" s="16">
        <v>241</v>
      </c>
      <c r="R1012" s="16">
        <v>6</v>
      </c>
      <c r="S1012" s="18" t="s">
        <v>123</v>
      </c>
      <c r="T1012" s="18"/>
      <c r="U1012" s="17">
        <v>1500</v>
      </c>
      <c r="V1012" s="18" t="s">
        <v>77</v>
      </c>
      <c r="W1012" s="18" t="s">
        <v>91</v>
      </c>
      <c r="X1012" s="16">
        <v>10</v>
      </c>
      <c r="Y1012" s="43" t="str">
        <f>HYPERLINK("https://api-enni.alpina.ru/FilePrivilegesApproval/116","https://api-enni.alpina.ru/FilePrivilegesApproval/116")</f>
        <v>https://api-enni.alpina.ru/FilePrivilegesApproval/116</v>
      </c>
      <c r="Z1012" s="18"/>
      <c r="AS1012" s="1">
        <f>IF($A1012&lt;&gt;0,1,0)</f>
        <v>0</v>
      </c>
      <c r="AT1012" s="1">
        <f>$A1012*$B1012</f>
        <v>0</v>
      </c>
      <c r="AU1012" s="1">
        <f>$A1012*$O1012</f>
        <v>0</v>
      </c>
      <c r="AV1012" s="1">
        <f>IF($R1012=0,0,INT($A1012/$R1012))</f>
        <v>0</v>
      </c>
      <c r="AW1012" s="1">
        <f>$A1012-$AV1012*$R1012</f>
        <v>0</v>
      </c>
    </row>
    <row r="1013" ht="24.95" customHeight="1" outlineLevel="3" s="1" customFormat="1">
      <c r="A1013" s="15"/>
      <c r="B1013" s="16">
        <v>910</v>
      </c>
      <c r="C1013" s="17">
        <v>1274</v>
      </c>
      <c r="D1013" s="16">
        <v>25240</v>
      </c>
      <c r="E1013" s="18"/>
      <c r="F1013" s="18" t="s">
        <v>3308</v>
      </c>
      <c r="G1013" s="18" t="s">
        <v>3309</v>
      </c>
      <c r="H1013" s="18" t="s">
        <v>95</v>
      </c>
      <c r="I1013" s="18"/>
      <c r="J1013" s="16">
        <v>2025</v>
      </c>
      <c r="K1013" s="18" t="s">
        <v>3310</v>
      </c>
      <c r="L1013" s="16">
        <v>9785907534650</v>
      </c>
      <c r="M1013" s="18" t="s">
        <v>3311</v>
      </c>
      <c r="N1013" s="16">
        <v>200</v>
      </c>
      <c r="O1013" s="19">
        <v>0.34</v>
      </c>
      <c r="P1013" s="16">
        <v>150</v>
      </c>
      <c r="Q1013" s="16">
        <v>220</v>
      </c>
      <c r="R1013" s="16">
        <v>10</v>
      </c>
      <c r="S1013" s="18" t="s">
        <v>43</v>
      </c>
      <c r="T1013" s="18"/>
      <c r="U1013" s="17">
        <v>1000</v>
      </c>
      <c r="V1013" s="18" t="s">
        <v>77</v>
      </c>
      <c r="W1013" s="18" t="s">
        <v>91</v>
      </c>
      <c r="X1013" s="16">
        <v>10</v>
      </c>
      <c r="Y1013" s="43" t="str">
        <f>HYPERLINK("https://api-enni.alpina.ru/FilePrivilegesApproval/155","https://api-enni.alpina.ru/FilePrivilegesApproval/155")</f>
        <v>https://api-enni.alpina.ru/FilePrivilegesApproval/155</v>
      </c>
      <c r="Z1013" s="18" t="s">
        <v>1869</v>
      </c>
      <c r="AS1013" s="1">
        <f>IF($A1013&lt;&gt;0,1,0)</f>
        <v>0</v>
      </c>
      <c r="AT1013" s="1">
        <f>$A1013*$B1013</f>
        <v>0</v>
      </c>
      <c r="AU1013" s="1">
        <f>$A1013*$O1013</f>
        <v>0</v>
      </c>
      <c r="AV1013" s="1">
        <f>IF($R1013=0,0,INT($A1013/$R1013))</f>
        <v>0</v>
      </c>
      <c r="AW1013" s="1">
        <f>$A1013-$AV1013*$R1013</f>
        <v>0</v>
      </c>
    </row>
    <row r="1014" ht="24.95" customHeight="1" outlineLevel="3" s="1" customFormat="1">
      <c r="A1014" s="15"/>
      <c r="B1014" s="16">
        <v>640</v>
      </c>
      <c r="C1014" s="16">
        <v>960</v>
      </c>
      <c r="D1014" s="16">
        <v>20996</v>
      </c>
      <c r="E1014" s="18"/>
      <c r="F1014" s="18" t="s">
        <v>3312</v>
      </c>
      <c r="G1014" s="18" t="s">
        <v>3313</v>
      </c>
      <c r="H1014" s="18" t="s">
        <v>73</v>
      </c>
      <c r="I1014" s="18" t="s">
        <v>74</v>
      </c>
      <c r="J1014" s="16">
        <v>2022</v>
      </c>
      <c r="K1014" s="18" t="s">
        <v>3314</v>
      </c>
      <c r="L1014" s="16">
        <v>9785001394150</v>
      </c>
      <c r="M1014" s="18" t="s">
        <v>3315</v>
      </c>
      <c r="N1014" s="16">
        <v>246</v>
      </c>
      <c r="O1014" s="19">
        <v>0.34</v>
      </c>
      <c r="P1014" s="16">
        <v>130</v>
      </c>
      <c r="Q1014" s="16">
        <v>206</v>
      </c>
      <c r="R1014" s="16">
        <v>16</v>
      </c>
      <c r="S1014" s="18" t="s">
        <v>90</v>
      </c>
      <c r="T1014" s="18"/>
      <c r="U1014" s="17">
        <v>3000</v>
      </c>
      <c r="V1014" s="18" t="s">
        <v>77</v>
      </c>
      <c r="W1014" s="18" t="s">
        <v>91</v>
      </c>
      <c r="X1014" s="16">
        <v>10</v>
      </c>
      <c r="Y1014" s="43" t="str">
        <f>HYPERLINK("https://api-enni.alpina.ru/FilePrivilegesApproval/131","https://api-enni.alpina.ru/FilePrivilegesApproval/131")</f>
        <v>https://api-enni.alpina.ru/FilePrivilegesApproval/131</v>
      </c>
      <c r="Z1014" s="18"/>
      <c r="AS1014" s="1">
        <f>IF($A1014&lt;&gt;0,1,0)</f>
        <v>0</v>
      </c>
      <c r="AT1014" s="1">
        <f>$A1014*$B1014</f>
        <v>0</v>
      </c>
      <c r="AU1014" s="1">
        <f>$A1014*$O1014</f>
        <v>0</v>
      </c>
      <c r="AV1014" s="1">
        <f>IF($R1014=0,0,INT($A1014/$R1014))</f>
        <v>0</v>
      </c>
      <c r="AW1014" s="1">
        <f>$A1014-$AV1014*$R1014</f>
        <v>0</v>
      </c>
    </row>
    <row r="1015" ht="24.95" customHeight="1" outlineLevel="3" s="1" customFormat="1">
      <c r="A1015" s="15"/>
      <c r="B1015" s="17">
        <v>1440</v>
      </c>
      <c r="C1015" s="17">
        <v>1944</v>
      </c>
      <c r="D1015" s="16">
        <v>23359</v>
      </c>
      <c r="E1015" s="18"/>
      <c r="F1015" s="18" t="s">
        <v>3316</v>
      </c>
      <c r="G1015" s="18" t="s">
        <v>3317</v>
      </c>
      <c r="H1015" s="18" t="s">
        <v>95</v>
      </c>
      <c r="I1015" s="18" t="s">
        <v>160</v>
      </c>
      <c r="J1015" s="16">
        <v>2025</v>
      </c>
      <c r="K1015" s="18" t="s">
        <v>3318</v>
      </c>
      <c r="L1015" s="16">
        <v>9785907394926</v>
      </c>
      <c r="M1015" s="18" t="s">
        <v>3319</v>
      </c>
      <c r="N1015" s="16">
        <v>335</v>
      </c>
      <c r="O1015" s="19">
        <v>0.65</v>
      </c>
      <c r="P1015" s="16">
        <v>170</v>
      </c>
      <c r="Q1015" s="16">
        <v>240</v>
      </c>
      <c r="R1015" s="16">
        <v>8</v>
      </c>
      <c r="S1015" s="18" t="s">
        <v>123</v>
      </c>
      <c r="T1015" s="18"/>
      <c r="U1015" s="17">
        <v>1500</v>
      </c>
      <c r="V1015" s="18" t="s">
        <v>77</v>
      </c>
      <c r="W1015" s="18" t="s">
        <v>45</v>
      </c>
      <c r="X1015" s="16">
        <v>10</v>
      </c>
      <c r="Y1015" s="43" t="str">
        <f>HYPERLINK("https://api-enni.alpina.ru/FilePrivilegesApproval/116","https://api-enni.alpina.ru/FilePrivilegesApproval/116")</f>
        <v>https://api-enni.alpina.ru/FilePrivilegesApproval/116</v>
      </c>
      <c r="Z1015" s="18"/>
      <c r="AS1015" s="1">
        <f>IF($A1015&lt;&gt;0,1,0)</f>
        <v>0</v>
      </c>
      <c r="AT1015" s="1">
        <f>$A1015*$B1015</f>
        <v>0</v>
      </c>
      <c r="AU1015" s="1">
        <f>$A1015*$O1015</f>
        <v>0</v>
      </c>
      <c r="AV1015" s="1">
        <f>IF($R1015=0,0,INT($A1015/$R1015))</f>
        <v>0</v>
      </c>
      <c r="AW1015" s="1">
        <f>$A1015-$AV1015*$R1015</f>
        <v>0</v>
      </c>
    </row>
    <row r="1016" ht="24.95" customHeight="1" outlineLevel="3" s="1" customFormat="1">
      <c r="A1016" s="15"/>
      <c r="B1016" s="16">
        <v>890</v>
      </c>
      <c r="C1016" s="17">
        <v>1246</v>
      </c>
      <c r="D1016" s="16">
        <v>26050</v>
      </c>
      <c r="E1016" s="18"/>
      <c r="F1016" s="18" t="s">
        <v>557</v>
      </c>
      <c r="G1016" s="18" t="s">
        <v>3320</v>
      </c>
      <c r="H1016" s="18" t="s">
        <v>73</v>
      </c>
      <c r="I1016" s="18" t="s">
        <v>74</v>
      </c>
      <c r="J1016" s="16">
        <v>2025</v>
      </c>
      <c r="K1016" s="18" t="s">
        <v>3321</v>
      </c>
      <c r="L1016" s="16">
        <v>9785001397281</v>
      </c>
      <c r="M1016" s="18" t="s">
        <v>3322</v>
      </c>
      <c r="N1016" s="16">
        <v>412</v>
      </c>
      <c r="O1016" s="19">
        <v>0.59</v>
      </c>
      <c r="P1016" s="16">
        <v>150</v>
      </c>
      <c r="Q1016" s="16">
        <v>220</v>
      </c>
      <c r="R1016" s="16">
        <v>10</v>
      </c>
      <c r="S1016" s="18" t="s">
        <v>43</v>
      </c>
      <c r="T1016" s="18"/>
      <c r="U1016" s="17">
        <v>2500</v>
      </c>
      <c r="V1016" s="18" t="s">
        <v>77</v>
      </c>
      <c r="W1016" s="18" t="s">
        <v>69</v>
      </c>
      <c r="X1016" s="16">
        <v>10</v>
      </c>
      <c r="Y1016" s="43" t="str">
        <f>HYPERLINK("https://api-enni.alpina.ru/FilePrivilegesApproval/705","https://api-enni.alpina.ru/FilePrivilegesApproval/705")</f>
        <v>https://api-enni.alpina.ru/FilePrivilegesApproval/705</v>
      </c>
      <c r="Z1016" s="18"/>
      <c r="AS1016" s="1">
        <f>IF($A1016&lt;&gt;0,1,0)</f>
        <v>0</v>
      </c>
      <c r="AT1016" s="1">
        <f>$A1016*$B1016</f>
        <v>0</v>
      </c>
      <c r="AU1016" s="1">
        <f>$A1016*$O1016</f>
        <v>0</v>
      </c>
      <c r="AV1016" s="1">
        <f>IF($R1016=0,0,INT($A1016/$R1016))</f>
        <v>0</v>
      </c>
      <c r="AW1016" s="1">
        <f>$A1016-$AV1016*$R1016</f>
        <v>0</v>
      </c>
    </row>
    <row r="1017" ht="24.95" customHeight="1" outlineLevel="3" s="1" customFormat="1">
      <c r="A1017" s="15"/>
      <c r="B1017" s="17">
        <v>1210</v>
      </c>
      <c r="C1017" s="17">
        <v>1634</v>
      </c>
      <c r="D1017" s="16">
        <v>25168</v>
      </c>
      <c r="E1017" s="18"/>
      <c r="F1017" s="18" t="s">
        <v>3323</v>
      </c>
      <c r="G1017" s="18" t="s">
        <v>3324</v>
      </c>
      <c r="H1017" s="18" t="s">
        <v>95</v>
      </c>
      <c r="I1017" s="18" t="s">
        <v>74</v>
      </c>
      <c r="J1017" s="16">
        <v>2025</v>
      </c>
      <c r="K1017" s="18" t="s">
        <v>3325</v>
      </c>
      <c r="L1017" s="16">
        <v>9785907534612</v>
      </c>
      <c r="M1017" s="18" t="s">
        <v>3326</v>
      </c>
      <c r="N1017" s="16">
        <v>368</v>
      </c>
      <c r="O1017" s="19">
        <v>0.53</v>
      </c>
      <c r="P1017" s="16">
        <v>150</v>
      </c>
      <c r="Q1017" s="16">
        <v>220</v>
      </c>
      <c r="R1017" s="16">
        <v>6</v>
      </c>
      <c r="S1017" s="18" t="s">
        <v>43</v>
      </c>
      <c r="T1017" s="18"/>
      <c r="U1017" s="17">
        <v>1000</v>
      </c>
      <c r="V1017" s="18" t="s">
        <v>77</v>
      </c>
      <c r="W1017" s="18" t="s">
        <v>45</v>
      </c>
      <c r="X1017" s="16">
        <v>22</v>
      </c>
      <c r="Y1017" s="43" t="str">
        <f>HYPERLINK("https://api-enni.alpina.ru/FilePrivilegesApproval/529","https://api-enni.alpina.ru/FilePrivilegesApproval/529")</f>
        <v>https://api-enni.alpina.ru/FilePrivilegesApproval/529</v>
      </c>
      <c r="Z1017" s="18"/>
      <c r="AS1017" s="1">
        <f>IF($A1017&lt;&gt;0,1,0)</f>
        <v>0</v>
      </c>
      <c r="AT1017" s="1">
        <f>$A1017*$B1017</f>
        <v>0</v>
      </c>
      <c r="AU1017" s="1">
        <f>$A1017*$O1017</f>
        <v>0</v>
      </c>
      <c r="AV1017" s="1">
        <f>IF($R1017=0,0,INT($A1017/$R1017))</f>
        <v>0</v>
      </c>
      <c r="AW1017" s="1">
        <f>$A1017-$AV1017*$R1017</f>
        <v>0</v>
      </c>
    </row>
    <row r="1018" ht="24.95" customHeight="1" outlineLevel="3" s="1" customFormat="1">
      <c r="A1018" s="15"/>
      <c r="B1018" s="17">
        <v>1090</v>
      </c>
      <c r="C1018" s="17">
        <v>1472</v>
      </c>
      <c r="D1018" s="16">
        <v>23743</v>
      </c>
      <c r="E1018" s="18"/>
      <c r="F1018" s="18" t="s">
        <v>3327</v>
      </c>
      <c r="G1018" s="18" t="s">
        <v>3328</v>
      </c>
      <c r="H1018" s="18" t="s">
        <v>95</v>
      </c>
      <c r="I1018" s="18"/>
      <c r="J1018" s="16">
        <v>2022</v>
      </c>
      <c r="K1018" s="18" t="s">
        <v>3329</v>
      </c>
      <c r="L1018" s="16">
        <v>9785907534384</v>
      </c>
      <c r="M1018" s="18" t="s">
        <v>3330</v>
      </c>
      <c r="N1018" s="16">
        <v>182</v>
      </c>
      <c r="O1018" s="19">
        <v>0.5</v>
      </c>
      <c r="P1018" s="16">
        <v>168</v>
      </c>
      <c r="Q1018" s="16">
        <v>241</v>
      </c>
      <c r="R1018" s="16">
        <v>8</v>
      </c>
      <c r="S1018" s="18" t="s">
        <v>123</v>
      </c>
      <c r="T1018" s="18"/>
      <c r="U1018" s="17">
        <v>1010</v>
      </c>
      <c r="V1018" s="18" t="s">
        <v>77</v>
      </c>
      <c r="W1018" s="18" t="s">
        <v>91</v>
      </c>
      <c r="X1018" s="16">
        <v>10</v>
      </c>
      <c r="Y1018" s="43" t="str">
        <f>HYPERLINK("https://api-enni.alpina.ru/FilePrivilegesApproval/155","https://api-enni.alpina.ru/FilePrivilegesApproval/155")</f>
        <v>https://api-enni.alpina.ru/FilePrivilegesApproval/155</v>
      </c>
      <c r="Z1018" s="18"/>
      <c r="AS1018" s="1">
        <f>IF($A1018&lt;&gt;0,1,0)</f>
        <v>0</v>
      </c>
      <c r="AT1018" s="1">
        <f>$A1018*$B1018</f>
        <v>0</v>
      </c>
      <c r="AU1018" s="1">
        <f>$A1018*$O1018</f>
        <v>0</v>
      </c>
      <c r="AV1018" s="1">
        <f>IF($R1018=0,0,INT($A1018/$R1018))</f>
        <v>0</v>
      </c>
      <c r="AW1018" s="1">
        <f>$A1018-$AV1018*$R1018</f>
        <v>0</v>
      </c>
    </row>
    <row r="1019" ht="24.95" customHeight="1" outlineLevel="3" s="1" customFormat="1">
      <c r="A1019" s="15"/>
      <c r="B1019" s="16">
        <v>590</v>
      </c>
      <c r="C1019" s="16">
        <v>885</v>
      </c>
      <c r="D1019" s="16">
        <v>9023</v>
      </c>
      <c r="E1019" s="18"/>
      <c r="F1019" s="18" t="s">
        <v>3331</v>
      </c>
      <c r="G1019" s="18" t="s">
        <v>3332</v>
      </c>
      <c r="H1019" s="18" t="s">
        <v>73</v>
      </c>
      <c r="I1019" s="18" t="s">
        <v>74</v>
      </c>
      <c r="J1019" s="16">
        <v>2020</v>
      </c>
      <c r="K1019" s="18" t="s">
        <v>3333</v>
      </c>
      <c r="L1019" s="16">
        <v>9785001390954</v>
      </c>
      <c r="M1019" s="18" t="s">
        <v>3334</v>
      </c>
      <c r="N1019" s="16">
        <v>326</v>
      </c>
      <c r="O1019" s="19">
        <v>0.49</v>
      </c>
      <c r="P1019" s="16">
        <v>146</v>
      </c>
      <c r="Q1019" s="16">
        <v>216</v>
      </c>
      <c r="R1019" s="16">
        <v>14</v>
      </c>
      <c r="S1019" s="18" t="s">
        <v>43</v>
      </c>
      <c r="T1019" s="18"/>
      <c r="U1019" s="17">
        <v>3000</v>
      </c>
      <c r="V1019" s="18" t="s">
        <v>77</v>
      </c>
      <c r="W1019" s="18" t="s">
        <v>91</v>
      </c>
      <c r="X1019" s="16">
        <v>10</v>
      </c>
      <c r="Y1019" s="43" t="str">
        <f>HYPERLINK("https://api-enni.alpina.ru/FilePrivilegesApproval/271","https://api-enni.alpina.ru/FilePrivilegesApproval/271")</f>
        <v>https://api-enni.alpina.ru/FilePrivilegesApproval/271</v>
      </c>
      <c r="Z1019" s="18"/>
      <c r="AS1019" s="1">
        <f>IF($A1019&lt;&gt;0,1,0)</f>
        <v>0</v>
      </c>
      <c r="AT1019" s="1">
        <f>$A1019*$B1019</f>
        <v>0</v>
      </c>
      <c r="AU1019" s="1">
        <f>$A1019*$O1019</f>
        <v>0</v>
      </c>
      <c r="AV1019" s="1">
        <f>IF($R1019=0,0,INT($A1019/$R1019))</f>
        <v>0</v>
      </c>
      <c r="AW1019" s="1">
        <f>$A1019-$AV1019*$R1019</f>
        <v>0</v>
      </c>
    </row>
    <row r="1020" ht="24.95" customHeight="1" outlineLevel="3" s="1" customFormat="1">
      <c r="A1020" s="25"/>
      <c r="B1020" s="26">
        <v>590</v>
      </c>
      <c r="C1020" s="26">
        <v>885</v>
      </c>
      <c r="D1020" s="26">
        <v>17379</v>
      </c>
      <c r="E1020" s="27"/>
      <c r="F1020" s="27" t="s">
        <v>3335</v>
      </c>
      <c r="G1020" s="27" t="s">
        <v>3336</v>
      </c>
      <c r="H1020" s="27" t="s">
        <v>73</v>
      </c>
      <c r="I1020" s="27" t="s">
        <v>74</v>
      </c>
      <c r="J1020" s="26">
        <v>2021</v>
      </c>
      <c r="K1020" s="27" t="s">
        <v>3337</v>
      </c>
      <c r="L1020" s="26">
        <v>9785001392088</v>
      </c>
      <c r="M1020" s="27" t="s">
        <v>3338</v>
      </c>
      <c r="N1020" s="26">
        <v>254</v>
      </c>
      <c r="O1020" s="28">
        <v>0.41</v>
      </c>
      <c r="P1020" s="26">
        <v>146</v>
      </c>
      <c r="Q1020" s="26">
        <v>216</v>
      </c>
      <c r="R1020" s="26">
        <v>12</v>
      </c>
      <c r="S1020" s="27" t="s">
        <v>43</v>
      </c>
      <c r="T1020" s="27" t="s">
        <v>2905</v>
      </c>
      <c r="U1020" s="29">
        <v>3000</v>
      </c>
      <c r="V1020" s="27" t="s">
        <v>77</v>
      </c>
      <c r="W1020" s="27" t="s">
        <v>91</v>
      </c>
      <c r="X1020" s="26">
        <v>10</v>
      </c>
      <c r="Y1020" s="45" t="str">
        <f>HYPERLINK("https://api-enni.alpina.ru/FilePrivilegesApproval/226","https://api-enni.alpina.ru/FilePrivilegesApproval/226")</f>
        <v>https://api-enni.alpina.ru/FilePrivilegesApproval/226</v>
      </c>
      <c r="Z1020" s="27"/>
      <c r="AS1020" s="1">
        <f>IF($A1020&lt;&gt;0,1,0)</f>
        <v>0</v>
      </c>
      <c r="AT1020" s="1">
        <f>$A1020*$B1020</f>
        <v>0</v>
      </c>
      <c r="AU1020" s="1">
        <f>$A1020*$O1020</f>
        <v>0</v>
      </c>
      <c r="AV1020" s="1">
        <f>IF($R1020=0,0,INT($A1020/$R1020))</f>
        <v>0</v>
      </c>
      <c r="AW1020" s="1">
        <f>$A1020-$AV1020*$R1020</f>
        <v>0</v>
      </c>
    </row>
    <row r="1021" ht="24.95" customHeight="1" outlineLevel="3" s="1" customFormat="1">
      <c r="A1021" s="15"/>
      <c r="B1021" s="16">
        <v>590</v>
      </c>
      <c r="C1021" s="16">
        <v>885</v>
      </c>
      <c r="D1021" s="16">
        <v>34027</v>
      </c>
      <c r="E1021" s="18"/>
      <c r="F1021" s="18" t="s">
        <v>256</v>
      </c>
      <c r="G1021" s="18" t="s">
        <v>774</v>
      </c>
      <c r="H1021" s="18" t="s">
        <v>86</v>
      </c>
      <c r="I1021" s="18"/>
      <c r="J1021" s="16">
        <v>2026</v>
      </c>
      <c r="K1021" s="18" t="s">
        <v>775</v>
      </c>
      <c r="L1021" s="16">
        <v>9785006306103</v>
      </c>
      <c r="M1021" s="18" t="s">
        <v>776</v>
      </c>
      <c r="N1021" s="16">
        <v>392</v>
      </c>
      <c r="O1021" s="19">
        <v>0.48</v>
      </c>
      <c r="P1021" s="16">
        <v>140</v>
      </c>
      <c r="Q1021" s="16">
        <v>210</v>
      </c>
      <c r="R1021" s="16">
        <v>12</v>
      </c>
      <c r="S1021" s="18" t="s">
        <v>43</v>
      </c>
      <c r="T1021" s="18"/>
      <c r="U1021" s="17">
        <v>8000</v>
      </c>
      <c r="V1021" s="18" t="s">
        <v>44</v>
      </c>
      <c r="W1021" s="18" t="s">
        <v>69</v>
      </c>
      <c r="X1021" s="16">
        <v>10</v>
      </c>
      <c r="Y1021" s="43" t="str">
        <f>HYPERLINK("https://api-enni.alpina.ru/FilePrivilegesApproval/986","https://api-enni.alpina.ru/FilePrivilegesApproval/986")</f>
        <v>https://api-enni.alpina.ru/FilePrivilegesApproval/986</v>
      </c>
      <c r="Z1021" s="18" t="s">
        <v>777</v>
      </c>
      <c r="AS1021" s="1">
        <f>IF($A1021&lt;&gt;0,1,0)</f>
        <v>0</v>
      </c>
      <c r="AT1021" s="1">
        <f>$A1021*$B1021</f>
        <v>0</v>
      </c>
      <c r="AU1021" s="1">
        <f>$A1021*$O1021</f>
        <v>0</v>
      </c>
      <c r="AV1021" s="1">
        <f>IF($R1021=0,0,INT($A1021/$R1021))</f>
        <v>0</v>
      </c>
      <c r="AW1021" s="1">
        <f>$A1021-$AV1021*$R1021</f>
        <v>0</v>
      </c>
    </row>
    <row r="1022" ht="21.95" customHeight="1" outlineLevel="3" s="1" customFormat="1">
      <c r="A1022" s="15"/>
      <c r="B1022" s="16">
        <v>956</v>
      </c>
      <c r="C1022" s="17">
        <v>1338</v>
      </c>
      <c r="D1022" s="16">
        <v>31748</v>
      </c>
      <c r="E1022" s="18"/>
      <c r="F1022" s="18" t="s">
        <v>3339</v>
      </c>
      <c r="G1022" s="18" t="s">
        <v>3340</v>
      </c>
      <c r="H1022" s="18" t="s">
        <v>95</v>
      </c>
      <c r="I1022" s="18" t="s">
        <v>74</v>
      </c>
      <c r="J1022" s="16">
        <v>2024</v>
      </c>
      <c r="K1022" s="18" t="s">
        <v>3341</v>
      </c>
      <c r="L1022" s="16">
        <v>9785206003840</v>
      </c>
      <c r="M1022" s="18" t="s">
        <v>3342</v>
      </c>
      <c r="N1022" s="16">
        <v>192</v>
      </c>
      <c r="O1022" s="19">
        <v>0.43</v>
      </c>
      <c r="P1022" s="16">
        <v>170</v>
      </c>
      <c r="Q1022" s="16">
        <v>240</v>
      </c>
      <c r="R1022" s="16">
        <v>10</v>
      </c>
      <c r="S1022" s="18" t="s">
        <v>123</v>
      </c>
      <c r="T1022" s="18"/>
      <c r="U1022" s="17">
        <v>2005</v>
      </c>
      <c r="V1022" s="18" t="s">
        <v>77</v>
      </c>
      <c r="W1022" s="18" t="s">
        <v>45</v>
      </c>
      <c r="X1022" s="16">
        <v>22</v>
      </c>
      <c r="Y1022" s="43" t="str">
        <f>HYPERLINK("","")</f>
      </c>
      <c r="Z1022" s="18"/>
      <c r="AS1022" s="1">
        <f>IF($A1022&lt;&gt;0,1,0)</f>
        <v>0</v>
      </c>
      <c r="AT1022" s="1">
        <f>$A1022*$B1022</f>
        <v>0</v>
      </c>
      <c r="AU1022" s="1">
        <f>$A1022*$O1022</f>
        <v>0</v>
      </c>
      <c r="AV1022" s="1">
        <f>IF($R1022=0,0,INT($A1022/$R1022))</f>
        <v>0</v>
      </c>
      <c r="AW1022" s="1">
        <f>$A1022-$AV1022*$R1022</f>
        <v>0</v>
      </c>
    </row>
    <row r="1023" ht="24.95" customHeight="1" outlineLevel="3" s="1" customFormat="1">
      <c r="A1023" s="15"/>
      <c r="B1023" s="16">
        <v>790</v>
      </c>
      <c r="C1023" s="17">
        <v>1146</v>
      </c>
      <c r="D1023" s="16">
        <v>25413</v>
      </c>
      <c r="E1023" s="18"/>
      <c r="F1023" s="18" t="s">
        <v>3343</v>
      </c>
      <c r="G1023" s="18" t="s">
        <v>3344</v>
      </c>
      <c r="H1023" s="18" t="s">
        <v>73</v>
      </c>
      <c r="I1023" s="18" t="s">
        <v>74</v>
      </c>
      <c r="J1023" s="16">
        <v>2023</v>
      </c>
      <c r="K1023" s="18" t="s">
        <v>3345</v>
      </c>
      <c r="L1023" s="16">
        <v>9785001396697</v>
      </c>
      <c r="M1023" s="18" t="s">
        <v>3346</v>
      </c>
      <c r="N1023" s="16">
        <v>398</v>
      </c>
      <c r="O1023" s="19">
        <v>0.48</v>
      </c>
      <c r="P1023" s="16">
        <v>140</v>
      </c>
      <c r="Q1023" s="16">
        <v>210</v>
      </c>
      <c r="R1023" s="16">
        <v>12</v>
      </c>
      <c r="S1023" s="18" t="s">
        <v>43</v>
      </c>
      <c r="T1023" s="18"/>
      <c r="U1023" s="17">
        <v>2000</v>
      </c>
      <c r="V1023" s="18" t="s">
        <v>44</v>
      </c>
      <c r="W1023" s="18" t="s">
        <v>91</v>
      </c>
      <c r="X1023" s="16">
        <v>10</v>
      </c>
      <c r="Y1023" s="43" t="str">
        <f>HYPERLINK("https://api-enni.alpina.ru/FilePrivilegesApproval/241","https://api-enni.alpina.ru/FilePrivilegesApproval/241")</f>
        <v>https://api-enni.alpina.ru/FilePrivilegesApproval/241</v>
      </c>
      <c r="Z1023" s="18"/>
      <c r="AS1023" s="1">
        <f>IF($A1023&lt;&gt;0,1,0)</f>
        <v>0</v>
      </c>
      <c r="AT1023" s="1">
        <f>$A1023*$B1023</f>
        <v>0</v>
      </c>
      <c r="AU1023" s="1">
        <f>$A1023*$O1023</f>
        <v>0</v>
      </c>
      <c r="AV1023" s="1">
        <f>IF($R1023=0,0,INT($A1023/$R1023))</f>
        <v>0</v>
      </c>
      <c r="AW1023" s="1">
        <f>$A1023-$AV1023*$R1023</f>
        <v>0</v>
      </c>
    </row>
    <row r="1024" ht="24.95" customHeight="1" outlineLevel="3" s="1" customFormat="1">
      <c r="A1024" s="15"/>
      <c r="B1024" s="16">
        <v>890</v>
      </c>
      <c r="C1024" s="17">
        <v>1246</v>
      </c>
      <c r="D1024" s="16">
        <v>22772</v>
      </c>
      <c r="E1024" s="18"/>
      <c r="F1024" s="18" t="s">
        <v>3347</v>
      </c>
      <c r="G1024" s="18" t="s">
        <v>3348</v>
      </c>
      <c r="H1024" s="18" t="s">
        <v>95</v>
      </c>
      <c r="I1024" s="18" t="s">
        <v>74</v>
      </c>
      <c r="J1024" s="16">
        <v>2022</v>
      </c>
      <c r="K1024" s="18" t="s">
        <v>3349</v>
      </c>
      <c r="L1024" s="16">
        <v>9785907470897</v>
      </c>
      <c r="M1024" s="18" t="s">
        <v>3350</v>
      </c>
      <c r="N1024" s="16">
        <v>112</v>
      </c>
      <c r="O1024" s="19">
        <v>0.31</v>
      </c>
      <c r="P1024" s="16">
        <v>168</v>
      </c>
      <c r="Q1024" s="16">
        <v>241</v>
      </c>
      <c r="R1024" s="16">
        <v>12</v>
      </c>
      <c r="S1024" s="18" t="s">
        <v>123</v>
      </c>
      <c r="T1024" s="18"/>
      <c r="U1024" s="17">
        <v>1500</v>
      </c>
      <c r="V1024" s="18" t="s">
        <v>77</v>
      </c>
      <c r="W1024" s="18" t="s">
        <v>91</v>
      </c>
      <c r="X1024" s="16">
        <v>10</v>
      </c>
      <c r="Y1024" s="43" t="str">
        <f>HYPERLINK("https://api-enni.alpina.ru/FilePrivilegesApproval/129","https://api-enni.alpina.ru/FilePrivilegesApproval/129")</f>
        <v>https://api-enni.alpina.ru/FilePrivilegesApproval/129</v>
      </c>
      <c r="Z1024" s="18"/>
      <c r="AS1024" s="1">
        <f>IF($A1024&lt;&gt;0,1,0)</f>
        <v>0</v>
      </c>
      <c r="AT1024" s="1">
        <f>$A1024*$B1024</f>
        <v>0</v>
      </c>
      <c r="AU1024" s="1">
        <f>$A1024*$O1024</f>
        <v>0</v>
      </c>
      <c r="AV1024" s="1">
        <f>IF($R1024=0,0,INT($A1024/$R1024))</f>
        <v>0</v>
      </c>
      <c r="AW1024" s="1">
        <f>$A1024-$AV1024*$R1024</f>
        <v>0</v>
      </c>
    </row>
    <row r="1025" ht="24.95" customHeight="1" outlineLevel="3" s="1" customFormat="1">
      <c r="A1025" s="15"/>
      <c r="B1025" s="17">
        <v>1515</v>
      </c>
      <c r="C1025" s="17">
        <v>1970</v>
      </c>
      <c r="D1025" s="16">
        <v>35880</v>
      </c>
      <c r="E1025" s="18"/>
      <c r="F1025" s="18" t="s">
        <v>3351</v>
      </c>
      <c r="G1025" s="18" t="s">
        <v>3352</v>
      </c>
      <c r="H1025" s="18" t="s">
        <v>95</v>
      </c>
      <c r="I1025" s="18"/>
      <c r="J1025" s="16">
        <v>2025</v>
      </c>
      <c r="K1025" s="18" t="s">
        <v>3353</v>
      </c>
      <c r="L1025" s="16">
        <v>9785206006100</v>
      </c>
      <c r="M1025" s="18" t="s">
        <v>3354</v>
      </c>
      <c r="N1025" s="16">
        <v>264</v>
      </c>
      <c r="O1025" s="19">
        <v>0.85</v>
      </c>
      <c r="P1025" s="16">
        <v>200</v>
      </c>
      <c r="Q1025" s="16">
        <v>270</v>
      </c>
      <c r="R1025" s="16">
        <v>6</v>
      </c>
      <c r="S1025" s="18" t="s">
        <v>328</v>
      </c>
      <c r="T1025" s="18"/>
      <c r="U1025" s="17">
        <v>1005</v>
      </c>
      <c r="V1025" s="18" t="s">
        <v>77</v>
      </c>
      <c r="W1025" s="18" t="s">
        <v>45</v>
      </c>
      <c r="X1025" s="16">
        <v>22</v>
      </c>
      <c r="Y1025" s="43" t="str">
        <f>HYPERLINK("","")</f>
      </c>
      <c r="Z1025" s="18"/>
      <c r="AS1025" s="1">
        <f>IF($A1025&lt;&gt;0,1,0)</f>
        <v>0</v>
      </c>
      <c r="AT1025" s="1">
        <f>$A1025*$B1025</f>
        <v>0</v>
      </c>
      <c r="AU1025" s="1">
        <f>$A1025*$O1025</f>
        <v>0</v>
      </c>
      <c r="AV1025" s="1">
        <f>IF($R1025=0,0,INT($A1025/$R1025))</f>
        <v>0</v>
      </c>
      <c r="AW1025" s="1">
        <f>$A1025-$AV1025*$R1025</f>
        <v>0</v>
      </c>
    </row>
    <row r="1026" ht="24.95" customHeight="1" outlineLevel="3" s="1" customFormat="1">
      <c r="A1026" s="15"/>
      <c r="B1026" s="16">
        <v>940</v>
      </c>
      <c r="C1026" s="17">
        <v>1316</v>
      </c>
      <c r="D1026" s="16">
        <v>19209</v>
      </c>
      <c r="E1026" s="18"/>
      <c r="F1026" s="18" t="s">
        <v>3355</v>
      </c>
      <c r="G1026" s="18" t="s">
        <v>3356</v>
      </c>
      <c r="H1026" s="18" t="s">
        <v>95</v>
      </c>
      <c r="I1026" s="18" t="s">
        <v>74</v>
      </c>
      <c r="J1026" s="16">
        <v>2022</v>
      </c>
      <c r="K1026" s="18" t="s">
        <v>3357</v>
      </c>
      <c r="L1026" s="16">
        <v>9785907470125</v>
      </c>
      <c r="M1026" s="18" t="s">
        <v>3358</v>
      </c>
      <c r="N1026" s="16">
        <v>328</v>
      </c>
      <c r="O1026" s="19">
        <v>0.76</v>
      </c>
      <c r="P1026" s="16">
        <v>168</v>
      </c>
      <c r="Q1026" s="16">
        <v>241</v>
      </c>
      <c r="R1026" s="16">
        <v>5</v>
      </c>
      <c r="S1026" s="18" t="s">
        <v>123</v>
      </c>
      <c r="T1026" s="18"/>
      <c r="U1026" s="17">
        <v>1500</v>
      </c>
      <c r="V1026" s="18" t="s">
        <v>77</v>
      </c>
      <c r="W1026" s="18" t="s">
        <v>91</v>
      </c>
      <c r="X1026" s="16">
        <v>10</v>
      </c>
      <c r="Y1026" s="43" t="str">
        <f>HYPERLINK("https://api-enni.alpina.ru/FilePrivilegesApproval/708","https://api-enni.alpina.ru/FilePrivilegesApproval/708")</f>
        <v>https://api-enni.alpina.ru/FilePrivilegesApproval/708</v>
      </c>
      <c r="Z1026" s="18"/>
      <c r="AS1026" s="1">
        <f>IF($A1026&lt;&gt;0,1,0)</f>
        <v>0</v>
      </c>
      <c r="AT1026" s="1">
        <f>$A1026*$B1026</f>
        <v>0</v>
      </c>
      <c r="AU1026" s="1">
        <f>$A1026*$O1026</f>
        <v>0</v>
      </c>
      <c r="AV1026" s="1">
        <f>IF($R1026=0,0,INT($A1026/$R1026))</f>
        <v>0</v>
      </c>
      <c r="AW1026" s="1">
        <f>$A1026-$AV1026*$R1026</f>
        <v>0</v>
      </c>
    </row>
    <row r="1027" ht="21.95" customHeight="1" outlineLevel="3" s="1" customFormat="1">
      <c r="A1027" s="15"/>
      <c r="B1027" s="16">
        <v>890</v>
      </c>
      <c r="C1027" s="17">
        <v>1246</v>
      </c>
      <c r="D1027" s="16">
        <v>20613</v>
      </c>
      <c r="E1027" s="18"/>
      <c r="F1027" s="18" t="s">
        <v>3194</v>
      </c>
      <c r="G1027" s="18" t="s">
        <v>3359</v>
      </c>
      <c r="H1027" s="18" t="s">
        <v>95</v>
      </c>
      <c r="I1027" s="18"/>
      <c r="J1027" s="16">
        <v>2021</v>
      </c>
      <c r="K1027" s="18" t="s">
        <v>3360</v>
      </c>
      <c r="L1027" s="16">
        <v>9785907394186</v>
      </c>
      <c r="M1027" s="18" t="s">
        <v>3361</v>
      </c>
      <c r="N1027" s="16">
        <v>240</v>
      </c>
      <c r="O1027" s="19">
        <v>0.46</v>
      </c>
      <c r="P1027" s="16">
        <v>150</v>
      </c>
      <c r="Q1027" s="16">
        <v>220</v>
      </c>
      <c r="R1027" s="16">
        <v>10</v>
      </c>
      <c r="S1027" s="18" t="s">
        <v>43</v>
      </c>
      <c r="T1027" s="18"/>
      <c r="U1027" s="17">
        <v>3000</v>
      </c>
      <c r="V1027" s="18" t="s">
        <v>77</v>
      </c>
      <c r="W1027" s="18" t="s">
        <v>91</v>
      </c>
      <c r="X1027" s="16">
        <v>10</v>
      </c>
      <c r="Y1027" s="43" t="str">
        <f>HYPERLINK("","")</f>
      </c>
      <c r="Z1027" s="18"/>
      <c r="AS1027" s="1">
        <f>IF($A1027&lt;&gt;0,1,0)</f>
        <v>0</v>
      </c>
      <c r="AT1027" s="1">
        <f>$A1027*$B1027</f>
        <v>0</v>
      </c>
      <c r="AU1027" s="1">
        <f>$A1027*$O1027</f>
        <v>0</v>
      </c>
      <c r="AV1027" s="1">
        <f>IF($R1027=0,0,INT($A1027/$R1027))</f>
        <v>0</v>
      </c>
      <c r="AW1027" s="1">
        <f>$A1027-$AV1027*$R1027</f>
        <v>0</v>
      </c>
    </row>
    <row r="1028" ht="24.95" customHeight="1" outlineLevel="3" s="1" customFormat="1">
      <c r="A1028" s="15"/>
      <c r="B1028" s="16">
        <v>790</v>
      </c>
      <c r="C1028" s="17">
        <v>1146</v>
      </c>
      <c r="D1028" s="16">
        <v>25132</v>
      </c>
      <c r="E1028" s="18"/>
      <c r="F1028" s="18" t="s">
        <v>3362</v>
      </c>
      <c r="G1028" s="18" t="s">
        <v>3363</v>
      </c>
      <c r="H1028" s="18" t="s">
        <v>86</v>
      </c>
      <c r="I1028" s="18" t="s">
        <v>74</v>
      </c>
      <c r="J1028" s="16">
        <v>2025</v>
      </c>
      <c r="K1028" s="18" t="s">
        <v>3364</v>
      </c>
      <c r="L1028" s="16">
        <v>9785961476996</v>
      </c>
      <c r="M1028" s="18" t="s">
        <v>3365</v>
      </c>
      <c r="N1028" s="16">
        <v>384</v>
      </c>
      <c r="O1028" s="19">
        <v>0.57</v>
      </c>
      <c r="P1028" s="16">
        <v>150</v>
      </c>
      <c r="Q1028" s="16">
        <v>220</v>
      </c>
      <c r="R1028" s="16">
        <v>5</v>
      </c>
      <c r="S1028" s="18" t="s">
        <v>43</v>
      </c>
      <c r="T1028" s="18"/>
      <c r="U1028" s="17">
        <v>1000</v>
      </c>
      <c r="V1028" s="18" t="s">
        <v>77</v>
      </c>
      <c r="W1028" s="18" t="s">
        <v>91</v>
      </c>
      <c r="X1028" s="16">
        <v>10</v>
      </c>
      <c r="Y1028" s="43" t="str">
        <f>HYPERLINK("https://api-enni.alpina.ru/FilePrivilegesApproval/700","https://api-enni.alpina.ru/FilePrivilegesApproval/700")</f>
        <v>https://api-enni.alpina.ru/FilePrivilegesApproval/700</v>
      </c>
      <c r="Z1028" s="18"/>
      <c r="AS1028" s="1">
        <f>IF($A1028&lt;&gt;0,1,0)</f>
        <v>0</v>
      </c>
      <c r="AT1028" s="1">
        <f>$A1028*$B1028</f>
        <v>0</v>
      </c>
      <c r="AU1028" s="1">
        <f>$A1028*$O1028</f>
        <v>0</v>
      </c>
      <c r="AV1028" s="1">
        <f>IF($R1028=0,0,INT($A1028/$R1028))</f>
        <v>0</v>
      </c>
      <c r="AW1028" s="1">
        <f>$A1028-$AV1028*$R1028</f>
        <v>0</v>
      </c>
    </row>
    <row r="1029" ht="24.95" customHeight="1" outlineLevel="3" s="1" customFormat="1">
      <c r="A1029" s="15"/>
      <c r="B1029" s="16">
        <v>790</v>
      </c>
      <c r="C1029" s="17">
        <v>1146</v>
      </c>
      <c r="D1029" s="16">
        <v>17404</v>
      </c>
      <c r="E1029" s="18"/>
      <c r="F1029" s="18" t="s">
        <v>3366</v>
      </c>
      <c r="G1029" s="18" t="s">
        <v>3367</v>
      </c>
      <c r="H1029" s="18" t="s">
        <v>73</v>
      </c>
      <c r="I1029" s="18" t="s">
        <v>74</v>
      </c>
      <c r="J1029" s="16">
        <v>2025</v>
      </c>
      <c r="K1029" s="18" t="s">
        <v>3368</v>
      </c>
      <c r="L1029" s="16">
        <v>9785001392880</v>
      </c>
      <c r="M1029" s="18" t="s">
        <v>3369</v>
      </c>
      <c r="N1029" s="16">
        <v>438</v>
      </c>
      <c r="O1029" s="19">
        <v>0.63</v>
      </c>
      <c r="P1029" s="16">
        <v>150</v>
      </c>
      <c r="Q1029" s="16">
        <v>220</v>
      </c>
      <c r="R1029" s="16">
        <v>5</v>
      </c>
      <c r="S1029" s="18" t="s">
        <v>43</v>
      </c>
      <c r="T1029" s="18"/>
      <c r="U1029" s="17">
        <v>1000</v>
      </c>
      <c r="V1029" s="18" t="s">
        <v>77</v>
      </c>
      <c r="W1029" s="18" t="s">
        <v>69</v>
      </c>
      <c r="X1029" s="16">
        <v>10</v>
      </c>
      <c r="Y1029" s="43" t="str">
        <f>HYPERLINK("https://api-enni.alpina.ru/FilePrivilegesApproval/259","https://api-enni.alpina.ru/FilePrivilegesApproval/259")</f>
        <v>https://api-enni.alpina.ru/FilePrivilegesApproval/259</v>
      </c>
      <c r="Z1029" s="18"/>
      <c r="AS1029" s="1">
        <f>IF($A1029&lt;&gt;0,1,0)</f>
        <v>0</v>
      </c>
      <c r="AT1029" s="1">
        <f>$A1029*$B1029</f>
        <v>0</v>
      </c>
      <c r="AU1029" s="1">
        <f>$A1029*$O1029</f>
        <v>0</v>
      </c>
      <c r="AV1029" s="1">
        <f>IF($R1029=0,0,INT($A1029/$R1029))</f>
        <v>0</v>
      </c>
      <c r="AW1029" s="1">
        <f>$A1029-$AV1029*$R1029</f>
        <v>0</v>
      </c>
    </row>
    <row r="1030" ht="24.95" customHeight="1" outlineLevel="3" s="1" customFormat="1">
      <c r="A1030" s="15"/>
      <c r="B1030" s="16">
        <v>790</v>
      </c>
      <c r="C1030" s="17">
        <v>1146</v>
      </c>
      <c r="D1030" s="16">
        <v>20710</v>
      </c>
      <c r="E1030" s="18"/>
      <c r="F1030" s="18" t="s">
        <v>3370</v>
      </c>
      <c r="G1030" s="18" t="s">
        <v>3371</v>
      </c>
      <c r="H1030" s="18" t="s">
        <v>86</v>
      </c>
      <c r="I1030" s="18"/>
      <c r="J1030" s="16">
        <v>2025</v>
      </c>
      <c r="K1030" s="18" t="s">
        <v>3372</v>
      </c>
      <c r="L1030" s="16">
        <v>9785961473667</v>
      </c>
      <c r="M1030" s="18" t="s">
        <v>3373</v>
      </c>
      <c r="N1030" s="16">
        <v>482</v>
      </c>
      <c r="O1030" s="19">
        <v>0.67</v>
      </c>
      <c r="P1030" s="16">
        <v>150</v>
      </c>
      <c r="Q1030" s="16">
        <v>220</v>
      </c>
      <c r="R1030" s="16">
        <v>8</v>
      </c>
      <c r="S1030" s="18" t="s">
        <v>43</v>
      </c>
      <c r="T1030" s="18"/>
      <c r="U1030" s="17">
        <v>5000</v>
      </c>
      <c r="V1030" s="18" t="s">
        <v>77</v>
      </c>
      <c r="W1030" s="18" t="s">
        <v>69</v>
      </c>
      <c r="X1030" s="16">
        <v>10</v>
      </c>
      <c r="Y1030" s="43" t="str">
        <f>HYPERLINK("https://api-enni.alpina.ru/FilePrivilegesApproval/141","https://api-enni.alpina.ru/FilePrivilegesApproval/141")</f>
        <v>https://api-enni.alpina.ru/FilePrivilegesApproval/141</v>
      </c>
      <c r="Z1030" s="18"/>
      <c r="AS1030" s="1">
        <f>IF($A1030&lt;&gt;0,1,0)</f>
        <v>0</v>
      </c>
      <c r="AT1030" s="1">
        <f>$A1030*$B1030</f>
        <v>0</v>
      </c>
      <c r="AU1030" s="1">
        <f>$A1030*$O1030</f>
        <v>0</v>
      </c>
      <c r="AV1030" s="1">
        <f>IF($R1030=0,0,INT($A1030/$R1030))</f>
        <v>0</v>
      </c>
      <c r="AW1030" s="1">
        <f>$A1030-$AV1030*$R1030</f>
        <v>0</v>
      </c>
    </row>
    <row r="1031" ht="24.95" customHeight="1" outlineLevel="3" s="1" customFormat="1">
      <c r="A1031" s="15"/>
      <c r="B1031" s="16">
        <v>390</v>
      </c>
      <c r="C1031" s="16">
        <v>624</v>
      </c>
      <c r="D1031" s="16">
        <v>32226</v>
      </c>
      <c r="E1031" s="18"/>
      <c r="F1031" s="18" t="s">
        <v>3370</v>
      </c>
      <c r="G1031" s="18" t="s">
        <v>3374</v>
      </c>
      <c r="H1031" s="18" t="s">
        <v>86</v>
      </c>
      <c r="I1031" s="18"/>
      <c r="J1031" s="16">
        <v>2025</v>
      </c>
      <c r="K1031" s="18" t="s">
        <v>3375</v>
      </c>
      <c r="L1031" s="16">
        <v>9785006301696</v>
      </c>
      <c r="M1031" s="18" t="s">
        <v>3376</v>
      </c>
      <c r="N1031" s="16">
        <v>592</v>
      </c>
      <c r="O1031" s="19">
        <v>0.38</v>
      </c>
      <c r="P1031" s="16">
        <v>120</v>
      </c>
      <c r="Q1031" s="16">
        <v>170</v>
      </c>
      <c r="R1031" s="16">
        <v>6</v>
      </c>
      <c r="S1031" s="18" t="s">
        <v>190</v>
      </c>
      <c r="T1031" s="18" t="s">
        <v>491</v>
      </c>
      <c r="U1031" s="17">
        <v>3000</v>
      </c>
      <c r="V1031" s="18" t="s">
        <v>44</v>
      </c>
      <c r="W1031" s="18" t="s">
        <v>69</v>
      </c>
      <c r="X1031" s="16">
        <v>10</v>
      </c>
      <c r="Y1031" s="43" t="str">
        <f>HYPERLINK("https://api-enni.alpina.ru/FilePrivilegesApproval/758","https://api-enni.alpina.ru/FilePrivilegesApproval/758")</f>
        <v>https://api-enni.alpina.ru/FilePrivilegesApproval/758</v>
      </c>
      <c r="Z1031" s="18"/>
      <c r="AS1031" s="1">
        <f>IF($A1031&lt;&gt;0,1,0)</f>
        <v>0</v>
      </c>
      <c r="AT1031" s="1">
        <f>$A1031*$B1031</f>
        <v>0</v>
      </c>
      <c r="AU1031" s="1">
        <f>$A1031*$O1031</f>
        <v>0</v>
      </c>
      <c r="AV1031" s="1">
        <f>IF($R1031=0,0,INT($A1031/$R1031))</f>
        <v>0</v>
      </c>
      <c r="AW1031" s="1">
        <f>$A1031-$AV1031*$R1031</f>
        <v>0</v>
      </c>
    </row>
    <row r="1032" ht="24.95" customHeight="1" outlineLevel="3" s="1" customFormat="1">
      <c r="A1032" s="15"/>
      <c r="B1032" s="17">
        <v>1190</v>
      </c>
      <c r="C1032" s="17">
        <v>1606</v>
      </c>
      <c r="D1032" s="16">
        <v>36459</v>
      </c>
      <c r="E1032" s="18"/>
      <c r="F1032" s="18" t="s">
        <v>960</v>
      </c>
      <c r="G1032" s="18" t="s">
        <v>961</v>
      </c>
      <c r="H1032" s="18" t="s">
        <v>95</v>
      </c>
      <c r="I1032" s="18" t="s">
        <v>74</v>
      </c>
      <c r="J1032" s="16">
        <v>2026</v>
      </c>
      <c r="K1032" s="18" t="s">
        <v>962</v>
      </c>
      <c r="L1032" s="16">
        <v>9785206006520</v>
      </c>
      <c r="M1032" s="18" t="s">
        <v>963</v>
      </c>
      <c r="N1032" s="16">
        <v>336</v>
      </c>
      <c r="O1032" s="19">
        <v>0.49</v>
      </c>
      <c r="P1032" s="16">
        <v>150</v>
      </c>
      <c r="Q1032" s="16">
        <v>220</v>
      </c>
      <c r="R1032" s="16">
        <v>10</v>
      </c>
      <c r="S1032" s="18" t="s">
        <v>43</v>
      </c>
      <c r="T1032" s="18"/>
      <c r="U1032" s="17">
        <v>1000</v>
      </c>
      <c r="V1032" s="18" t="s">
        <v>77</v>
      </c>
      <c r="W1032" s="18" t="s">
        <v>45</v>
      </c>
      <c r="X1032" s="16">
        <v>10</v>
      </c>
      <c r="Y1032" s="43" t="str">
        <f>HYPERLINK("","")</f>
      </c>
      <c r="Z1032" s="18" t="s">
        <v>246</v>
      </c>
      <c r="AS1032" s="1">
        <f>IF($A1032&lt;&gt;0,1,0)</f>
        <v>0</v>
      </c>
      <c r="AT1032" s="1">
        <f>$A1032*$B1032</f>
        <v>0</v>
      </c>
      <c r="AU1032" s="1">
        <f>$A1032*$O1032</f>
        <v>0</v>
      </c>
      <c r="AV1032" s="1">
        <f>IF($R1032=0,0,INT($A1032/$R1032))</f>
        <v>0</v>
      </c>
      <c r="AW1032" s="1">
        <f>$A1032-$AV1032*$R1032</f>
        <v>0</v>
      </c>
    </row>
    <row r="1033" ht="21.95" customHeight="1" outlineLevel="3" s="1" customFormat="1">
      <c r="A1033" s="15"/>
      <c r="B1033" s="17">
        <v>1515</v>
      </c>
      <c r="C1033" s="17">
        <v>1970</v>
      </c>
      <c r="D1033" s="16">
        <v>28949</v>
      </c>
      <c r="E1033" s="18"/>
      <c r="F1033" s="18" t="s">
        <v>3377</v>
      </c>
      <c r="G1033" s="18" t="s">
        <v>3378</v>
      </c>
      <c r="H1033" s="18" t="s">
        <v>95</v>
      </c>
      <c r="I1033" s="18"/>
      <c r="J1033" s="16">
        <v>2024</v>
      </c>
      <c r="K1033" s="18" t="s">
        <v>3379</v>
      </c>
      <c r="L1033" s="16">
        <v>9785206002447</v>
      </c>
      <c r="M1033" s="18" t="s">
        <v>3380</v>
      </c>
      <c r="N1033" s="16">
        <v>456</v>
      </c>
      <c r="O1033" s="19">
        <v>1.03</v>
      </c>
      <c r="P1033" s="16">
        <v>170</v>
      </c>
      <c r="Q1033" s="16">
        <v>250</v>
      </c>
      <c r="R1033" s="16">
        <v>4</v>
      </c>
      <c r="S1033" s="18" t="s">
        <v>123</v>
      </c>
      <c r="T1033" s="18"/>
      <c r="U1033" s="17">
        <v>1505</v>
      </c>
      <c r="V1033" s="18" t="s">
        <v>77</v>
      </c>
      <c r="W1033" s="18" t="s">
        <v>45</v>
      </c>
      <c r="X1033" s="16">
        <v>22</v>
      </c>
      <c r="Y1033" s="43" t="str">
        <f>HYPERLINK("","")</f>
      </c>
      <c r="Z1033" s="18"/>
      <c r="AS1033" s="1">
        <f>IF($A1033&lt;&gt;0,1,0)</f>
        <v>0</v>
      </c>
      <c r="AT1033" s="1">
        <f>$A1033*$B1033</f>
        <v>0</v>
      </c>
      <c r="AU1033" s="1">
        <f>$A1033*$O1033</f>
        <v>0</v>
      </c>
      <c r="AV1033" s="1">
        <f>IF($R1033=0,0,INT($A1033/$R1033))</f>
        <v>0</v>
      </c>
      <c r="AW1033" s="1">
        <f>$A1033-$AV1033*$R1033</f>
        <v>0</v>
      </c>
    </row>
    <row r="1034" ht="11.1" customHeight="1" outlineLevel="2">
      <c r="A1034" s="41" t="s">
        <v>3381</v>
      </c>
      <c r="B1034" s="41"/>
      <c r="C1034" s="41"/>
      <c r="D1034" s="41"/>
      <c r="E1034" s="41"/>
      <c r="F1034" s="41"/>
      <c r="G1034" s="41"/>
      <c r="H1034" s="41"/>
      <c r="I1034" s="41"/>
      <c r="J1034" s="41"/>
      <c r="K1034" s="41"/>
      <c r="L1034" s="41"/>
      <c r="M1034" s="41"/>
      <c r="N1034" s="41"/>
      <c r="O1034" s="41"/>
      <c r="P1034" s="41"/>
      <c r="Q1034" s="41"/>
      <c r="R1034" s="41"/>
      <c r="S1034" s="41"/>
      <c r="T1034" s="41"/>
      <c r="U1034" s="41"/>
      <c r="V1034" s="41"/>
      <c r="W1034" s="41"/>
      <c r="X1034" s="41"/>
      <c r="Y1034" s="41"/>
      <c r="Z1034" s="24"/>
    </row>
    <row r="1035" ht="24.95" customHeight="1" outlineLevel="3" s="1" customFormat="1">
      <c r="A1035" s="15"/>
      <c r="B1035" s="16">
        <v>990</v>
      </c>
      <c r="C1035" s="17">
        <v>1386</v>
      </c>
      <c r="D1035" s="16">
        <v>4968</v>
      </c>
      <c r="E1035" s="18"/>
      <c r="F1035" s="18" t="s">
        <v>686</v>
      </c>
      <c r="G1035" s="18" t="s">
        <v>3382</v>
      </c>
      <c r="H1035" s="18" t="s">
        <v>73</v>
      </c>
      <c r="I1035" s="18" t="s">
        <v>74</v>
      </c>
      <c r="J1035" s="16">
        <v>2025</v>
      </c>
      <c r="K1035" s="18" t="s">
        <v>3383</v>
      </c>
      <c r="L1035" s="16">
        <v>9785916717884</v>
      </c>
      <c r="M1035" s="18" t="s">
        <v>3384</v>
      </c>
      <c r="N1035" s="16">
        <v>406</v>
      </c>
      <c r="O1035" s="19">
        <v>0.61</v>
      </c>
      <c r="P1035" s="16">
        <v>153</v>
      </c>
      <c r="Q1035" s="16">
        <v>216</v>
      </c>
      <c r="R1035" s="16">
        <v>10</v>
      </c>
      <c r="S1035" s="18" t="s">
        <v>43</v>
      </c>
      <c r="T1035" s="18"/>
      <c r="U1035" s="17">
        <v>2000</v>
      </c>
      <c r="V1035" s="18" t="s">
        <v>77</v>
      </c>
      <c r="W1035" s="18" t="s">
        <v>91</v>
      </c>
      <c r="X1035" s="16">
        <v>10</v>
      </c>
      <c r="Y1035" s="43" t="str">
        <f>HYPERLINK("https://api-enni.alpina.ru/FilePrivilegesApproval/148","https://api-enni.alpina.ru/FilePrivilegesApproval/148")</f>
        <v>https://api-enni.alpina.ru/FilePrivilegesApproval/148</v>
      </c>
      <c r="Z1035" s="18"/>
      <c r="AS1035" s="1">
        <f>IF($A1035&lt;&gt;0,1,0)</f>
        <v>0</v>
      </c>
      <c r="AT1035" s="1">
        <f>$A1035*$B1035</f>
        <v>0</v>
      </c>
      <c r="AU1035" s="1">
        <f>$A1035*$O1035</f>
        <v>0</v>
      </c>
      <c r="AV1035" s="1">
        <f>IF($R1035=0,0,INT($A1035/$R1035))</f>
        <v>0</v>
      </c>
      <c r="AW1035" s="1">
        <f>$A1035-$AV1035*$R1035</f>
        <v>0</v>
      </c>
    </row>
    <row r="1036" ht="24.95" customHeight="1" outlineLevel="3" s="1" customFormat="1">
      <c r="A1036" s="15"/>
      <c r="B1036" s="16">
        <v>690</v>
      </c>
      <c r="C1036" s="17">
        <v>1035</v>
      </c>
      <c r="D1036" s="16">
        <v>18070</v>
      </c>
      <c r="E1036" s="18"/>
      <c r="F1036" s="18" t="s">
        <v>3385</v>
      </c>
      <c r="G1036" s="18" t="s">
        <v>3386</v>
      </c>
      <c r="H1036" s="18" t="s">
        <v>73</v>
      </c>
      <c r="I1036" s="18" t="s">
        <v>74</v>
      </c>
      <c r="J1036" s="16">
        <v>2021</v>
      </c>
      <c r="K1036" s="18" t="s">
        <v>3387</v>
      </c>
      <c r="L1036" s="16">
        <v>9785001393436</v>
      </c>
      <c r="M1036" s="18" t="s">
        <v>3388</v>
      </c>
      <c r="N1036" s="16">
        <v>548</v>
      </c>
      <c r="O1036" s="19">
        <v>0.62</v>
      </c>
      <c r="P1036" s="16">
        <v>146</v>
      </c>
      <c r="Q1036" s="16">
        <v>216</v>
      </c>
      <c r="R1036" s="16">
        <v>8</v>
      </c>
      <c r="S1036" s="18" t="s">
        <v>43</v>
      </c>
      <c r="T1036" s="18"/>
      <c r="U1036" s="17">
        <v>5000</v>
      </c>
      <c r="V1036" s="18" t="s">
        <v>77</v>
      </c>
      <c r="W1036" s="18" t="s">
        <v>91</v>
      </c>
      <c r="X1036" s="16">
        <v>10</v>
      </c>
      <c r="Y1036" s="43" t="str">
        <f>HYPERLINK("https://api-enni.alpina.ru/FilePrivilegesApproval/226","https://api-enni.alpina.ru/FilePrivilegesApproval/226")</f>
        <v>https://api-enni.alpina.ru/FilePrivilegesApproval/226</v>
      </c>
      <c r="Z1036" s="18"/>
      <c r="AS1036" s="1">
        <f>IF($A1036&lt;&gt;0,1,0)</f>
        <v>0</v>
      </c>
      <c r="AT1036" s="1">
        <f>$A1036*$B1036</f>
        <v>0</v>
      </c>
      <c r="AU1036" s="1">
        <f>$A1036*$O1036</f>
        <v>0</v>
      </c>
      <c r="AV1036" s="1">
        <f>IF($R1036=0,0,INT($A1036/$R1036))</f>
        <v>0</v>
      </c>
      <c r="AW1036" s="1">
        <f>$A1036-$AV1036*$R1036</f>
        <v>0</v>
      </c>
    </row>
    <row r="1037" ht="24.95" customHeight="1" outlineLevel="3" s="1" customFormat="1">
      <c r="A1037" s="15"/>
      <c r="B1037" s="16">
        <v>430</v>
      </c>
      <c r="C1037" s="16">
        <v>666</v>
      </c>
      <c r="D1037" s="16">
        <v>30263</v>
      </c>
      <c r="E1037" s="18"/>
      <c r="F1037" s="18" t="s">
        <v>3389</v>
      </c>
      <c r="G1037" s="18" t="s">
        <v>3390</v>
      </c>
      <c r="H1037" s="18" t="s">
        <v>73</v>
      </c>
      <c r="I1037" s="18" t="s">
        <v>74</v>
      </c>
      <c r="J1037" s="16">
        <v>2024</v>
      </c>
      <c r="K1037" s="18" t="s">
        <v>3391</v>
      </c>
      <c r="L1037" s="16">
        <v>9785002232390</v>
      </c>
      <c r="M1037" s="18" t="s">
        <v>3392</v>
      </c>
      <c r="N1037" s="16">
        <v>528</v>
      </c>
      <c r="O1037" s="19">
        <v>0.35</v>
      </c>
      <c r="P1037" s="16">
        <v>120</v>
      </c>
      <c r="Q1037" s="16">
        <v>170</v>
      </c>
      <c r="R1037" s="16">
        <v>12</v>
      </c>
      <c r="S1037" s="18" t="s">
        <v>190</v>
      </c>
      <c r="T1037" s="18" t="s">
        <v>491</v>
      </c>
      <c r="U1037" s="17">
        <v>2000</v>
      </c>
      <c r="V1037" s="18" t="s">
        <v>44</v>
      </c>
      <c r="W1037" s="18" t="s">
        <v>91</v>
      </c>
      <c r="X1037" s="16">
        <v>10</v>
      </c>
      <c r="Y1037" s="43" t="str">
        <f>HYPERLINK("https://api-enni.alpina.ru/FilePrivilegesApproval/230","https://api-enni.alpina.ru/FilePrivilegesApproval/230")</f>
        <v>https://api-enni.alpina.ru/FilePrivilegesApproval/230</v>
      </c>
      <c r="Z1037" s="18"/>
      <c r="AS1037" s="1">
        <f>IF($A1037&lt;&gt;0,1,0)</f>
        <v>0</v>
      </c>
      <c r="AT1037" s="1">
        <f>$A1037*$B1037</f>
        <v>0</v>
      </c>
      <c r="AU1037" s="1">
        <f>$A1037*$O1037</f>
        <v>0</v>
      </c>
      <c r="AV1037" s="1">
        <f>IF($R1037=0,0,INT($A1037/$R1037))</f>
        <v>0</v>
      </c>
      <c r="AW1037" s="1">
        <f>$A1037-$AV1037*$R1037</f>
        <v>0</v>
      </c>
    </row>
    <row r="1038" ht="24.95" customHeight="1" outlineLevel="3" s="1" customFormat="1">
      <c r="A1038" s="15"/>
      <c r="B1038" s="16">
        <v>390</v>
      </c>
      <c r="C1038" s="16">
        <v>624</v>
      </c>
      <c r="D1038" s="16">
        <v>28538</v>
      </c>
      <c r="E1038" s="18"/>
      <c r="F1038" s="18" t="s">
        <v>3393</v>
      </c>
      <c r="G1038" s="18" t="s">
        <v>3394</v>
      </c>
      <c r="H1038" s="18" t="s">
        <v>73</v>
      </c>
      <c r="I1038" s="18"/>
      <c r="J1038" s="16">
        <v>2024</v>
      </c>
      <c r="K1038" s="18" t="s">
        <v>3395</v>
      </c>
      <c r="L1038" s="16">
        <v>9785002230211</v>
      </c>
      <c r="M1038" s="18" t="s">
        <v>3396</v>
      </c>
      <c r="N1038" s="16">
        <v>448</v>
      </c>
      <c r="O1038" s="19">
        <v>0.29</v>
      </c>
      <c r="P1038" s="16">
        <v>120</v>
      </c>
      <c r="Q1038" s="16">
        <v>170</v>
      </c>
      <c r="R1038" s="16">
        <v>14</v>
      </c>
      <c r="S1038" s="18" t="s">
        <v>190</v>
      </c>
      <c r="T1038" s="18" t="s">
        <v>491</v>
      </c>
      <c r="U1038" s="17">
        <v>2000</v>
      </c>
      <c r="V1038" s="18" t="s">
        <v>44</v>
      </c>
      <c r="W1038" s="18" t="s">
        <v>69</v>
      </c>
      <c r="X1038" s="16">
        <v>10</v>
      </c>
      <c r="Y1038" s="43" t="str">
        <f>HYPERLINK("https://api-enni.alpina.ru/FilePrivilegesApproval/273","https://api-enni.alpina.ru/FilePrivilegesApproval/273")</f>
        <v>https://api-enni.alpina.ru/FilePrivilegesApproval/273</v>
      </c>
      <c r="Z1038" s="18"/>
      <c r="AS1038" s="1">
        <f>IF($A1038&lt;&gt;0,1,0)</f>
        <v>0</v>
      </c>
      <c r="AT1038" s="1">
        <f>$A1038*$B1038</f>
        <v>0</v>
      </c>
      <c r="AU1038" s="1">
        <f>$A1038*$O1038</f>
        <v>0</v>
      </c>
      <c r="AV1038" s="1">
        <f>IF($R1038=0,0,INT($A1038/$R1038))</f>
        <v>0</v>
      </c>
      <c r="AW1038" s="1">
        <f>$A1038-$AV1038*$R1038</f>
        <v>0</v>
      </c>
    </row>
    <row r="1039" ht="24.95" customHeight="1" outlineLevel="3" s="1" customFormat="1">
      <c r="A1039" s="15"/>
      <c r="B1039" s="17">
        <v>2300</v>
      </c>
      <c r="C1039" s="17">
        <v>2990</v>
      </c>
      <c r="D1039" s="16">
        <v>7726</v>
      </c>
      <c r="E1039" s="18"/>
      <c r="F1039" s="18" t="s">
        <v>686</v>
      </c>
      <c r="G1039" s="18" t="s">
        <v>687</v>
      </c>
      <c r="H1039" s="18" t="s">
        <v>73</v>
      </c>
      <c r="I1039" s="18" t="s">
        <v>74</v>
      </c>
      <c r="J1039" s="16">
        <v>2026</v>
      </c>
      <c r="K1039" s="18" t="s">
        <v>688</v>
      </c>
      <c r="L1039" s="16">
        <v>9785916710007</v>
      </c>
      <c r="M1039" s="18" t="s">
        <v>689</v>
      </c>
      <c r="N1039" s="16">
        <v>558</v>
      </c>
      <c r="O1039" s="19">
        <v>1.46</v>
      </c>
      <c r="P1039" s="16">
        <v>200</v>
      </c>
      <c r="Q1039" s="16">
        <v>240</v>
      </c>
      <c r="R1039" s="16">
        <v>3</v>
      </c>
      <c r="S1039" s="18" t="s">
        <v>328</v>
      </c>
      <c r="T1039" s="18"/>
      <c r="U1039" s="17">
        <v>3000</v>
      </c>
      <c r="V1039" s="18" t="s">
        <v>77</v>
      </c>
      <c r="W1039" s="18" t="s">
        <v>69</v>
      </c>
      <c r="X1039" s="16">
        <v>10</v>
      </c>
      <c r="Y1039" s="43" t="str">
        <f>HYPERLINK("https://api-enni.alpina.ru/FilePrivilegesApproval/131","https://api-enni.alpina.ru/FilePrivilegesApproval/131")</f>
        <v>https://api-enni.alpina.ru/FilePrivilegesApproval/131</v>
      </c>
      <c r="Z1039" s="18" t="s">
        <v>690</v>
      </c>
      <c r="AS1039" s="1">
        <f>IF($A1039&lt;&gt;0,1,0)</f>
        <v>0</v>
      </c>
      <c r="AT1039" s="1">
        <f>$A1039*$B1039</f>
        <v>0</v>
      </c>
      <c r="AU1039" s="1">
        <f>$A1039*$O1039</f>
        <v>0</v>
      </c>
      <c r="AV1039" s="1">
        <f>IF($R1039=0,0,INT($A1039/$R1039))</f>
        <v>0</v>
      </c>
      <c r="AW1039" s="1">
        <f>$A1039-$AV1039*$R1039</f>
        <v>0</v>
      </c>
    </row>
    <row r="1040" ht="21.95" customHeight="1" outlineLevel="3" s="1" customFormat="1">
      <c r="A1040" s="15"/>
      <c r="B1040" s="16">
        <v>890</v>
      </c>
      <c r="C1040" s="17">
        <v>1246</v>
      </c>
      <c r="D1040" s="16">
        <v>33865</v>
      </c>
      <c r="E1040" s="18"/>
      <c r="F1040" s="18" t="s">
        <v>3397</v>
      </c>
      <c r="G1040" s="18" t="s">
        <v>3398</v>
      </c>
      <c r="H1040" s="18" t="s">
        <v>86</v>
      </c>
      <c r="I1040" s="18" t="s">
        <v>74</v>
      </c>
      <c r="J1040" s="16">
        <v>2026</v>
      </c>
      <c r="K1040" s="18" t="s">
        <v>3399</v>
      </c>
      <c r="L1040" s="16">
        <v>9785006305854</v>
      </c>
      <c r="M1040" s="18" t="s">
        <v>3400</v>
      </c>
      <c r="N1040" s="16">
        <v>460</v>
      </c>
      <c r="O1040" s="19">
        <v>0.65</v>
      </c>
      <c r="P1040" s="16">
        <v>150</v>
      </c>
      <c r="Q1040" s="16">
        <v>220</v>
      </c>
      <c r="R1040" s="16">
        <v>8</v>
      </c>
      <c r="S1040" s="18" t="s">
        <v>43</v>
      </c>
      <c r="T1040" s="18" t="s">
        <v>3401</v>
      </c>
      <c r="U1040" s="17">
        <v>3000</v>
      </c>
      <c r="V1040" s="18" t="s">
        <v>77</v>
      </c>
      <c r="W1040" s="18" t="s">
        <v>69</v>
      </c>
      <c r="X1040" s="16">
        <v>10</v>
      </c>
      <c r="Y1040" s="43" t="str">
        <f>HYPERLINK("","")</f>
      </c>
      <c r="Z1040" s="18" t="s">
        <v>753</v>
      </c>
      <c r="AS1040" s="1">
        <f>IF($A1040&lt;&gt;0,1,0)</f>
        <v>0</v>
      </c>
      <c r="AT1040" s="1">
        <f>$A1040*$B1040</f>
        <v>0</v>
      </c>
      <c r="AU1040" s="1">
        <f>$A1040*$O1040</f>
        <v>0</v>
      </c>
      <c r="AV1040" s="1">
        <f>IF($R1040=0,0,INT($A1040/$R1040))</f>
        <v>0</v>
      </c>
      <c r="AW1040" s="1">
        <f>$A1040-$AV1040*$R1040</f>
        <v>0</v>
      </c>
    </row>
    <row r="1041" ht="21.95" customHeight="1" outlineLevel="3" s="1" customFormat="1">
      <c r="A1041" s="15"/>
      <c r="B1041" s="17">
        <v>1240</v>
      </c>
      <c r="C1041" s="17">
        <v>1674</v>
      </c>
      <c r="D1041" s="16">
        <v>25906</v>
      </c>
      <c r="E1041" s="18"/>
      <c r="F1041" s="18" t="s">
        <v>793</v>
      </c>
      <c r="G1041" s="18" t="s">
        <v>794</v>
      </c>
      <c r="H1041" s="18" t="s">
        <v>73</v>
      </c>
      <c r="I1041" s="18" t="s">
        <v>74</v>
      </c>
      <c r="J1041" s="16">
        <v>2026</v>
      </c>
      <c r="K1041" s="18" t="s">
        <v>795</v>
      </c>
      <c r="L1041" s="16">
        <v>9785001396642</v>
      </c>
      <c r="M1041" s="18" t="s">
        <v>796</v>
      </c>
      <c r="N1041" s="16">
        <v>578</v>
      </c>
      <c r="O1041" s="19">
        <v>0.71</v>
      </c>
      <c r="P1041" s="16">
        <v>150</v>
      </c>
      <c r="Q1041" s="16">
        <v>220</v>
      </c>
      <c r="R1041" s="16">
        <v>8</v>
      </c>
      <c r="S1041" s="18" t="s">
        <v>43</v>
      </c>
      <c r="T1041" s="18"/>
      <c r="U1041" s="17">
        <v>3000</v>
      </c>
      <c r="V1041" s="18" t="s">
        <v>77</v>
      </c>
      <c r="W1041" s="18" t="s">
        <v>91</v>
      </c>
      <c r="X1041" s="16">
        <v>10</v>
      </c>
      <c r="Y1041" s="43" t="str">
        <f>HYPERLINK("","")</f>
      </c>
      <c r="Z1041" s="18" t="s">
        <v>246</v>
      </c>
      <c r="AS1041" s="1">
        <f>IF($A1041&lt;&gt;0,1,0)</f>
        <v>0</v>
      </c>
      <c r="AT1041" s="1">
        <f>$A1041*$B1041</f>
        <v>0</v>
      </c>
      <c r="AU1041" s="1">
        <f>$A1041*$O1041</f>
        <v>0</v>
      </c>
      <c r="AV1041" s="1">
        <f>IF($R1041=0,0,INT($A1041/$R1041))</f>
        <v>0</v>
      </c>
      <c r="AW1041" s="1">
        <f>$A1041-$AV1041*$R1041</f>
        <v>0</v>
      </c>
    </row>
    <row r="1042" ht="24.95" customHeight="1" outlineLevel="3" s="1" customFormat="1">
      <c r="A1042" s="15"/>
      <c r="B1042" s="16">
        <v>690</v>
      </c>
      <c r="C1042" s="17">
        <v>1035</v>
      </c>
      <c r="D1042" s="16">
        <v>35043</v>
      </c>
      <c r="E1042" s="18"/>
      <c r="F1042" s="18" t="s">
        <v>3402</v>
      </c>
      <c r="G1042" s="18" t="s">
        <v>3403</v>
      </c>
      <c r="H1042" s="18" t="s">
        <v>73</v>
      </c>
      <c r="I1042" s="18"/>
      <c r="J1042" s="16">
        <v>2026</v>
      </c>
      <c r="K1042" s="18" t="s">
        <v>3404</v>
      </c>
      <c r="L1042" s="16">
        <v>9785002237319</v>
      </c>
      <c r="M1042" s="18" t="s">
        <v>3405</v>
      </c>
      <c r="N1042" s="16">
        <v>288</v>
      </c>
      <c r="O1042" s="19">
        <v>0.45</v>
      </c>
      <c r="P1042" s="16">
        <v>150</v>
      </c>
      <c r="Q1042" s="16">
        <v>220</v>
      </c>
      <c r="R1042" s="16">
        <v>14</v>
      </c>
      <c r="S1042" s="18" t="s">
        <v>43</v>
      </c>
      <c r="T1042" s="18"/>
      <c r="U1042" s="17">
        <v>3000</v>
      </c>
      <c r="V1042" s="18" t="s">
        <v>77</v>
      </c>
      <c r="W1042" s="18" t="s">
        <v>91</v>
      </c>
      <c r="X1042" s="16">
        <v>10</v>
      </c>
      <c r="Y1042" s="43" t="str">
        <f>HYPERLINK("https://api-enni.alpina.ru/FilePrivilegesApproval/1186","https://api-enni.alpina.ru/FilePrivilegesApproval/1186")</f>
        <v>https://api-enni.alpina.ru/FilePrivilegesApproval/1186</v>
      </c>
      <c r="Z1042" s="18" t="s">
        <v>777</v>
      </c>
      <c r="AS1042" s="1">
        <f>IF($A1042&lt;&gt;0,1,0)</f>
        <v>0</v>
      </c>
      <c r="AT1042" s="1">
        <f>$A1042*$B1042</f>
        <v>0</v>
      </c>
      <c r="AU1042" s="1">
        <f>$A1042*$O1042</f>
        <v>0</v>
      </c>
      <c r="AV1042" s="1">
        <f>IF($R1042=0,0,INT($A1042/$R1042))</f>
        <v>0</v>
      </c>
      <c r="AW1042" s="1">
        <f>$A1042-$AV1042*$R1042</f>
        <v>0</v>
      </c>
    </row>
    <row r="1043" ht="24.95" customHeight="1" outlineLevel="3" s="1" customFormat="1">
      <c r="A1043" s="15"/>
      <c r="B1043" s="16">
        <v>440</v>
      </c>
      <c r="C1043" s="16">
        <v>682</v>
      </c>
      <c r="D1043" s="16">
        <v>30261</v>
      </c>
      <c r="E1043" s="18"/>
      <c r="F1043" s="18" t="s">
        <v>3406</v>
      </c>
      <c r="G1043" s="18" t="s">
        <v>3407</v>
      </c>
      <c r="H1043" s="18" t="s">
        <v>73</v>
      </c>
      <c r="I1043" s="18" t="s">
        <v>74</v>
      </c>
      <c r="J1043" s="16">
        <v>2026</v>
      </c>
      <c r="K1043" s="18" t="s">
        <v>3408</v>
      </c>
      <c r="L1043" s="16">
        <v>9785002232376</v>
      </c>
      <c r="M1043" s="18" t="s">
        <v>3409</v>
      </c>
      <c r="N1043" s="16">
        <v>384</v>
      </c>
      <c r="O1043" s="19">
        <v>0.25</v>
      </c>
      <c r="P1043" s="16">
        <v>120</v>
      </c>
      <c r="Q1043" s="16">
        <v>170</v>
      </c>
      <c r="R1043" s="16">
        <v>10</v>
      </c>
      <c r="S1043" s="18" t="s">
        <v>190</v>
      </c>
      <c r="T1043" s="18" t="s">
        <v>451</v>
      </c>
      <c r="U1043" s="17">
        <v>3000</v>
      </c>
      <c r="V1043" s="18" t="s">
        <v>44</v>
      </c>
      <c r="W1043" s="18" t="s">
        <v>69</v>
      </c>
      <c r="X1043" s="16">
        <v>10</v>
      </c>
      <c r="Y1043" s="43" t="str">
        <f>HYPERLINK("https://api-enni.alpina.ru/FilePrivilegesApproval/146","https://api-enni.alpina.ru/FilePrivilegesApproval/146")</f>
        <v>https://api-enni.alpina.ru/FilePrivilegesApproval/146</v>
      </c>
      <c r="Z1043" s="18"/>
      <c r="AS1043" s="1">
        <f>IF($A1043&lt;&gt;0,1,0)</f>
        <v>0</v>
      </c>
      <c r="AT1043" s="1">
        <f>$A1043*$B1043</f>
        <v>0</v>
      </c>
      <c r="AU1043" s="1">
        <f>$A1043*$O1043</f>
        <v>0</v>
      </c>
      <c r="AV1043" s="1">
        <f>IF($R1043=0,0,INT($A1043/$R1043))</f>
        <v>0</v>
      </c>
      <c r="AW1043" s="1">
        <f>$A1043-$AV1043*$R1043</f>
        <v>0</v>
      </c>
    </row>
    <row r="1044" ht="24.95" customHeight="1" outlineLevel="3" s="1" customFormat="1">
      <c r="A1044" s="15"/>
      <c r="B1044" s="16">
        <v>790</v>
      </c>
      <c r="C1044" s="17">
        <v>1146</v>
      </c>
      <c r="D1044" s="16">
        <v>4296</v>
      </c>
      <c r="E1044" s="18"/>
      <c r="F1044" s="18" t="s">
        <v>3406</v>
      </c>
      <c r="G1044" s="18" t="s">
        <v>3410</v>
      </c>
      <c r="H1044" s="18" t="s">
        <v>73</v>
      </c>
      <c r="I1044" s="18" t="s">
        <v>74</v>
      </c>
      <c r="J1044" s="16">
        <v>2026</v>
      </c>
      <c r="K1044" s="18" t="s">
        <v>3411</v>
      </c>
      <c r="L1044" s="16">
        <v>9785916718393</v>
      </c>
      <c r="M1044" s="18" t="s">
        <v>3412</v>
      </c>
      <c r="N1044" s="16">
        <v>324</v>
      </c>
      <c r="O1044" s="19">
        <v>0.45</v>
      </c>
      <c r="P1044" s="16">
        <v>150</v>
      </c>
      <c r="Q1044" s="16">
        <v>220</v>
      </c>
      <c r="R1044" s="16">
        <v>10</v>
      </c>
      <c r="S1044" s="18" t="s">
        <v>43</v>
      </c>
      <c r="T1044" s="18"/>
      <c r="U1044" s="17">
        <v>1000</v>
      </c>
      <c r="V1044" s="18" t="s">
        <v>77</v>
      </c>
      <c r="W1044" s="18" t="s">
        <v>69</v>
      </c>
      <c r="X1044" s="16">
        <v>10</v>
      </c>
      <c r="Y1044" s="43" t="str">
        <f>HYPERLINK("https://api-enni.alpina.ru/FilePrivilegesApproval/146","https://api-enni.alpina.ru/FilePrivilegesApproval/146")</f>
        <v>https://api-enni.alpina.ru/FilePrivilegesApproval/146</v>
      </c>
      <c r="Z1044" s="18" t="s">
        <v>92</v>
      </c>
      <c r="AS1044" s="1">
        <f>IF($A1044&lt;&gt;0,1,0)</f>
        <v>0</v>
      </c>
      <c r="AT1044" s="1">
        <f>$A1044*$B1044</f>
        <v>0</v>
      </c>
      <c r="AU1044" s="1">
        <f>$A1044*$O1044</f>
        <v>0</v>
      </c>
      <c r="AV1044" s="1">
        <f>IF($R1044=0,0,INT($A1044/$R1044))</f>
        <v>0</v>
      </c>
      <c r="AW1044" s="1">
        <f>$A1044-$AV1044*$R1044</f>
        <v>0</v>
      </c>
    </row>
    <row r="1045" ht="24.95" customHeight="1" outlineLevel="3" s="1" customFormat="1">
      <c r="A1045" s="25"/>
      <c r="B1045" s="26">
        <v>590</v>
      </c>
      <c r="C1045" s="26">
        <v>885</v>
      </c>
      <c r="D1045" s="26">
        <v>12351</v>
      </c>
      <c r="E1045" s="27"/>
      <c r="F1045" s="27" t="s">
        <v>3413</v>
      </c>
      <c r="G1045" s="27" t="s">
        <v>3414</v>
      </c>
      <c r="H1045" s="27" t="s">
        <v>73</v>
      </c>
      <c r="I1045" s="27" t="s">
        <v>74</v>
      </c>
      <c r="J1045" s="26">
        <v>2020</v>
      </c>
      <c r="K1045" s="27" t="s">
        <v>3415</v>
      </c>
      <c r="L1045" s="26">
        <v>9785001391128</v>
      </c>
      <c r="M1045" s="27" t="s">
        <v>3416</v>
      </c>
      <c r="N1045" s="26">
        <v>404</v>
      </c>
      <c r="O1045" s="28">
        <v>0.58</v>
      </c>
      <c r="P1045" s="26">
        <v>146</v>
      </c>
      <c r="Q1045" s="26">
        <v>216</v>
      </c>
      <c r="R1045" s="26">
        <v>10</v>
      </c>
      <c r="S1045" s="27" t="s">
        <v>43</v>
      </c>
      <c r="T1045" s="27"/>
      <c r="U1045" s="29">
        <v>2000</v>
      </c>
      <c r="V1045" s="27" t="s">
        <v>77</v>
      </c>
      <c r="W1045" s="27" t="s">
        <v>91</v>
      </c>
      <c r="X1045" s="26">
        <v>10</v>
      </c>
      <c r="Y1045" s="45" t="str">
        <f>HYPERLINK("https://api-enni.alpina.ru/FilePrivilegesApproval/266","https://api-enni.alpina.ru/FilePrivilegesApproval/266")</f>
        <v>https://api-enni.alpina.ru/FilePrivilegesApproval/266</v>
      </c>
      <c r="Z1045" s="27"/>
      <c r="AS1045" s="1">
        <f>IF($A1045&lt;&gt;0,1,0)</f>
        <v>0</v>
      </c>
      <c r="AT1045" s="1">
        <f>$A1045*$B1045</f>
        <v>0</v>
      </c>
      <c r="AU1045" s="1">
        <f>$A1045*$O1045</f>
        <v>0</v>
      </c>
      <c r="AV1045" s="1">
        <f>IF($R1045=0,0,INT($A1045/$R1045))</f>
        <v>0</v>
      </c>
      <c r="AW1045" s="1">
        <f>$A1045-$AV1045*$R1045</f>
        <v>0</v>
      </c>
    </row>
    <row r="1046" ht="24.95" customHeight="1" outlineLevel="3" s="1" customFormat="1">
      <c r="A1046" s="15"/>
      <c r="B1046" s="16">
        <v>920</v>
      </c>
      <c r="C1046" s="17">
        <v>1288</v>
      </c>
      <c r="D1046" s="16">
        <v>25753</v>
      </c>
      <c r="E1046" s="18"/>
      <c r="F1046" s="18" t="s">
        <v>3417</v>
      </c>
      <c r="G1046" s="18" t="s">
        <v>3418</v>
      </c>
      <c r="H1046" s="18" t="s">
        <v>73</v>
      </c>
      <c r="I1046" s="18" t="s">
        <v>74</v>
      </c>
      <c r="J1046" s="16">
        <v>2024</v>
      </c>
      <c r="K1046" s="18" t="s">
        <v>3419</v>
      </c>
      <c r="L1046" s="16">
        <v>9785001396987</v>
      </c>
      <c r="M1046" s="18" t="s">
        <v>3420</v>
      </c>
      <c r="N1046" s="16">
        <v>408</v>
      </c>
      <c r="O1046" s="19">
        <v>0.61</v>
      </c>
      <c r="P1046" s="16">
        <v>150</v>
      </c>
      <c r="Q1046" s="16">
        <v>220</v>
      </c>
      <c r="R1046" s="16">
        <v>8</v>
      </c>
      <c r="S1046" s="18" t="s">
        <v>43</v>
      </c>
      <c r="T1046" s="18"/>
      <c r="U1046" s="17">
        <v>2500</v>
      </c>
      <c r="V1046" s="18" t="s">
        <v>77</v>
      </c>
      <c r="W1046" s="18" t="s">
        <v>91</v>
      </c>
      <c r="X1046" s="16">
        <v>10</v>
      </c>
      <c r="Y1046" s="43" t="str">
        <f>HYPERLINK("https://api-enni.alpina.ru/FilePrivilegesApproval/323","https://api-enni.alpina.ru/FilePrivilegesApproval/323")</f>
        <v>https://api-enni.alpina.ru/FilePrivilegesApproval/323</v>
      </c>
      <c r="Z1046" s="18"/>
      <c r="AS1046" s="1">
        <f>IF($A1046&lt;&gt;0,1,0)</f>
        <v>0</v>
      </c>
      <c r="AT1046" s="1">
        <f>$A1046*$B1046</f>
        <v>0</v>
      </c>
      <c r="AU1046" s="1">
        <f>$A1046*$O1046</f>
        <v>0</v>
      </c>
      <c r="AV1046" s="1">
        <f>IF($R1046=0,0,INT($A1046/$R1046))</f>
        <v>0</v>
      </c>
      <c r="AW1046" s="1">
        <f>$A1046-$AV1046*$R1046</f>
        <v>0</v>
      </c>
    </row>
    <row r="1047" ht="11.1" customHeight="1" outlineLevel="2">
      <c r="A1047" s="41" t="s">
        <v>3421</v>
      </c>
      <c r="B1047" s="41"/>
      <c r="C1047" s="41"/>
      <c r="D1047" s="41"/>
      <c r="E1047" s="41"/>
      <c r="F1047" s="41"/>
      <c r="G1047" s="41"/>
      <c r="H1047" s="41"/>
      <c r="I1047" s="41"/>
      <c r="J1047" s="41"/>
      <c r="K1047" s="41"/>
      <c r="L1047" s="41"/>
      <c r="M1047" s="41"/>
      <c r="N1047" s="41"/>
      <c r="O1047" s="41"/>
      <c r="P1047" s="41"/>
      <c r="Q1047" s="41"/>
      <c r="R1047" s="41"/>
      <c r="S1047" s="41"/>
      <c r="T1047" s="41"/>
      <c r="U1047" s="41"/>
      <c r="V1047" s="41"/>
      <c r="W1047" s="41"/>
      <c r="X1047" s="41"/>
      <c r="Y1047" s="41"/>
      <c r="Z1047" s="24"/>
    </row>
    <row r="1048" ht="24.95" customHeight="1" outlineLevel="3" s="1" customFormat="1">
      <c r="A1048" s="15"/>
      <c r="B1048" s="17">
        <v>1110</v>
      </c>
      <c r="C1048" s="17">
        <v>1498</v>
      </c>
      <c r="D1048" s="16">
        <v>5607</v>
      </c>
      <c r="E1048" s="18"/>
      <c r="F1048" s="18" t="s">
        <v>3422</v>
      </c>
      <c r="G1048" s="18" t="s">
        <v>3423</v>
      </c>
      <c r="H1048" s="18" t="s">
        <v>73</v>
      </c>
      <c r="I1048" s="18" t="s">
        <v>74</v>
      </c>
      <c r="J1048" s="16">
        <v>2026</v>
      </c>
      <c r="K1048" s="18" t="s">
        <v>3424</v>
      </c>
      <c r="L1048" s="16">
        <v>9785001390114</v>
      </c>
      <c r="M1048" s="18" t="s">
        <v>3425</v>
      </c>
      <c r="N1048" s="16">
        <v>696</v>
      </c>
      <c r="O1048" s="19">
        <v>0.75</v>
      </c>
      <c r="P1048" s="16">
        <v>146</v>
      </c>
      <c r="Q1048" s="16">
        <v>216</v>
      </c>
      <c r="R1048" s="16">
        <v>4</v>
      </c>
      <c r="S1048" s="18" t="s">
        <v>43</v>
      </c>
      <c r="T1048" s="18"/>
      <c r="U1048" s="17">
        <v>3000</v>
      </c>
      <c r="V1048" s="18" t="s">
        <v>77</v>
      </c>
      <c r="W1048" s="18" t="s">
        <v>69</v>
      </c>
      <c r="X1048" s="16">
        <v>10</v>
      </c>
      <c r="Y1048" s="43" t="str">
        <f>HYPERLINK("https://api-enni.alpina.ru/FilePrivilegesApproval/146","https://api-enni.alpina.ru/FilePrivilegesApproval/146")</f>
        <v>https://api-enni.alpina.ru/FilePrivilegesApproval/146</v>
      </c>
      <c r="Z1048" s="18" t="s">
        <v>777</v>
      </c>
      <c r="AS1048" s="1">
        <f>IF($A1048&lt;&gt;0,1,0)</f>
        <v>0</v>
      </c>
      <c r="AT1048" s="1">
        <f>$A1048*$B1048</f>
        <v>0</v>
      </c>
      <c r="AU1048" s="1">
        <f>$A1048*$O1048</f>
        <v>0</v>
      </c>
      <c r="AV1048" s="1">
        <f>IF($R1048=0,0,INT($A1048/$R1048))</f>
        <v>0</v>
      </c>
      <c r="AW1048" s="1">
        <f>$A1048-$AV1048*$R1048</f>
        <v>0</v>
      </c>
    </row>
    <row r="1049" ht="24.95" customHeight="1" outlineLevel="3" s="1" customFormat="1">
      <c r="A1049" s="15"/>
      <c r="B1049" s="16">
        <v>790</v>
      </c>
      <c r="C1049" s="17">
        <v>1146</v>
      </c>
      <c r="D1049" s="16">
        <v>19421</v>
      </c>
      <c r="E1049" s="18"/>
      <c r="F1049" s="18" t="s">
        <v>3426</v>
      </c>
      <c r="G1049" s="18" t="s">
        <v>3427</v>
      </c>
      <c r="H1049" s="18" t="s">
        <v>73</v>
      </c>
      <c r="I1049" s="18" t="s">
        <v>74</v>
      </c>
      <c r="J1049" s="16">
        <v>2023</v>
      </c>
      <c r="K1049" s="18" t="s">
        <v>3428</v>
      </c>
      <c r="L1049" s="16">
        <v>9785002230839</v>
      </c>
      <c r="M1049" s="18" t="s">
        <v>3429</v>
      </c>
      <c r="N1049" s="16">
        <v>336</v>
      </c>
      <c r="O1049" s="19">
        <v>0.41</v>
      </c>
      <c r="P1049" s="16">
        <v>150</v>
      </c>
      <c r="Q1049" s="16">
        <v>220</v>
      </c>
      <c r="R1049" s="16">
        <v>10</v>
      </c>
      <c r="S1049" s="18" t="s">
        <v>43</v>
      </c>
      <c r="T1049" s="18"/>
      <c r="U1049" s="17">
        <v>3000</v>
      </c>
      <c r="V1049" s="18" t="s">
        <v>77</v>
      </c>
      <c r="W1049" s="18" t="s">
        <v>91</v>
      </c>
      <c r="X1049" s="16">
        <v>10</v>
      </c>
      <c r="Y1049" s="43" t="str">
        <f>HYPERLINK("https://api-enni.alpina.ru/FilePrivilegesApproval/241","https://api-enni.alpina.ru/FilePrivilegesApproval/241")</f>
        <v>https://api-enni.alpina.ru/FilePrivilegesApproval/241</v>
      </c>
      <c r="Z1049" s="18"/>
      <c r="AS1049" s="1">
        <f>IF($A1049&lt;&gt;0,1,0)</f>
        <v>0</v>
      </c>
      <c r="AT1049" s="1">
        <f>$A1049*$B1049</f>
        <v>0</v>
      </c>
      <c r="AU1049" s="1">
        <f>$A1049*$O1049</f>
        <v>0</v>
      </c>
      <c r="AV1049" s="1">
        <f>IF($R1049=0,0,INT($A1049/$R1049))</f>
        <v>0</v>
      </c>
      <c r="AW1049" s="1">
        <f>$A1049-$AV1049*$R1049</f>
        <v>0</v>
      </c>
    </row>
    <row r="1050" ht="24.95" customHeight="1" outlineLevel="3" s="1" customFormat="1">
      <c r="A1050" s="15"/>
      <c r="B1050" s="17">
        <v>1400</v>
      </c>
      <c r="C1050" s="17">
        <v>1890</v>
      </c>
      <c r="D1050" s="16">
        <v>8226</v>
      </c>
      <c r="E1050" s="18"/>
      <c r="F1050" s="18" t="s">
        <v>3430</v>
      </c>
      <c r="G1050" s="18" t="s">
        <v>3431</v>
      </c>
      <c r="H1050" s="18" t="s">
        <v>73</v>
      </c>
      <c r="I1050" s="18" t="s">
        <v>74</v>
      </c>
      <c r="J1050" s="16">
        <v>2026</v>
      </c>
      <c r="K1050" s="18" t="s">
        <v>3432</v>
      </c>
      <c r="L1050" s="16">
        <v>9785916719901</v>
      </c>
      <c r="M1050" s="18" t="s">
        <v>3433</v>
      </c>
      <c r="N1050" s="16">
        <v>777</v>
      </c>
      <c r="O1050" s="19">
        <v>1.26</v>
      </c>
      <c r="P1050" s="16">
        <v>168</v>
      </c>
      <c r="Q1050" s="16">
        <v>241</v>
      </c>
      <c r="R1050" s="16">
        <v>3</v>
      </c>
      <c r="S1050" s="18" t="s">
        <v>123</v>
      </c>
      <c r="T1050" s="18"/>
      <c r="U1050" s="17">
        <v>2000</v>
      </c>
      <c r="V1050" s="18" t="s">
        <v>77</v>
      </c>
      <c r="W1050" s="18" t="s">
        <v>69</v>
      </c>
      <c r="X1050" s="16">
        <v>10</v>
      </c>
      <c r="Y1050" s="43" t="str">
        <f>HYPERLINK("https://api-enni.alpina.ru/FilePrivilegesApproval/146","https://api-enni.alpina.ru/FilePrivilegesApproval/146")</f>
        <v>https://api-enni.alpina.ru/FilePrivilegesApproval/146</v>
      </c>
      <c r="Z1050" s="18" t="s">
        <v>1869</v>
      </c>
      <c r="AS1050" s="1">
        <f>IF($A1050&lt;&gt;0,1,0)</f>
        <v>0</v>
      </c>
      <c r="AT1050" s="1">
        <f>$A1050*$B1050</f>
        <v>0</v>
      </c>
      <c r="AU1050" s="1">
        <f>$A1050*$O1050</f>
        <v>0</v>
      </c>
      <c r="AV1050" s="1">
        <f>IF($R1050=0,0,INT($A1050/$R1050))</f>
        <v>0</v>
      </c>
      <c r="AW1050" s="1">
        <f>$A1050-$AV1050*$R1050</f>
        <v>0</v>
      </c>
    </row>
    <row r="1051" ht="24.95" customHeight="1" outlineLevel="3" s="1" customFormat="1">
      <c r="A1051" s="15"/>
      <c r="B1051" s="17">
        <v>1190</v>
      </c>
      <c r="C1051" s="17">
        <v>1606</v>
      </c>
      <c r="D1051" s="16">
        <v>31165</v>
      </c>
      <c r="E1051" s="18"/>
      <c r="F1051" s="18" t="s">
        <v>71</v>
      </c>
      <c r="G1051" s="18" t="s">
        <v>72</v>
      </c>
      <c r="H1051" s="18" t="s">
        <v>73</v>
      </c>
      <c r="I1051" s="18" t="s">
        <v>74</v>
      </c>
      <c r="J1051" s="16">
        <v>2026</v>
      </c>
      <c r="K1051" s="18" t="s">
        <v>75</v>
      </c>
      <c r="L1051" s="16">
        <v>9785002233458</v>
      </c>
      <c r="M1051" s="18" t="s">
        <v>76</v>
      </c>
      <c r="N1051" s="16">
        <v>576</v>
      </c>
      <c r="O1051" s="19">
        <v>0.8</v>
      </c>
      <c r="P1051" s="16">
        <v>150</v>
      </c>
      <c r="Q1051" s="16">
        <v>220</v>
      </c>
      <c r="R1051" s="16">
        <v>8</v>
      </c>
      <c r="S1051" s="18" t="s">
        <v>43</v>
      </c>
      <c r="T1051" s="18"/>
      <c r="U1051" s="17">
        <v>2000</v>
      </c>
      <c r="V1051" s="18" t="s">
        <v>77</v>
      </c>
      <c r="W1051" s="18" t="s">
        <v>45</v>
      </c>
      <c r="X1051" s="16">
        <v>10</v>
      </c>
      <c r="Y1051" s="43" t="str">
        <f>HYPERLINK("https://api-enni.alpina.ru/FilePrivilegesApproval/1236","https://api-enni.alpina.ru/FilePrivilegesApproval/1236")</f>
        <v>https://api-enni.alpina.ru/FilePrivilegesApproval/1236</v>
      </c>
      <c r="Z1051" s="18" t="s">
        <v>78</v>
      </c>
      <c r="AS1051" s="1">
        <f>IF($A1051&lt;&gt;0,1,0)</f>
        <v>0</v>
      </c>
      <c r="AT1051" s="1">
        <f>$A1051*$B1051</f>
        <v>0</v>
      </c>
      <c r="AU1051" s="1">
        <f>$A1051*$O1051</f>
        <v>0</v>
      </c>
      <c r="AV1051" s="1">
        <f>IF($R1051=0,0,INT($A1051/$R1051))</f>
        <v>0</v>
      </c>
      <c r="AW1051" s="1">
        <f>$A1051-$AV1051*$R1051</f>
        <v>0</v>
      </c>
    </row>
    <row r="1052" ht="24.95" customHeight="1" outlineLevel="3" s="1" customFormat="1">
      <c r="A1052" s="15"/>
      <c r="B1052" s="16">
        <v>650</v>
      </c>
      <c r="C1052" s="16">
        <v>750</v>
      </c>
      <c r="D1052" s="16">
        <v>36778</v>
      </c>
      <c r="E1052" s="18"/>
      <c r="F1052" s="18" t="s">
        <v>3434</v>
      </c>
      <c r="G1052" s="18" t="s">
        <v>3435</v>
      </c>
      <c r="H1052" s="18" t="s">
        <v>73</v>
      </c>
      <c r="I1052" s="18"/>
      <c r="J1052" s="16">
        <v>2026</v>
      </c>
      <c r="K1052" s="18" t="s">
        <v>3436</v>
      </c>
      <c r="L1052" s="16">
        <v>9785002239092</v>
      </c>
      <c r="M1052" s="18" t="s">
        <v>3437</v>
      </c>
      <c r="N1052" s="16">
        <v>156</v>
      </c>
      <c r="O1052" s="19">
        <v>0.14</v>
      </c>
      <c r="P1052" s="16">
        <v>110</v>
      </c>
      <c r="Q1052" s="16">
        <v>180</v>
      </c>
      <c r="R1052" s="16">
        <v>12</v>
      </c>
      <c r="S1052" s="18" t="s">
        <v>873</v>
      </c>
      <c r="T1052" s="18" t="s">
        <v>3438</v>
      </c>
      <c r="U1052" s="17">
        <v>2000</v>
      </c>
      <c r="V1052" s="18" t="s">
        <v>44</v>
      </c>
      <c r="W1052" s="18" t="s">
        <v>69</v>
      </c>
      <c r="X1052" s="16">
        <v>10</v>
      </c>
      <c r="Y1052" s="43" t="str">
        <f>HYPERLINK("https://api-enni.alpina.ru/FilePrivilegesApproval/1155","https://api-enni.alpina.ru/FilePrivilegesApproval/1155")</f>
        <v>https://api-enni.alpina.ru/FilePrivilegesApproval/1155</v>
      </c>
      <c r="Z1052" s="18" t="s">
        <v>2419</v>
      </c>
      <c r="AS1052" s="1">
        <f>IF($A1052&lt;&gt;0,1,0)</f>
        <v>0</v>
      </c>
      <c r="AT1052" s="1">
        <f>$A1052*$B1052</f>
        <v>0</v>
      </c>
      <c r="AU1052" s="1">
        <f>$A1052*$O1052</f>
        <v>0</v>
      </c>
      <c r="AV1052" s="1">
        <f>IF($R1052=0,0,INT($A1052/$R1052))</f>
        <v>0</v>
      </c>
      <c r="AW1052" s="1">
        <f>$A1052-$AV1052*$R1052</f>
        <v>0</v>
      </c>
    </row>
    <row r="1053" ht="24.95" customHeight="1" outlineLevel="3" s="1" customFormat="1">
      <c r="A1053" s="25"/>
      <c r="B1053" s="26">
        <v>690</v>
      </c>
      <c r="C1053" s="29">
        <v>1035</v>
      </c>
      <c r="D1053" s="26">
        <v>25412</v>
      </c>
      <c r="E1053" s="27"/>
      <c r="F1053" s="27" t="s">
        <v>3439</v>
      </c>
      <c r="G1053" s="27" t="s">
        <v>3440</v>
      </c>
      <c r="H1053" s="27" t="s">
        <v>86</v>
      </c>
      <c r="I1053" s="27"/>
      <c r="J1053" s="26">
        <v>2023</v>
      </c>
      <c r="K1053" s="27" t="s">
        <v>3441</v>
      </c>
      <c r="L1053" s="26">
        <v>9785961480351</v>
      </c>
      <c r="M1053" s="27" t="s">
        <v>3442</v>
      </c>
      <c r="N1053" s="26">
        <v>600</v>
      </c>
      <c r="O1053" s="28">
        <v>0.7</v>
      </c>
      <c r="P1053" s="26">
        <v>141</v>
      </c>
      <c r="Q1053" s="26">
        <v>210</v>
      </c>
      <c r="R1053" s="26">
        <v>8</v>
      </c>
      <c r="S1053" s="27" t="s">
        <v>43</v>
      </c>
      <c r="T1053" s="27"/>
      <c r="U1053" s="29">
        <v>2500</v>
      </c>
      <c r="V1053" s="27" t="s">
        <v>44</v>
      </c>
      <c r="W1053" s="27" t="s">
        <v>69</v>
      </c>
      <c r="X1053" s="26">
        <v>10</v>
      </c>
      <c r="Y1053" s="45" t="str">
        <f>HYPERLINK("https://api-enni.alpina.ru/FilePrivilegesApproval/163","https://api-enni.alpina.ru/FilePrivilegesApproval/163")</f>
        <v>https://api-enni.alpina.ru/FilePrivilegesApproval/163</v>
      </c>
      <c r="Z1053" s="27"/>
      <c r="AS1053" s="1">
        <f>IF($A1053&lt;&gt;0,1,0)</f>
        <v>0</v>
      </c>
      <c r="AT1053" s="1">
        <f>$A1053*$B1053</f>
        <v>0</v>
      </c>
      <c r="AU1053" s="1">
        <f>$A1053*$O1053</f>
        <v>0</v>
      </c>
      <c r="AV1053" s="1">
        <f>IF($R1053=0,0,INT($A1053/$R1053))</f>
        <v>0</v>
      </c>
      <c r="AW1053" s="1">
        <f>$A1053-$AV1053*$R1053</f>
        <v>0</v>
      </c>
    </row>
    <row r="1054" ht="24.95" customHeight="1" outlineLevel="3" s="1" customFormat="1">
      <c r="A1054" s="15"/>
      <c r="B1054" s="16">
        <v>450</v>
      </c>
      <c r="C1054" s="16">
        <v>698</v>
      </c>
      <c r="D1054" s="16">
        <v>32246</v>
      </c>
      <c r="E1054" s="18"/>
      <c r="F1054" s="18" t="s">
        <v>513</v>
      </c>
      <c r="G1054" s="18" t="s">
        <v>514</v>
      </c>
      <c r="H1054" s="18" t="s">
        <v>73</v>
      </c>
      <c r="I1054" s="18"/>
      <c r="J1054" s="16">
        <v>2026</v>
      </c>
      <c r="K1054" s="18" t="s">
        <v>515</v>
      </c>
      <c r="L1054" s="16">
        <v>9785002234837</v>
      </c>
      <c r="M1054" s="18" t="s">
        <v>516</v>
      </c>
      <c r="N1054" s="16">
        <v>336</v>
      </c>
      <c r="O1054" s="19">
        <v>0.22</v>
      </c>
      <c r="P1054" s="16">
        <v>120</v>
      </c>
      <c r="Q1054" s="16">
        <v>170</v>
      </c>
      <c r="R1054" s="16">
        <v>12</v>
      </c>
      <c r="S1054" s="18" t="s">
        <v>190</v>
      </c>
      <c r="T1054" s="18" t="s">
        <v>491</v>
      </c>
      <c r="U1054" s="17">
        <v>2500</v>
      </c>
      <c r="V1054" s="18" t="s">
        <v>44</v>
      </c>
      <c r="W1054" s="18" t="s">
        <v>91</v>
      </c>
      <c r="X1054" s="16">
        <v>10</v>
      </c>
      <c r="Y1054" s="43" t="str">
        <f>HYPERLINK("https://api-enni.alpina.ru/FilePrivilegesApproval/148","https://api-enni.alpina.ru/FilePrivilegesApproval/148")</f>
        <v>https://api-enni.alpina.ru/FilePrivilegesApproval/148</v>
      </c>
      <c r="Z1054" s="18" t="s">
        <v>78</v>
      </c>
      <c r="AS1054" s="1">
        <f>IF($A1054&lt;&gt;0,1,0)</f>
        <v>0</v>
      </c>
      <c r="AT1054" s="1">
        <f>$A1054*$B1054</f>
        <v>0</v>
      </c>
      <c r="AU1054" s="1">
        <f>$A1054*$O1054</f>
        <v>0</v>
      </c>
      <c r="AV1054" s="1">
        <f>IF($R1054=0,0,INT($A1054/$R1054))</f>
        <v>0</v>
      </c>
      <c r="AW1054" s="1">
        <f>$A1054-$AV1054*$R1054</f>
        <v>0</v>
      </c>
    </row>
    <row r="1055" ht="24.95" customHeight="1" outlineLevel="3" s="1" customFormat="1">
      <c r="A1055" s="15"/>
      <c r="B1055" s="16">
        <v>590</v>
      </c>
      <c r="C1055" s="16">
        <v>885</v>
      </c>
      <c r="D1055" s="16">
        <v>19265</v>
      </c>
      <c r="E1055" s="18"/>
      <c r="F1055" s="18" t="s">
        <v>484</v>
      </c>
      <c r="G1055" s="18" t="s">
        <v>3443</v>
      </c>
      <c r="H1055" s="18" t="s">
        <v>86</v>
      </c>
      <c r="I1055" s="18"/>
      <c r="J1055" s="16">
        <v>2025</v>
      </c>
      <c r="K1055" s="18" t="s">
        <v>3444</v>
      </c>
      <c r="L1055" s="16">
        <v>9785961472455</v>
      </c>
      <c r="M1055" s="18" t="s">
        <v>3445</v>
      </c>
      <c r="N1055" s="16">
        <v>232</v>
      </c>
      <c r="O1055" s="19">
        <v>0.37</v>
      </c>
      <c r="P1055" s="16">
        <v>150</v>
      </c>
      <c r="Q1055" s="16">
        <v>220</v>
      </c>
      <c r="R1055" s="16">
        <v>14</v>
      </c>
      <c r="S1055" s="18" t="s">
        <v>43</v>
      </c>
      <c r="T1055" s="18"/>
      <c r="U1055" s="17">
        <v>2000</v>
      </c>
      <c r="V1055" s="18" t="s">
        <v>77</v>
      </c>
      <c r="W1055" s="18" t="s">
        <v>69</v>
      </c>
      <c r="X1055" s="16">
        <v>10</v>
      </c>
      <c r="Y1055" s="43" t="str">
        <f>HYPERLINK("https://api-enni.alpina.ru/FilePrivilegesApproval/156","https://api-enni.alpina.ru/FilePrivilegesApproval/156")</f>
        <v>https://api-enni.alpina.ru/FilePrivilegesApproval/156</v>
      </c>
      <c r="Z1055" s="18"/>
      <c r="AS1055" s="1">
        <f>IF($A1055&lt;&gt;0,1,0)</f>
        <v>0</v>
      </c>
      <c r="AT1055" s="1">
        <f>$A1055*$B1055</f>
        <v>0</v>
      </c>
      <c r="AU1055" s="1">
        <f>$A1055*$O1055</f>
        <v>0</v>
      </c>
      <c r="AV1055" s="1">
        <f>IF($R1055=0,0,INT($A1055/$R1055))</f>
        <v>0</v>
      </c>
      <c r="AW1055" s="1">
        <f>$A1055-$AV1055*$R1055</f>
        <v>0</v>
      </c>
    </row>
    <row r="1056" ht="24.95" customHeight="1" outlineLevel="3" s="1" customFormat="1">
      <c r="A1056" s="15"/>
      <c r="B1056" s="16">
        <v>390</v>
      </c>
      <c r="C1056" s="16">
        <v>624</v>
      </c>
      <c r="D1056" s="16">
        <v>33856</v>
      </c>
      <c r="E1056" s="18"/>
      <c r="F1056" s="18" t="s">
        <v>484</v>
      </c>
      <c r="G1056" s="18" t="s">
        <v>521</v>
      </c>
      <c r="H1056" s="18" t="s">
        <v>86</v>
      </c>
      <c r="I1056" s="18"/>
      <c r="J1056" s="16">
        <v>2025</v>
      </c>
      <c r="K1056" s="18" t="s">
        <v>522</v>
      </c>
      <c r="L1056" s="16">
        <v>9785006305786</v>
      </c>
      <c r="M1056" s="18" t="s">
        <v>523</v>
      </c>
      <c r="N1056" s="16">
        <v>272</v>
      </c>
      <c r="O1056" s="19">
        <v>0.18</v>
      </c>
      <c r="P1056" s="16">
        <v>120</v>
      </c>
      <c r="Q1056" s="16">
        <v>170</v>
      </c>
      <c r="R1056" s="16">
        <v>14</v>
      </c>
      <c r="S1056" s="18" t="s">
        <v>190</v>
      </c>
      <c r="T1056" s="18" t="s">
        <v>491</v>
      </c>
      <c r="U1056" s="17">
        <v>2000</v>
      </c>
      <c r="V1056" s="18" t="s">
        <v>44</v>
      </c>
      <c r="W1056" s="18" t="s">
        <v>45</v>
      </c>
      <c r="X1056" s="16">
        <v>10</v>
      </c>
      <c r="Y1056" s="43" t="str">
        <f>HYPERLINK("https://api-enni.alpina.ru/FilePrivilegesApproval/883","https://api-enni.alpina.ru/FilePrivilegesApproval/883")</f>
        <v>https://api-enni.alpina.ru/FilePrivilegesApproval/883</v>
      </c>
      <c r="Z1056" s="18"/>
      <c r="AS1056" s="1">
        <f>IF($A1056&lt;&gt;0,1,0)</f>
        <v>0</v>
      </c>
      <c r="AT1056" s="1">
        <f>$A1056*$B1056</f>
        <v>0</v>
      </c>
      <c r="AU1056" s="1">
        <f>$A1056*$O1056</f>
        <v>0</v>
      </c>
      <c r="AV1056" s="1">
        <f>IF($R1056=0,0,INT($A1056/$R1056))</f>
        <v>0</v>
      </c>
      <c r="AW1056" s="1">
        <f>$A1056-$AV1056*$R1056</f>
        <v>0</v>
      </c>
    </row>
    <row r="1057" ht="24.95" customHeight="1" outlineLevel="3" s="1" customFormat="1">
      <c r="A1057" s="15"/>
      <c r="B1057" s="16">
        <v>930</v>
      </c>
      <c r="C1057" s="17">
        <v>1302</v>
      </c>
      <c r="D1057" s="16">
        <v>33656</v>
      </c>
      <c r="E1057" s="18"/>
      <c r="F1057" s="18" t="s">
        <v>3446</v>
      </c>
      <c r="G1057" s="18" t="s">
        <v>3447</v>
      </c>
      <c r="H1057" s="18" t="s">
        <v>73</v>
      </c>
      <c r="I1057" s="18" t="s">
        <v>74</v>
      </c>
      <c r="J1057" s="16">
        <v>2026</v>
      </c>
      <c r="K1057" s="18" t="s">
        <v>3448</v>
      </c>
      <c r="L1057" s="16">
        <v>9785002235728</v>
      </c>
      <c r="M1057" s="18" t="s">
        <v>3449</v>
      </c>
      <c r="N1057" s="16">
        <v>382</v>
      </c>
      <c r="O1057" s="19">
        <v>0.45</v>
      </c>
      <c r="P1057" s="16">
        <v>150</v>
      </c>
      <c r="Q1057" s="16">
        <v>220</v>
      </c>
      <c r="R1057" s="16">
        <v>8</v>
      </c>
      <c r="S1057" s="18" t="s">
        <v>43</v>
      </c>
      <c r="T1057" s="18"/>
      <c r="U1057" s="17">
        <v>3000</v>
      </c>
      <c r="V1057" s="18" t="s">
        <v>77</v>
      </c>
      <c r="W1057" s="18" t="s">
        <v>69</v>
      </c>
      <c r="X1057" s="16">
        <v>10</v>
      </c>
      <c r="Y1057" s="43" t="str">
        <f>HYPERLINK("https://api-enni.alpina.ru/FilePrivilegesApproval/1145","https://api-enni.alpina.ru/FilePrivilegesApproval/1145")</f>
        <v>https://api-enni.alpina.ru/FilePrivilegesApproval/1145</v>
      </c>
      <c r="Z1057" s="18" t="s">
        <v>251</v>
      </c>
      <c r="AS1057" s="1">
        <f>IF($A1057&lt;&gt;0,1,0)</f>
        <v>0</v>
      </c>
      <c r="AT1057" s="1">
        <f>$A1057*$B1057</f>
        <v>0</v>
      </c>
      <c r="AU1057" s="1">
        <f>$A1057*$O1057</f>
        <v>0</v>
      </c>
      <c r="AV1057" s="1">
        <f>IF($R1057=0,0,INT($A1057/$R1057))</f>
        <v>0</v>
      </c>
      <c r="AW1057" s="1">
        <f>$A1057-$AV1057*$R1057</f>
        <v>0</v>
      </c>
    </row>
    <row r="1058" ht="24.95" customHeight="1" outlineLevel="3" s="1" customFormat="1">
      <c r="A1058" s="15"/>
      <c r="B1058" s="17">
        <v>1490</v>
      </c>
      <c r="C1058" s="17">
        <v>2012</v>
      </c>
      <c r="D1058" s="16">
        <v>28836</v>
      </c>
      <c r="E1058" s="18"/>
      <c r="F1058" s="18" t="s">
        <v>3450</v>
      </c>
      <c r="G1058" s="18" t="s">
        <v>3451</v>
      </c>
      <c r="H1058" s="18" t="s">
        <v>73</v>
      </c>
      <c r="I1058" s="18" t="s">
        <v>74</v>
      </c>
      <c r="J1058" s="16">
        <v>2025</v>
      </c>
      <c r="K1058" s="18" t="s">
        <v>3452</v>
      </c>
      <c r="L1058" s="16">
        <v>9785002230655</v>
      </c>
      <c r="M1058" s="18" t="s">
        <v>3453</v>
      </c>
      <c r="N1058" s="16">
        <v>560</v>
      </c>
      <c r="O1058" s="19">
        <v>1.19</v>
      </c>
      <c r="P1058" s="16">
        <v>170</v>
      </c>
      <c r="Q1058" s="16">
        <v>240</v>
      </c>
      <c r="R1058" s="16">
        <v>3</v>
      </c>
      <c r="S1058" s="18" t="s">
        <v>123</v>
      </c>
      <c r="T1058" s="18"/>
      <c r="U1058" s="17">
        <v>5000</v>
      </c>
      <c r="V1058" s="18" t="s">
        <v>77</v>
      </c>
      <c r="W1058" s="18" t="s">
        <v>45</v>
      </c>
      <c r="X1058" s="16">
        <v>10</v>
      </c>
      <c r="Y1058" s="43" t="str">
        <f>HYPERLINK("https://api-enni.alpina.ru/FilePrivilegesApproval/806","https://api-enni.alpina.ru/FilePrivilegesApproval/806")</f>
        <v>https://api-enni.alpina.ru/FilePrivilegesApproval/806</v>
      </c>
      <c r="Z1058" s="18"/>
      <c r="AS1058" s="1">
        <f>IF($A1058&lt;&gt;0,1,0)</f>
        <v>0</v>
      </c>
      <c r="AT1058" s="1">
        <f>$A1058*$B1058</f>
        <v>0</v>
      </c>
      <c r="AU1058" s="1">
        <f>$A1058*$O1058</f>
        <v>0</v>
      </c>
      <c r="AV1058" s="1">
        <f>IF($R1058=0,0,INT($A1058/$R1058))</f>
        <v>0</v>
      </c>
      <c r="AW1058" s="1">
        <f>$A1058-$AV1058*$R1058</f>
        <v>0</v>
      </c>
    </row>
    <row r="1059" ht="24.95" customHeight="1" outlineLevel="3" s="1" customFormat="1">
      <c r="A1059" s="15"/>
      <c r="B1059" s="16">
        <v>590</v>
      </c>
      <c r="C1059" s="16">
        <v>885</v>
      </c>
      <c r="D1059" s="16">
        <v>23075</v>
      </c>
      <c r="E1059" s="18"/>
      <c r="F1059" s="18" t="s">
        <v>1649</v>
      </c>
      <c r="G1059" s="18" t="s">
        <v>3454</v>
      </c>
      <c r="H1059" s="18" t="s">
        <v>86</v>
      </c>
      <c r="I1059" s="18" t="s">
        <v>74</v>
      </c>
      <c r="J1059" s="16">
        <v>2022</v>
      </c>
      <c r="K1059" s="18" t="s">
        <v>3455</v>
      </c>
      <c r="L1059" s="16">
        <v>9785961474923</v>
      </c>
      <c r="M1059" s="18" t="s">
        <v>3456</v>
      </c>
      <c r="N1059" s="16">
        <v>226</v>
      </c>
      <c r="O1059" s="19">
        <v>0.38</v>
      </c>
      <c r="P1059" s="16">
        <v>145</v>
      </c>
      <c r="Q1059" s="16">
        <v>216</v>
      </c>
      <c r="R1059" s="16">
        <v>16</v>
      </c>
      <c r="S1059" s="18" t="s">
        <v>43</v>
      </c>
      <c r="T1059" s="18"/>
      <c r="U1059" s="17">
        <v>3000</v>
      </c>
      <c r="V1059" s="18" t="s">
        <v>77</v>
      </c>
      <c r="W1059" s="18" t="s">
        <v>184</v>
      </c>
      <c r="X1059" s="16">
        <v>10</v>
      </c>
      <c r="Y1059" s="43" t="str">
        <f>HYPERLINK("https://api-enni.alpina.ru/FilePrivilegesApproval/121","https://api-enni.alpina.ru/FilePrivilegesApproval/121")</f>
        <v>https://api-enni.alpina.ru/FilePrivilegesApproval/121</v>
      </c>
      <c r="Z1059" s="18"/>
      <c r="AS1059" s="1">
        <f>IF($A1059&lt;&gt;0,1,0)</f>
        <v>0</v>
      </c>
      <c r="AT1059" s="1">
        <f>$A1059*$B1059</f>
        <v>0</v>
      </c>
      <c r="AU1059" s="1">
        <f>$A1059*$O1059</f>
        <v>0</v>
      </c>
      <c r="AV1059" s="1">
        <f>IF($R1059=0,0,INT($A1059/$R1059))</f>
        <v>0</v>
      </c>
      <c r="AW1059" s="1">
        <f>$A1059-$AV1059*$R1059</f>
        <v>0</v>
      </c>
    </row>
    <row r="1060" ht="24.95" customHeight="1" outlineLevel="3" s="1" customFormat="1">
      <c r="A1060" s="15"/>
      <c r="B1060" s="16">
        <v>990</v>
      </c>
      <c r="C1060" s="17">
        <v>1386</v>
      </c>
      <c r="D1060" s="16">
        <v>26139</v>
      </c>
      <c r="E1060" s="18"/>
      <c r="F1060" s="18" t="s">
        <v>3457</v>
      </c>
      <c r="G1060" s="18" t="s">
        <v>3458</v>
      </c>
      <c r="H1060" s="18" t="s">
        <v>86</v>
      </c>
      <c r="I1060" s="18" t="s">
        <v>74</v>
      </c>
      <c r="J1060" s="16">
        <v>2025</v>
      </c>
      <c r="K1060" s="18" t="s">
        <v>3459</v>
      </c>
      <c r="L1060" s="16">
        <v>9785961480740</v>
      </c>
      <c r="M1060" s="18" t="s">
        <v>3460</v>
      </c>
      <c r="N1060" s="16">
        <v>624</v>
      </c>
      <c r="O1060" s="19">
        <v>0.8</v>
      </c>
      <c r="P1060" s="16">
        <v>150</v>
      </c>
      <c r="Q1060" s="16">
        <v>220</v>
      </c>
      <c r="R1060" s="16">
        <v>6</v>
      </c>
      <c r="S1060" s="18" t="s">
        <v>43</v>
      </c>
      <c r="T1060" s="18"/>
      <c r="U1060" s="17">
        <v>2000</v>
      </c>
      <c r="V1060" s="18" t="s">
        <v>77</v>
      </c>
      <c r="W1060" s="18" t="s">
        <v>69</v>
      </c>
      <c r="X1060" s="16">
        <v>10</v>
      </c>
      <c r="Y1060" s="43" t="str">
        <f>HYPERLINK("https://api-enni.alpina.ru/FilePrivilegesApproval/132","https://api-enni.alpina.ru/FilePrivilegesApproval/132")</f>
        <v>https://api-enni.alpina.ru/FilePrivilegesApproval/132</v>
      </c>
      <c r="Z1060" s="18"/>
      <c r="AS1060" s="1">
        <f>IF($A1060&lt;&gt;0,1,0)</f>
        <v>0</v>
      </c>
      <c r="AT1060" s="1">
        <f>$A1060*$B1060</f>
        <v>0</v>
      </c>
      <c r="AU1060" s="1">
        <f>$A1060*$O1060</f>
        <v>0</v>
      </c>
      <c r="AV1060" s="1">
        <f>IF($R1060=0,0,INT($A1060/$R1060))</f>
        <v>0</v>
      </c>
      <c r="AW1060" s="1">
        <f>$A1060-$AV1060*$R1060</f>
        <v>0</v>
      </c>
    </row>
    <row r="1061" ht="24.95" customHeight="1" outlineLevel="3" s="1" customFormat="1">
      <c r="A1061" s="15"/>
      <c r="B1061" s="16">
        <v>790</v>
      </c>
      <c r="C1061" s="17">
        <v>1146</v>
      </c>
      <c r="D1061" s="16">
        <v>17192</v>
      </c>
      <c r="E1061" s="18"/>
      <c r="F1061" s="18" t="s">
        <v>3461</v>
      </c>
      <c r="G1061" s="18" t="s">
        <v>3462</v>
      </c>
      <c r="H1061" s="18" t="s">
        <v>86</v>
      </c>
      <c r="I1061" s="18" t="s">
        <v>74</v>
      </c>
      <c r="J1061" s="16">
        <v>2026</v>
      </c>
      <c r="K1061" s="18" t="s">
        <v>3463</v>
      </c>
      <c r="L1061" s="16">
        <v>9785961439373</v>
      </c>
      <c r="M1061" s="18" t="s">
        <v>3464</v>
      </c>
      <c r="N1061" s="16">
        <v>384</v>
      </c>
      <c r="O1061" s="19">
        <v>0.56</v>
      </c>
      <c r="P1061" s="16">
        <v>150</v>
      </c>
      <c r="Q1061" s="16">
        <v>220</v>
      </c>
      <c r="R1061" s="16">
        <v>10</v>
      </c>
      <c r="S1061" s="18" t="s">
        <v>43</v>
      </c>
      <c r="T1061" s="18"/>
      <c r="U1061" s="17">
        <v>1000</v>
      </c>
      <c r="V1061" s="18" t="s">
        <v>77</v>
      </c>
      <c r="W1061" s="18" t="s">
        <v>69</v>
      </c>
      <c r="X1061" s="16">
        <v>10</v>
      </c>
      <c r="Y1061" s="43" t="str">
        <f>HYPERLINK("https://api-enni.alpina.ru/FilePrivilegesApproval/108","https://api-enni.alpina.ru/FilePrivilegesApproval/108")</f>
        <v>https://api-enni.alpina.ru/FilePrivilegesApproval/108</v>
      </c>
      <c r="Z1061" s="18" t="s">
        <v>92</v>
      </c>
      <c r="AS1061" s="1">
        <f>IF($A1061&lt;&gt;0,1,0)</f>
        <v>0</v>
      </c>
      <c r="AT1061" s="1">
        <f>$A1061*$B1061</f>
        <v>0</v>
      </c>
      <c r="AU1061" s="1">
        <f>$A1061*$O1061</f>
        <v>0</v>
      </c>
      <c r="AV1061" s="1">
        <f>IF($R1061=0,0,INT($A1061/$R1061))</f>
        <v>0</v>
      </c>
      <c r="AW1061" s="1">
        <f>$A1061-$AV1061*$R1061</f>
        <v>0</v>
      </c>
    </row>
    <row r="1062" ht="24.95" customHeight="1" outlineLevel="3" s="1" customFormat="1">
      <c r="A1062" s="15"/>
      <c r="B1062" s="17">
        <v>1190</v>
      </c>
      <c r="C1062" s="17">
        <v>1606</v>
      </c>
      <c r="D1062" s="16">
        <v>23136</v>
      </c>
      <c r="E1062" s="18"/>
      <c r="F1062" s="18" t="s">
        <v>3465</v>
      </c>
      <c r="G1062" s="18" t="s">
        <v>3466</v>
      </c>
      <c r="H1062" s="18" t="s">
        <v>73</v>
      </c>
      <c r="I1062" s="18" t="s">
        <v>74</v>
      </c>
      <c r="J1062" s="16">
        <v>2026</v>
      </c>
      <c r="K1062" s="18" t="s">
        <v>3467</v>
      </c>
      <c r="L1062" s="16">
        <v>9785001398165</v>
      </c>
      <c r="M1062" s="18" t="s">
        <v>3468</v>
      </c>
      <c r="N1062" s="16">
        <v>448</v>
      </c>
      <c r="O1062" s="19">
        <v>0.74</v>
      </c>
      <c r="P1062" s="16">
        <v>170</v>
      </c>
      <c r="Q1062" s="16">
        <v>240</v>
      </c>
      <c r="R1062" s="16">
        <v>4</v>
      </c>
      <c r="S1062" s="18" t="s">
        <v>123</v>
      </c>
      <c r="T1062" s="18"/>
      <c r="U1062" s="17">
        <v>1500</v>
      </c>
      <c r="V1062" s="18" t="s">
        <v>77</v>
      </c>
      <c r="W1062" s="18" t="s">
        <v>69</v>
      </c>
      <c r="X1062" s="16">
        <v>10</v>
      </c>
      <c r="Y1062" s="43" t="str">
        <f>HYPERLINK("https://api-enni.alpina.ru/FilePrivilegesApproval/171","https://api-enni.alpina.ru/FilePrivilegesApproval/171")</f>
        <v>https://api-enni.alpina.ru/FilePrivilegesApproval/171</v>
      </c>
      <c r="Z1062" s="18"/>
      <c r="AS1062" s="1">
        <f>IF($A1062&lt;&gt;0,1,0)</f>
        <v>0</v>
      </c>
      <c r="AT1062" s="1">
        <f>$A1062*$B1062</f>
        <v>0</v>
      </c>
      <c r="AU1062" s="1">
        <f>$A1062*$O1062</f>
        <v>0</v>
      </c>
      <c r="AV1062" s="1">
        <f>IF($R1062=0,0,INT($A1062/$R1062))</f>
        <v>0</v>
      </c>
      <c r="AW1062" s="1">
        <f>$A1062-$AV1062*$R1062</f>
        <v>0</v>
      </c>
    </row>
    <row r="1063" ht="24.95" customHeight="1" outlineLevel="3" s="1" customFormat="1">
      <c r="A1063" s="15"/>
      <c r="B1063" s="16">
        <v>750</v>
      </c>
      <c r="C1063" s="17">
        <v>1088</v>
      </c>
      <c r="D1063" s="16">
        <v>25720</v>
      </c>
      <c r="E1063" s="18"/>
      <c r="F1063" s="18" t="s">
        <v>3469</v>
      </c>
      <c r="G1063" s="18" t="s">
        <v>3470</v>
      </c>
      <c r="H1063" s="18" t="s">
        <v>73</v>
      </c>
      <c r="I1063" s="18"/>
      <c r="J1063" s="16">
        <v>2025</v>
      </c>
      <c r="K1063" s="18" t="s">
        <v>3471</v>
      </c>
      <c r="L1063" s="16">
        <v>9785001399094</v>
      </c>
      <c r="M1063" s="18" t="s">
        <v>3472</v>
      </c>
      <c r="N1063" s="16">
        <v>408</v>
      </c>
      <c r="O1063" s="19">
        <v>0.4</v>
      </c>
      <c r="P1063" s="16">
        <v>140</v>
      </c>
      <c r="Q1063" s="16">
        <v>210</v>
      </c>
      <c r="R1063" s="16">
        <v>8</v>
      </c>
      <c r="S1063" s="18" t="s">
        <v>43</v>
      </c>
      <c r="T1063" s="18"/>
      <c r="U1063" s="17">
        <v>1000</v>
      </c>
      <c r="V1063" s="18" t="s">
        <v>44</v>
      </c>
      <c r="W1063" s="18" t="s">
        <v>69</v>
      </c>
      <c r="X1063" s="16">
        <v>10</v>
      </c>
      <c r="Y1063" s="43" t="str">
        <f>HYPERLINK("https://api-enni.alpina.ru/FilePrivilegesApproval/148","https://api-enni.alpina.ru/FilePrivilegesApproval/148")</f>
        <v>https://api-enni.alpina.ru/FilePrivilegesApproval/148</v>
      </c>
      <c r="Z1063" s="18"/>
      <c r="AS1063" s="1">
        <f>IF($A1063&lt;&gt;0,1,0)</f>
        <v>0</v>
      </c>
      <c r="AT1063" s="1">
        <f>$A1063*$B1063</f>
        <v>0</v>
      </c>
      <c r="AU1063" s="1">
        <f>$A1063*$O1063</f>
        <v>0</v>
      </c>
      <c r="AV1063" s="1">
        <f>IF($R1063=0,0,INT($A1063/$R1063))</f>
        <v>0</v>
      </c>
      <c r="AW1063" s="1">
        <f>$A1063-$AV1063*$R1063</f>
        <v>0</v>
      </c>
    </row>
    <row r="1064" ht="24.95" customHeight="1" outlineLevel="3" s="1" customFormat="1">
      <c r="A1064" s="15"/>
      <c r="B1064" s="16">
        <v>690</v>
      </c>
      <c r="C1064" s="17">
        <v>1035</v>
      </c>
      <c r="D1064" s="16">
        <v>37689</v>
      </c>
      <c r="E1064" s="18"/>
      <c r="F1064" s="18" t="s">
        <v>84</v>
      </c>
      <c r="G1064" s="18" t="s">
        <v>85</v>
      </c>
      <c r="H1064" s="18" t="s">
        <v>86</v>
      </c>
      <c r="I1064" s="18" t="s">
        <v>87</v>
      </c>
      <c r="J1064" s="16">
        <v>2026</v>
      </c>
      <c r="K1064" s="18" t="s">
        <v>88</v>
      </c>
      <c r="L1064" s="16">
        <v>9785006306585</v>
      </c>
      <c r="M1064" s="18" t="s">
        <v>89</v>
      </c>
      <c r="N1064" s="16">
        <v>208</v>
      </c>
      <c r="O1064" s="19">
        <v>0.31</v>
      </c>
      <c r="P1064" s="16">
        <v>140</v>
      </c>
      <c r="Q1064" s="16">
        <v>210</v>
      </c>
      <c r="R1064" s="16">
        <v>10</v>
      </c>
      <c r="S1064" s="18" t="s">
        <v>90</v>
      </c>
      <c r="T1064" s="18"/>
      <c r="U1064" s="17">
        <v>1000</v>
      </c>
      <c r="V1064" s="18" t="s">
        <v>77</v>
      </c>
      <c r="W1064" s="18" t="s">
        <v>91</v>
      </c>
      <c r="X1064" s="16">
        <v>10</v>
      </c>
      <c r="Y1064" s="43" t="str">
        <f>HYPERLINK("https://api-enni.alpina.ru/FilePrivilegesApproval/1204","https://api-enni.alpina.ru/FilePrivilegesApproval/1204")</f>
        <v>https://api-enni.alpina.ru/FilePrivilegesApproval/1204</v>
      </c>
      <c r="Z1064" s="18" t="s">
        <v>92</v>
      </c>
      <c r="AS1064" s="1">
        <f>IF($A1064&lt;&gt;0,1,0)</f>
        <v>0</v>
      </c>
      <c r="AT1064" s="1">
        <f>$A1064*$B1064</f>
        <v>0</v>
      </c>
      <c r="AU1064" s="1">
        <f>$A1064*$O1064</f>
        <v>0</v>
      </c>
      <c r="AV1064" s="1">
        <f>IF($R1064=0,0,INT($A1064/$R1064))</f>
        <v>0</v>
      </c>
      <c r="AW1064" s="1">
        <f>$A1064-$AV1064*$R1064</f>
        <v>0</v>
      </c>
    </row>
    <row r="1065" ht="24.95" customHeight="1" outlineLevel="3" s="1" customFormat="1">
      <c r="A1065" s="15"/>
      <c r="B1065" s="17">
        <v>2690</v>
      </c>
      <c r="C1065" s="17">
        <v>3497</v>
      </c>
      <c r="D1065" s="16">
        <v>17299</v>
      </c>
      <c r="E1065" s="18"/>
      <c r="F1065" s="18" t="s">
        <v>3473</v>
      </c>
      <c r="G1065" s="18" t="s">
        <v>3474</v>
      </c>
      <c r="H1065" s="18" t="s">
        <v>73</v>
      </c>
      <c r="I1065" s="18" t="s">
        <v>74</v>
      </c>
      <c r="J1065" s="16">
        <v>2024</v>
      </c>
      <c r="K1065" s="18" t="s">
        <v>3475</v>
      </c>
      <c r="L1065" s="16">
        <v>9785001391982</v>
      </c>
      <c r="M1065" s="18" t="s">
        <v>3476</v>
      </c>
      <c r="N1065" s="17">
        <v>2240</v>
      </c>
      <c r="O1065" s="19">
        <v>2.08</v>
      </c>
      <c r="P1065" s="16">
        <v>140</v>
      </c>
      <c r="Q1065" s="16">
        <v>210</v>
      </c>
      <c r="R1065" s="16">
        <v>2</v>
      </c>
      <c r="S1065" s="18" t="s">
        <v>43</v>
      </c>
      <c r="T1065" s="18" t="s">
        <v>3477</v>
      </c>
      <c r="U1065" s="17">
        <v>2000</v>
      </c>
      <c r="V1065" s="18" t="s">
        <v>44</v>
      </c>
      <c r="W1065" s="18" t="s">
        <v>91</v>
      </c>
      <c r="X1065" s="16">
        <v>10</v>
      </c>
      <c r="Y1065" s="43" t="str">
        <f>HYPERLINK("https://api-enni.alpina.ru/FilePrivilegesApproval/151","https://api-enni.alpina.ru/FilePrivilegesApproval/151")</f>
        <v>https://api-enni.alpina.ru/FilePrivilegesApproval/151</v>
      </c>
      <c r="Z1065" s="18"/>
      <c r="AS1065" s="1">
        <f>IF($A1065&lt;&gt;0,1,0)</f>
        <v>0</v>
      </c>
      <c r="AT1065" s="1">
        <f>$A1065*$B1065</f>
        <v>0</v>
      </c>
      <c r="AU1065" s="1">
        <f>$A1065*$O1065</f>
        <v>0</v>
      </c>
      <c r="AV1065" s="1">
        <f>IF($R1065=0,0,INT($A1065/$R1065))</f>
        <v>0</v>
      </c>
      <c r="AW1065" s="1">
        <f>$A1065-$AV1065*$R1065</f>
        <v>0</v>
      </c>
    </row>
    <row r="1066" ht="24.95" customHeight="1" outlineLevel="3" s="1" customFormat="1">
      <c r="A1066" s="15"/>
      <c r="B1066" s="16">
        <v>890</v>
      </c>
      <c r="C1066" s="17">
        <v>1246</v>
      </c>
      <c r="D1066" s="16">
        <v>25433</v>
      </c>
      <c r="E1066" s="18"/>
      <c r="F1066" s="18" t="s">
        <v>412</v>
      </c>
      <c r="G1066" s="18" t="s">
        <v>3478</v>
      </c>
      <c r="H1066" s="18" t="s">
        <v>73</v>
      </c>
      <c r="I1066" s="18"/>
      <c r="J1066" s="16">
        <v>2026</v>
      </c>
      <c r="K1066" s="18" t="s">
        <v>3479</v>
      </c>
      <c r="L1066" s="16">
        <v>9785001397038</v>
      </c>
      <c r="M1066" s="18" t="s">
        <v>3480</v>
      </c>
      <c r="N1066" s="16">
        <v>286</v>
      </c>
      <c r="O1066" s="19">
        <v>0.5</v>
      </c>
      <c r="P1066" s="16">
        <v>170</v>
      </c>
      <c r="Q1066" s="16">
        <v>230</v>
      </c>
      <c r="R1066" s="16">
        <v>8</v>
      </c>
      <c r="S1066" s="18" t="s">
        <v>52</v>
      </c>
      <c r="T1066" s="18"/>
      <c r="U1066" s="17">
        <v>1000</v>
      </c>
      <c r="V1066" s="18" t="s">
        <v>77</v>
      </c>
      <c r="W1066" s="18" t="s">
        <v>91</v>
      </c>
      <c r="X1066" s="16">
        <v>10</v>
      </c>
      <c r="Y1066" s="43" t="str">
        <f>HYPERLINK("https://api-enni.alpina.ru/FilePrivilegesApproval/175","https://api-enni.alpina.ru/FilePrivilegesApproval/175")</f>
        <v>https://api-enni.alpina.ru/FilePrivilegesApproval/175</v>
      </c>
      <c r="Z1066" s="18"/>
      <c r="AS1066" s="1">
        <f>IF($A1066&lt;&gt;0,1,0)</f>
        <v>0</v>
      </c>
      <c r="AT1066" s="1">
        <f>$A1066*$B1066</f>
        <v>0</v>
      </c>
      <c r="AU1066" s="1">
        <f>$A1066*$O1066</f>
        <v>0</v>
      </c>
      <c r="AV1066" s="1">
        <f>IF($R1066=0,0,INT($A1066/$R1066))</f>
        <v>0</v>
      </c>
      <c r="AW1066" s="1">
        <f>$A1066-$AV1066*$R1066</f>
        <v>0</v>
      </c>
    </row>
    <row r="1067" ht="24.95" customHeight="1" outlineLevel="3" s="1" customFormat="1">
      <c r="A1067" s="15"/>
      <c r="B1067" s="17">
        <v>1090</v>
      </c>
      <c r="C1067" s="17">
        <v>1472</v>
      </c>
      <c r="D1067" s="16">
        <v>25768</v>
      </c>
      <c r="E1067" s="18"/>
      <c r="F1067" s="18" t="s">
        <v>573</v>
      </c>
      <c r="G1067" s="18" t="s">
        <v>574</v>
      </c>
      <c r="H1067" s="18" t="s">
        <v>73</v>
      </c>
      <c r="I1067" s="18"/>
      <c r="J1067" s="16">
        <v>2026</v>
      </c>
      <c r="K1067" s="18" t="s">
        <v>575</v>
      </c>
      <c r="L1067" s="16">
        <v>9785001397090</v>
      </c>
      <c r="M1067" s="18" t="s">
        <v>576</v>
      </c>
      <c r="N1067" s="16">
        <v>338</v>
      </c>
      <c r="O1067" s="19">
        <v>0.6</v>
      </c>
      <c r="P1067" s="16">
        <v>170</v>
      </c>
      <c r="Q1067" s="16">
        <v>230</v>
      </c>
      <c r="R1067" s="16">
        <v>10</v>
      </c>
      <c r="S1067" s="18" t="s">
        <v>52</v>
      </c>
      <c r="T1067" s="18"/>
      <c r="U1067" s="17">
        <v>1000</v>
      </c>
      <c r="V1067" s="18" t="s">
        <v>77</v>
      </c>
      <c r="W1067" s="18" t="s">
        <v>69</v>
      </c>
      <c r="X1067" s="16">
        <v>10</v>
      </c>
      <c r="Y1067" s="43" t="str">
        <f>HYPERLINK("https://api-enni.alpina.ru/FilePrivilegesApproval/179","https://api-enni.alpina.ru/FilePrivilegesApproval/179")</f>
        <v>https://api-enni.alpina.ru/FilePrivilegesApproval/179</v>
      </c>
      <c r="Z1067" s="18" t="s">
        <v>144</v>
      </c>
      <c r="AS1067" s="1">
        <f>IF($A1067&lt;&gt;0,1,0)</f>
        <v>0</v>
      </c>
      <c r="AT1067" s="1">
        <f>$A1067*$B1067</f>
        <v>0</v>
      </c>
      <c r="AU1067" s="1">
        <f>$A1067*$O1067</f>
        <v>0</v>
      </c>
      <c r="AV1067" s="1">
        <f>IF($R1067=0,0,INT($A1067/$R1067))</f>
        <v>0</v>
      </c>
      <c r="AW1067" s="1">
        <f>$A1067-$AV1067*$R1067</f>
        <v>0</v>
      </c>
    </row>
    <row r="1068" ht="24.95" customHeight="1" outlineLevel="3" s="1" customFormat="1">
      <c r="A1068" s="15"/>
      <c r="B1068" s="16">
        <v>640</v>
      </c>
      <c r="C1068" s="16">
        <v>960</v>
      </c>
      <c r="D1068" s="16">
        <v>29438</v>
      </c>
      <c r="E1068" s="18"/>
      <c r="F1068" s="18" t="s">
        <v>3481</v>
      </c>
      <c r="G1068" s="18" t="s">
        <v>3482</v>
      </c>
      <c r="H1068" s="18" t="s">
        <v>86</v>
      </c>
      <c r="I1068" s="18" t="s">
        <v>74</v>
      </c>
      <c r="J1068" s="16">
        <v>2024</v>
      </c>
      <c r="K1068" s="18" t="s">
        <v>3483</v>
      </c>
      <c r="L1068" s="16">
        <v>9785961492644</v>
      </c>
      <c r="M1068" s="18" t="s">
        <v>3484</v>
      </c>
      <c r="N1068" s="16">
        <v>296</v>
      </c>
      <c r="O1068" s="19">
        <v>0.46</v>
      </c>
      <c r="P1068" s="16">
        <v>150</v>
      </c>
      <c r="Q1068" s="16">
        <v>220</v>
      </c>
      <c r="R1068" s="16">
        <v>12</v>
      </c>
      <c r="S1068" s="18" t="s">
        <v>43</v>
      </c>
      <c r="T1068" s="18"/>
      <c r="U1068" s="17">
        <v>2000</v>
      </c>
      <c r="V1068" s="18" t="s">
        <v>77</v>
      </c>
      <c r="W1068" s="18" t="s">
        <v>45</v>
      </c>
      <c r="X1068" s="16">
        <v>10</v>
      </c>
      <c r="Y1068" s="43" t="str">
        <f>HYPERLINK("https://api-enni.alpina.ru/FilePrivilegesApproval/746","https://api-enni.alpina.ru/FilePrivilegesApproval/746")</f>
        <v>https://api-enni.alpina.ru/FilePrivilegesApproval/746</v>
      </c>
      <c r="Z1068" s="18"/>
      <c r="AS1068" s="1">
        <f>IF($A1068&lt;&gt;0,1,0)</f>
        <v>0</v>
      </c>
      <c r="AT1068" s="1">
        <f>$A1068*$B1068</f>
        <v>0</v>
      </c>
      <c r="AU1068" s="1">
        <f>$A1068*$O1068</f>
        <v>0</v>
      </c>
      <c r="AV1068" s="1">
        <f>IF($R1068=0,0,INT($A1068/$R1068))</f>
        <v>0</v>
      </c>
      <c r="AW1068" s="1">
        <f>$A1068-$AV1068*$R1068</f>
        <v>0</v>
      </c>
    </row>
    <row r="1069" ht="24.95" customHeight="1" outlineLevel="3" s="1" customFormat="1">
      <c r="A1069" s="15"/>
      <c r="B1069" s="16">
        <v>790</v>
      </c>
      <c r="C1069" s="17">
        <v>1146</v>
      </c>
      <c r="D1069" s="16">
        <v>32760</v>
      </c>
      <c r="E1069" s="18"/>
      <c r="F1069" s="18" t="s">
        <v>3469</v>
      </c>
      <c r="G1069" s="18" t="s">
        <v>3485</v>
      </c>
      <c r="H1069" s="18" t="s">
        <v>73</v>
      </c>
      <c r="I1069" s="18"/>
      <c r="J1069" s="16">
        <v>2026</v>
      </c>
      <c r="K1069" s="18" t="s">
        <v>3486</v>
      </c>
      <c r="L1069" s="16">
        <v>9785916719932</v>
      </c>
      <c r="M1069" s="18" t="s">
        <v>3487</v>
      </c>
      <c r="N1069" s="16">
        <v>266</v>
      </c>
      <c r="O1069" s="19">
        <v>0.38</v>
      </c>
      <c r="P1069" s="16">
        <v>150</v>
      </c>
      <c r="Q1069" s="16">
        <v>220</v>
      </c>
      <c r="R1069" s="16">
        <v>14</v>
      </c>
      <c r="S1069" s="18" t="s">
        <v>43</v>
      </c>
      <c r="T1069" s="18"/>
      <c r="U1069" s="17">
        <v>1000</v>
      </c>
      <c r="V1069" s="18" t="s">
        <v>77</v>
      </c>
      <c r="W1069" s="18" t="s">
        <v>91</v>
      </c>
      <c r="X1069" s="16">
        <v>10</v>
      </c>
      <c r="Y1069" s="43" t="str">
        <f>HYPERLINK("https://api-enni.alpina.ru/FilePrivilegesApproval/991","https://api-enni.alpina.ru/FilePrivilegesApproval/991")</f>
        <v>https://api-enni.alpina.ru/FilePrivilegesApproval/991</v>
      </c>
      <c r="Z1069" s="18"/>
      <c r="AS1069" s="1">
        <f>IF($A1069&lt;&gt;0,1,0)</f>
        <v>0</v>
      </c>
      <c r="AT1069" s="1">
        <f>$A1069*$B1069</f>
        <v>0</v>
      </c>
      <c r="AU1069" s="1">
        <f>$A1069*$O1069</f>
        <v>0</v>
      </c>
      <c r="AV1069" s="1">
        <f>IF($R1069=0,0,INT($A1069/$R1069))</f>
        <v>0</v>
      </c>
      <c r="AW1069" s="1">
        <f>$A1069-$AV1069*$R1069</f>
        <v>0</v>
      </c>
    </row>
    <row r="1070" ht="24.95" customHeight="1" outlineLevel="3" s="1" customFormat="1">
      <c r="A1070" s="15"/>
      <c r="B1070" s="16">
        <v>890</v>
      </c>
      <c r="C1070" s="17">
        <v>1246</v>
      </c>
      <c r="D1070" s="16">
        <v>32699</v>
      </c>
      <c r="E1070" s="18"/>
      <c r="F1070" s="18" t="s">
        <v>3488</v>
      </c>
      <c r="G1070" s="18" t="s">
        <v>3489</v>
      </c>
      <c r="H1070" s="18" t="s">
        <v>73</v>
      </c>
      <c r="I1070" s="18"/>
      <c r="J1070" s="16">
        <v>2026</v>
      </c>
      <c r="K1070" s="18" t="s">
        <v>3490</v>
      </c>
      <c r="L1070" s="16">
        <v>9785916719642</v>
      </c>
      <c r="M1070" s="18" t="s">
        <v>3491</v>
      </c>
      <c r="N1070" s="16">
        <v>440</v>
      </c>
      <c r="O1070" s="19">
        <v>0.61</v>
      </c>
      <c r="P1070" s="16">
        <v>150</v>
      </c>
      <c r="Q1070" s="16">
        <v>220</v>
      </c>
      <c r="R1070" s="16">
        <v>10</v>
      </c>
      <c r="S1070" s="18" t="s">
        <v>43</v>
      </c>
      <c r="T1070" s="18"/>
      <c r="U1070" s="17">
        <v>3000</v>
      </c>
      <c r="V1070" s="18" t="s">
        <v>77</v>
      </c>
      <c r="W1070" s="18" t="s">
        <v>69</v>
      </c>
      <c r="X1070" s="16">
        <v>10</v>
      </c>
      <c r="Y1070" s="43" t="str">
        <f>HYPERLINK("https://api-enni.alpina.ru/FilePrivilegesApproval/1191","https://api-enni.alpina.ru/FilePrivilegesApproval/1191")</f>
        <v>https://api-enni.alpina.ru/FilePrivilegesApproval/1191</v>
      </c>
      <c r="Z1070" s="18" t="s">
        <v>251</v>
      </c>
      <c r="AS1070" s="1">
        <f>IF($A1070&lt;&gt;0,1,0)</f>
        <v>0</v>
      </c>
      <c r="AT1070" s="1">
        <f>$A1070*$B1070</f>
        <v>0</v>
      </c>
      <c r="AU1070" s="1">
        <f>$A1070*$O1070</f>
        <v>0</v>
      </c>
      <c r="AV1070" s="1">
        <f>IF($R1070=0,0,INT($A1070/$R1070))</f>
        <v>0</v>
      </c>
      <c r="AW1070" s="1">
        <f>$A1070-$AV1070*$R1070</f>
        <v>0</v>
      </c>
    </row>
    <row r="1071" ht="21.95" customHeight="1" outlineLevel="3" s="1" customFormat="1">
      <c r="A1071" s="15"/>
      <c r="B1071" s="16">
        <v>990</v>
      </c>
      <c r="C1071" s="17">
        <v>1386</v>
      </c>
      <c r="D1071" s="16">
        <v>34966</v>
      </c>
      <c r="E1071" s="18"/>
      <c r="F1071" s="18" t="s">
        <v>130</v>
      </c>
      <c r="G1071" s="18" t="s">
        <v>131</v>
      </c>
      <c r="H1071" s="18" t="s">
        <v>73</v>
      </c>
      <c r="I1071" s="18"/>
      <c r="J1071" s="16">
        <v>2026</v>
      </c>
      <c r="K1071" s="18" t="s">
        <v>132</v>
      </c>
      <c r="L1071" s="16">
        <v>9785002237210</v>
      </c>
      <c r="M1071" s="18" t="s">
        <v>133</v>
      </c>
      <c r="N1071" s="16">
        <v>632</v>
      </c>
      <c r="O1071" s="19">
        <v>0.95</v>
      </c>
      <c r="P1071" s="16">
        <v>170</v>
      </c>
      <c r="Q1071" s="16">
        <v>240</v>
      </c>
      <c r="R1071" s="16">
        <v>5</v>
      </c>
      <c r="S1071" s="18" t="s">
        <v>123</v>
      </c>
      <c r="T1071" s="18" t="s">
        <v>134</v>
      </c>
      <c r="U1071" s="17">
        <v>2000</v>
      </c>
      <c r="V1071" s="18" t="s">
        <v>77</v>
      </c>
      <c r="W1071" s="18" t="s">
        <v>91</v>
      </c>
      <c r="X1071" s="16">
        <v>10</v>
      </c>
      <c r="Y1071" s="43" t="str">
        <f>HYPERLINK("","")</f>
      </c>
      <c r="Z1071" s="18" t="s">
        <v>135</v>
      </c>
      <c r="AS1071" s="1">
        <f>IF($A1071&lt;&gt;0,1,0)</f>
        <v>0</v>
      </c>
      <c r="AT1071" s="1">
        <f>$A1071*$B1071</f>
        <v>0</v>
      </c>
      <c r="AU1071" s="1">
        <f>$A1071*$O1071</f>
        <v>0</v>
      </c>
      <c r="AV1071" s="1">
        <f>IF($R1071=0,0,INT($A1071/$R1071))</f>
        <v>0</v>
      </c>
      <c r="AW1071" s="1">
        <f>$A1071-$AV1071*$R1071</f>
        <v>0</v>
      </c>
    </row>
    <row r="1072" ht="24.95" customHeight="1" outlineLevel="3" s="1" customFormat="1">
      <c r="A1072" s="15"/>
      <c r="B1072" s="16">
        <v>990</v>
      </c>
      <c r="C1072" s="17">
        <v>1386</v>
      </c>
      <c r="D1072" s="16">
        <v>27728</v>
      </c>
      <c r="E1072" s="18"/>
      <c r="F1072" s="18" t="s">
        <v>3492</v>
      </c>
      <c r="G1072" s="18" t="s">
        <v>3493</v>
      </c>
      <c r="H1072" s="18" t="s">
        <v>73</v>
      </c>
      <c r="I1072" s="18" t="s">
        <v>74</v>
      </c>
      <c r="J1072" s="16">
        <v>2026</v>
      </c>
      <c r="K1072" s="18" t="s">
        <v>3494</v>
      </c>
      <c r="L1072" s="16">
        <v>9785001399513</v>
      </c>
      <c r="M1072" s="18" t="s">
        <v>3495</v>
      </c>
      <c r="N1072" s="16">
        <v>508</v>
      </c>
      <c r="O1072" s="19">
        <v>0.57</v>
      </c>
      <c r="P1072" s="16">
        <v>150</v>
      </c>
      <c r="Q1072" s="16">
        <v>220</v>
      </c>
      <c r="R1072" s="16">
        <v>6</v>
      </c>
      <c r="S1072" s="18" t="s">
        <v>43</v>
      </c>
      <c r="T1072" s="18"/>
      <c r="U1072" s="17">
        <v>1500</v>
      </c>
      <c r="V1072" s="18" t="s">
        <v>77</v>
      </c>
      <c r="W1072" s="18" t="s">
        <v>69</v>
      </c>
      <c r="X1072" s="16">
        <v>10</v>
      </c>
      <c r="Y1072" s="43" t="str">
        <f>HYPERLINK("https://api-enni.alpina.ru/FilePrivilegesApproval/919","https://api-enni.alpina.ru/FilePrivilegesApproval/919")</f>
        <v>https://api-enni.alpina.ru/FilePrivilegesApproval/919</v>
      </c>
      <c r="Z1072" s="18"/>
      <c r="AS1072" s="1">
        <f>IF($A1072&lt;&gt;0,1,0)</f>
        <v>0</v>
      </c>
      <c r="AT1072" s="1">
        <f>$A1072*$B1072</f>
        <v>0</v>
      </c>
      <c r="AU1072" s="1">
        <f>$A1072*$O1072</f>
        <v>0</v>
      </c>
      <c r="AV1072" s="1">
        <f>IF($R1072=0,0,INT($A1072/$R1072))</f>
        <v>0</v>
      </c>
      <c r="AW1072" s="1">
        <f>$A1072-$AV1072*$R1072</f>
        <v>0</v>
      </c>
    </row>
    <row r="1073" ht="24.95" customHeight="1" outlineLevel="3" s="1" customFormat="1">
      <c r="A1073" s="15"/>
      <c r="B1073" s="16">
        <v>790</v>
      </c>
      <c r="C1073" s="17">
        <v>1146</v>
      </c>
      <c r="D1073" s="16">
        <v>18728</v>
      </c>
      <c r="E1073" s="18"/>
      <c r="F1073" s="18" t="s">
        <v>3496</v>
      </c>
      <c r="G1073" s="18" t="s">
        <v>3497</v>
      </c>
      <c r="H1073" s="18" t="s">
        <v>73</v>
      </c>
      <c r="I1073" s="18" t="s">
        <v>74</v>
      </c>
      <c r="J1073" s="16">
        <v>2024</v>
      </c>
      <c r="K1073" s="18" t="s">
        <v>3498</v>
      </c>
      <c r="L1073" s="16">
        <v>9785001393443</v>
      </c>
      <c r="M1073" s="18" t="s">
        <v>3499</v>
      </c>
      <c r="N1073" s="16">
        <v>354</v>
      </c>
      <c r="O1073" s="19">
        <v>0.53</v>
      </c>
      <c r="P1073" s="16">
        <v>150</v>
      </c>
      <c r="Q1073" s="16">
        <v>220</v>
      </c>
      <c r="R1073" s="16">
        <v>12</v>
      </c>
      <c r="S1073" s="18" t="s">
        <v>43</v>
      </c>
      <c r="T1073" s="18"/>
      <c r="U1073" s="17">
        <v>1500</v>
      </c>
      <c r="V1073" s="18" t="s">
        <v>77</v>
      </c>
      <c r="W1073" s="18" t="s">
        <v>69</v>
      </c>
      <c r="X1073" s="16">
        <v>10</v>
      </c>
      <c r="Y1073" s="43" t="str">
        <f>HYPERLINK("https://api-enni.alpina.ru/FilePrivilegesApproval/149","https://api-enni.alpina.ru/FilePrivilegesApproval/149")</f>
        <v>https://api-enni.alpina.ru/FilePrivilegesApproval/149</v>
      </c>
      <c r="Z1073" s="18"/>
      <c r="AS1073" s="1">
        <f>IF($A1073&lt;&gt;0,1,0)</f>
        <v>0</v>
      </c>
      <c r="AT1073" s="1">
        <f>$A1073*$B1073</f>
        <v>0</v>
      </c>
      <c r="AU1073" s="1">
        <f>$A1073*$O1073</f>
        <v>0</v>
      </c>
      <c r="AV1073" s="1">
        <f>IF($R1073=0,0,INT($A1073/$R1073))</f>
        <v>0</v>
      </c>
      <c r="AW1073" s="1">
        <f>$A1073-$AV1073*$R1073</f>
        <v>0</v>
      </c>
    </row>
    <row r="1074" ht="24.95" customHeight="1" outlineLevel="3" s="1" customFormat="1">
      <c r="A1074" s="15"/>
      <c r="B1074" s="17">
        <v>1240</v>
      </c>
      <c r="C1074" s="17">
        <v>1674</v>
      </c>
      <c r="D1074" s="16">
        <v>17944</v>
      </c>
      <c r="E1074" s="18"/>
      <c r="F1074" s="18" t="s">
        <v>3500</v>
      </c>
      <c r="G1074" s="18" t="s">
        <v>3501</v>
      </c>
      <c r="H1074" s="18" t="s">
        <v>73</v>
      </c>
      <c r="I1074" s="18" t="s">
        <v>74</v>
      </c>
      <c r="J1074" s="16">
        <v>2025</v>
      </c>
      <c r="K1074" s="18" t="s">
        <v>3502</v>
      </c>
      <c r="L1074" s="16">
        <v>9785001393658</v>
      </c>
      <c r="M1074" s="18" t="s">
        <v>3503</v>
      </c>
      <c r="N1074" s="16">
        <v>695</v>
      </c>
      <c r="O1074" s="19">
        <v>0.82</v>
      </c>
      <c r="P1074" s="16">
        <v>150</v>
      </c>
      <c r="Q1074" s="16">
        <v>220</v>
      </c>
      <c r="R1074" s="16">
        <v>6</v>
      </c>
      <c r="S1074" s="18" t="s">
        <v>43</v>
      </c>
      <c r="T1074" s="18"/>
      <c r="U1074" s="17">
        <v>2000</v>
      </c>
      <c r="V1074" s="18" t="s">
        <v>77</v>
      </c>
      <c r="W1074" s="18" t="s">
        <v>69</v>
      </c>
      <c r="X1074" s="16">
        <v>10</v>
      </c>
      <c r="Y1074" s="43" t="str">
        <f>HYPERLINK("https://api-enni.alpina.ru/FilePrivilegesApproval/185","https://api-enni.alpina.ru/FilePrivilegesApproval/185")</f>
        <v>https://api-enni.alpina.ru/FilePrivilegesApproval/185</v>
      </c>
      <c r="Z1074" s="18" t="s">
        <v>1110</v>
      </c>
      <c r="AS1074" s="1">
        <f>IF($A1074&lt;&gt;0,1,0)</f>
        <v>0</v>
      </c>
      <c r="AT1074" s="1">
        <f>$A1074*$B1074</f>
        <v>0</v>
      </c>
      <c r="AU1074" s="1">
        <f>$A1074*$O1074</f>
        <v>0</v>
      </c>
      <c r="AV1074" s="1">
        <f>IF($R1074=0,0,INT($A1074/$R1074))</f>
        <v>0</v>
      </c>
      <c r="AW1074" s="1">
        <f>$A1074-$AV1074*$R1074</f>
        <v>0</v>
      </c>
    </row>
    <row r="1075" ht="24.95" customHeight="1" outlineLevel="3" s="1" customFormat="1">
      <c r="A1075" s="15"/>
      <c r="B1075" s="17">
        <v>1890</v>
      </c>
      <c r="C1075" s="17">
        <v>2457</v>
      </c>
      <c r="D1075" s="16">
        <v>21179</v>
      </c>
      <c r="E1075" s="18"/>
      <c r="F1075" s="18" t="s">
        <v>3504</v>
      </c>
      <c r="G1075" s="18" t="s">
        <v>3505</v>
      </c>
      <c r="H1075" s="18" t="s">
        <v>73</v>
      </c>
      <c r="I1075" s="18"/>
      <c r="J1075" s="16">
        <v>2023</v>
      </c>
      <c r="K1075" s="18" t="s">
        <v>3506</v>
      </c>
      <c r="L1075" s="16">
        <v>9785001398172</v>
      </c>
      <c r="M1075" s="18" t="s">
        <v>3507</v>
      </c>
      <c r="N1075" s="16">
        <v>312</v>
      </c>
      <c r="O1075" s="19">
        <v>1.4</v>
      </c>
      <c r="P1075" s="16">
        <v>206</v>
      </c>
      <c r="Q1075" s="16">
        <v>257</v>
      </c>
      <c r="R1075" s="16">
        <v>3</v>
      </c>
      <c r="S1075" s="18" t="s">
        <v>328</v>
      </c>
      <c r="T1075" s="18"/>
      <c r="U1075" s="17">
        <v>2500</v>
      </c>
      <c r="V1075" s="18" t="s">
        <v>77</v>
      </c>
      <c r="W1075" s="18" t="s">
        <v>91</v>
      </c>
      <c r="X1075" s="16">
        <v>10</v>
      </c>
      <c r="Y1075" s="43" t="str">
        <f>HYPERLINK("https://api-enni.alpina.ru/FilePrivilegesApproval/171","https://api-enni.alpina.ru/FilePrivilegesApproval/171")</f>
        <v>https://api-enni.alpina.ru/FilePrivilegesApproval/171</v>
      </c>
      <c r="Z1075" s="18"/>
      <c r="AS1075" s="1">
        <f>IF($A1075&lt;&gt;0,1,0)</f>
        <v>0</v>
      </c>
      <c r="AT1075" s="1">
        <f>$A1075*$B1075</f>
        <v>0</v>
      </c>
      <c r="AU1075" s="1">
        <f>$A1075*$O1075</f>
        <v>0</v>
      </c>
      <c r="AV1075" s="1">
        <f>IF($R1075=0,0,INT($A1075/$R1075))</f>
        <v>0</v>
      </c>
      <c r="AW1075" s="1">
        <f>$A1075-$AV1075*$R1075</f>
        <v>0</v>
      </c>
    </row>
    <row r="1076" ht="24.95" customHeight="1" outlineLevel="3" s="1" customFormat="1">
      <c r="A1076" s="15"/>
      <c r="B1076" s="17">
        <v>1190</v>
      </c>
      <c r="C1076" s="17">
        <v>1607</v>
      </c>
      <c r="D1076" s="16">
        <v>34656</v>
      </c>
      <c r="E1076" s="18"/>
      <c r="F1076" s="18" t="s">
        <v>3508</v>
      </c>
      <c r="G1076" s="18" t="s">
        <v>3509</v>
      </c>
      <c r="H1076" s="18" t="s">
        <v>73</v>
      </c>
      <c r="I1076" s="18"/>
      <c r="J1076" s="16">
        <v>2026</v>
      </c>
      <c r="K1076" s="18" t="s">
        <v>3510</v>
      </c>
      <c r="L1076" s="16">
        <v>9785002236985</v>
      </c>
      <c r="M1076" s="18" t="s">
        <v>3511</v>
      </c>
      <c r="N1076" s="16">
        <v>535</v>
      </c>
      <c r="O1076" s="19">
        <v>0.6</v>
      </c>
      <c r="P1076" s="16">
        <v>160</v>
      </c>
      <c r="Q1076" s="16">
        <v>260</v>
      </c>
      <c r="R1076" s="16">
        <v>4</v>
      </c>
      <c r="S1076" s="18" t="s">
        <v>123</v>
      </c>
      <c r="T1076" s="18"/>
      <c r="U1076" s="17">
        <v>2000</v>
      </c>
      <c r="V1076" s="18" t="s">
        <v>44</v>
      </c>
      <c r="W1076" s="18" t="s">
        <v>69</v>
      </c>
      <c r="X1076" s="16">
        <v>10</v>
      </c>
      <c r="Y1076" s="43" t="str">
        <f>HYPERLINK("https://api-enni.alpina.ru/FilePrivilegesApproval/207","https://api-enni.alpina.ru/FilePrivilegesApproval/207")</f>
        <v>https://api-enni.alpina.ru/FilePrivilegesApproval/207</v>
      </c>
      <c r="Z1076" s="18" t="s">
        <v>773</v>
      </c>
      <c r="AS1076" s="1">
        <f>IF($A1076&lt;&gt;0,1,0)</f>
        <v>0</v>
      </c>
      <c r="AT1076" s="1">
        <f>$A1076*$B1076</f>
        <v>0</v>
      </c>
      <c r="AU1076" s="1">
        <f>$A1076*$O1076</f>
        <v>0</v>
      </c>
      <c r="AV1076" s="1">
        <f>IF($R1076=0,0,INT($A1076/$R1076))</f>
        <v>0</v>
      </c>
      <c r="AW1076" s="1">
        <f>$A1076-$AV1076*$R1076</f>
        <v>0</v>
      </c>
    </row>
    <row r="1077" ht="24.95" customHeight="1" outlineLevel="3" s="1" customFormat="1">
      <c r="A1077" s="15"/>
      <c r="B1077" s="17">
        <v>1190</v>
      </c>
      <c r="C1077" s="17">
        <v>1606</v>
      </c>
      <c r="D1077" s="16">
        <v>33473</v>
      </c>
      <c r="E1077" s="18"/>
      <c r="F1077" s="18" t="s">
        <v>3508</v>
      </c>
      <c r="G1077" s="18" t="s">
        <v>3512</v>
      </c>
      <c r="H1077" s="18" t="s">
        <v>73</v>
      </c>
      <c r="I1077" s="18"/>
      <c r="J1077" s="16">
        <v>2026</v>
      </c>
      <c r="K1077" s="18" t="s">
        <v>3513</v>
      </c>
      <c r="L1077" s="16">
        <v>9785002235773</v>
      </c>
      <c r="M1077" s="18" t="s">
        <v>3514</v>
      </c>
      <c r="N1077" s="16">
        <v>515</v>
      </c>
      <c r="O1077" s="19">
        <v>0.69</v>
      </c>
      <c r="P1077" s="16">
        <v>170</v>
      </c>
      <c r="Q1077" s="16">
        <v>240</v>
      </c>
      <c r="R1077" s="16">
        <v>4</v>
      </c>
      <c r="S1077" s="18" t="s">
        <v>123</v>
      </c>
      <c r="T1077" s="18"/>
      <c r="U1077" s="17">
        <v>1500</v>
      </c>
      <c r="V1077" s="18" t="s">
        <v>77</v>
      </c>
      <c r="W1077" s="18" t="s">
        <v>91</v>
      </c>
      <c r="X1077" s="16">
        <v>10</v>
      </c>
      <c r="Y1077" s="43" t="str">
        <f>HYPERLINK("https://api-enni.alpina.ru/FilePrivilegesApproval/14","https://api-enni.alpina.ru/FilePrivilegesApproval/14")</f>
        <v>https://api-enni.alpina.ru/FilePrivilegesApproval/14</v>
      </c>
      <c r="Z1077" s="18"/>
      <c r="AS1077" s="1">
        <f>IF($A1077&lt;&gt;0,1,0)</f>
        <v>0</v>
      </c>
      <c r="AT1077" s="1">
        <f>$A1077*$B1077</f>
        <v>0</v>
      </c>
      <c r="AU1077" s="1">
        <f>$A1077*$O1077</f>
        <v>0</v>
      </c>
      <c r="AV1077" s="1">
        <f>IF($R1077=0,0,INT($A1077/$R1077))</f>
        <v>0</v>
      </c>
      <c r="AW1077" s="1">
        <f>$A1077-$AV1077*$R1077</f>
        <v>0</v>
      </c>
    </row>
    <row r="1078" ht="24.95" customHeight="1" outlineLevel="3" s="1" customFormat="1">
      <c r="A1078" s="15"/>
      <c r="B1078" s="17">
        <v>1050</v>
      </c>
      <c r="C1078" s="17">
        <v>1418</v>
      </c>
      <c r="D1078" s="16">
        <v>31312</v>
      </c>
      <c r="E1078" s="18"/>
      <c r="F1078" s="18" t="s">
        <v>3515</v>
      </c>
      <c r="G1078" s="18" t="s">
        <v>3516</v>
      </c>
      <c r="H1078" s="18" t="s">
        <v>73</v>
      </c>
      <c r="I1078" s="18" t="s">
        <v>74</v>
      </c>
      <c r="J1078" s="16">
        <v>2025</v>
      </c>
      <c r="K1078" s="18" t="s">
        <v>3517</v>
      </c>
      <c r="L1078" s="16">
        <v>9785002233694</v>
      </c>
      <c r="M1078" s="18" t="s">
        <v>3518</v>
      </c>
      <c r="N1078" s="16">
        <v>567</v>
      </c>
      <c r="O1078" s="19">
        <v>0.61</v>
      </c>
      <c r="P1078" s="16">
        <v>140</v>
      </c>
      <c r="Q1078" s="16">
        <v>220</v>
      </c>
      <c r="R1078" s="16">
        <v>8</v>
      </c>
      <c r="S1078" s="18" t="s">
        <v>43</v>
      </c>
      <c r="T1078" s="18"/>
      <c r="U1078" s="17">
        <v>3000</v>
      </c>
      <c r="V1078" s="18" t="s">
        <v>77</v>
      </c>
      <c r="W1078" s="18" t="s">
        <v>69</v>
      </c>
      <c r="X1078" s="16">
        <v>10</v>
      </c>
      <c r="Y1078" s="43" t="str">
        <f>HYPERLINK("https://api-enni.alpina.ru/FilePrivilegesApproval/878","https://api-enni.alpina.ru/FilePrivilegesApproval/878")</f>
        <v>https://api-enni.alpina.ru/FilePrivilegesApproval/878</v>
      </c>
      <c r="Z1078" s="18"/>
      <c r="AS1078" s="1">
        <f>IF($A1078&lt;&gt;0,1,0)</f>
        <v>0</v>
      </c>
      <c r="AT1078" s="1">
        <f>$A1078*$B1078</f>
        <v>0</v>
      </c>
      <c r="AU1078" s="1">
        <f>$A1078*$O1078</f>
        <v>0</v>
      </c>
      <c r="AV1078" s="1">
        <f>IF($R1078=0,0,INT($A1078/$R1078))</f>
        <v>0</v>
      </c>
      <c r="AW1078" s="1">
        <f>$A1078-$AV1078*$R1078</f>
        <v>0</v>
      </c>
    </row>
    <row r="1079" ht="24.95" customHeight="1" outlineLevel="3" s="1" customFormat="1">
      <c r="A1079" s="15"/>
      <c r="B1079" s="16">
        <v>940</v>
      </c>
      <c r="C1079" s="17">
        <v>1316</v>
      </c>
      <c r="D1079" s="16">
        <v>26370</v>
      </c>
      <c r="E1079" s="18"/>
      <c r="F1079" s="18" t="s">
        <v>3519</v>
      </c>
      <c r="G1079" s="18" t="s">
        <v>3520</v>
      </c>
      <c r="H1079" s="18" t="s">
        <v>73</v>
      </c>
      <c r="I1079" s="18" t="s">
        <v>74</v>
      </c>
      <c r="J1079" s="16">
        <v>2025</v>
      </c>
      <c r="K1079" s="18" t="s">
        <v>3521</v>
      </c>
      <c r="L1079" s="16">
        <v>9785001397588</v>
      </c>
      <c r="M1079" s="18" t="s">
        <v>3522</v>
      </c>
      <c r="N1079" s="16">
        <v>384</v>
      </c>
      <c r="O1079" s="19">
        <v>0.43</v>
      </c>
      <c r="P1079" s="16">
        <v>150</v>
      </c>
      <c r="Q1079" s="16">
        <v>220</v>
      </c>
      <c r="R1079" s="16">
        <v>8</v>
      </c>
      <c r="S1079" s="18" t="s">
        <v>43</v>
      </c>
      <c r="T1079" s="18" t="s">
        <v>134</v>
      </c>
      <c r="U1079" s="17">
        <v>2000</v>
      </c>
      <c r="V1079" s="18" t="s">
        <v>77</v>
      </c>
      <c r="W1079" s="18" t="s">
        <v>55</v>
      </c>
      <c r="X1079" s="16">
        <v>10</v>
      </c>
      <c r="Y1079" s="43" t="str">
        <f>HYPERLINK("https://api-enni.alpina.ru/FilePrivilegesApproval/377","https://api-enni.alpina.ru/FilePrivilegesApproval/377")</f>
        <v>https://api-enni.alpina.ru/FilePrivilegesApproval/377</v>
      </c>
      <c r="Z1079" s="18"/>
      <c r="AS1079" s="1">
        <f>IF($A1079&lt;&gt;0,1,0)</f>
        <v>0</v>
      </c>
      <c r="AT1079" s="1">
        <f>$A1079*$B1079</f>
        <v>0</v>
      </c>
      <c r="AU1079" s="1">
        <f>$A1079*$O1079</f>
        <v>0</v>
      </c>
      <c r="AV1079" s="1">
        <f>IF($R1079=0,0,INT($A1079/$R1079))</f>
        <v>0</v>
      </c>
      <c r="AW1079" s="1">
        <f>$A1079-$AV1079*$R1079</f>
        <v>0</v>
      </c>
    </row>
    <row r="1080" ht="24.95" customHeight="1" outlineLevel="3" s="1" customFormat="1">
      <c r="A1080" s="15"/>
      <c r="B1080" s="17">
        <v>1010</v>
      </c>
      <c r="C1080" s="17">
        <v>1364</v>
      </c>
      <c r="D1080" s="16">
        <v>17153</v>
      </c>
      <c r="E1080" s="18"/>
      <c r="F1080" s="18" t="s">
        <v>3523</v>
      </c>
      <c r="G1080" s="18" t="s">
        <v>3524</v>
      </c>
      <c r="H1080" s="18" t="s">
        <v>73</v>
      </c>
      <c r="I1080" s="18" t="s">
        <v>74</v>
      </c>
      <c r="J1080" s="16">
        <v>2026</v>
      </c>
      <c r="K1080" s="18" t="s">
        <v>3525</v>
      </c>
      <c r="L1080" s="16">
        <v>9785001394266</v>
      </c>
      <c r="M1080" s="18" t="s">
        <v>3526</v>
      </c>
      <c r="N1080" s="16">
        <v>508</v>
      </c>
      <c r="O1080" s="19">
        <v>0.57</v>
      </c>
      <c r="P1080" s="16">
        <v>150</v>
      </c>
      <c r="Q1080" s="16">
        <v>220</v>
      </c>
      <c r="R1080" s="16">
        <v>5</v>
      </c>
      <c r="S1080" s="18" t="s">
        <v>43</v>
      </c>
      <c r="T1080" s="18"/>
      <c r="U1080" s="17">
        <v>1000</v>
      </c>
      <c r="V1080" s="18" t="s">
        <v>77</v>
      </c>
      <c r="W1080" s="18" t="s">
        <v>55</v>
      </c>
      <c r="X1080" s="16">
        <v>10</v>
      </c>
      <c r="Y1080" s="43" t="str">
        <f>HYPERLINK("https://api-enni.alpina.ru/FilePrivilegesApproval/149","https://api-enni.alpina.ru/FilePrivilegesApproval/149")</f>
        <v>https://api-enni.alpina.ru/FilePrivilegesApproval/149</v>
      </c>
      <c r="Z1080" s="18" t="s">
        <v>545</v>
      </c>
      <c r="AS1080" s="1">
        <f>IF($A1080&lt;&gt;0,1,0)</f>
        <v>0</v>
      </c>
      <c r="AT1080" s="1">
        <f>$A1080*$B1080</f>
        <v>0</v>
      </c>
      <c r="AU1080" s="1">
        <f>$A1080*$O1080</f>
        <v>0</v>
      </c>
      <c r="AV1080" s="1">
        <f>IF($R1080=0,0,INT($A1080/$R1080))</f>
        <v>0</v>
      </c>
      <c r="AW1080" s="1">
        <f>$A1080-$AV1080*$R1080</f>
        <v>0</v>
      </c>
    </row>
    <row r="1081" ht="24.95" customHeight="1" outlineLevel="3" s="1" customFormat="1">
      <c r="A1081" s="15"/>
      <c r="B1081" s="16">
        <v>960</v>
      </c>
      <c r="C1081" s="17">
        <v>1344</v>
      </c>
      <c r="D1081" s="16">
        <v>31538</v>
      </c>
      <c r="E1081" s="18"/>
      <c r="F1081" s="18" t="s">
        <v>71</v>
      </c>
      <c r="G1081" s="18" t="s">
        <v>3527</v>
      </c>
      <c r="H1081" s="18" t="s">
        <v>73</v>
      </c>
      <c r="I1081" s="18" t="s">
        <v>74</v>
      </c>
      <c r="J1081" s="16">
        <v>2026</v>
      </c>
      <c r="K1081" s="18" t="s">
        <v>3528</v>
      </c>
      <c r="L1081" s="16">
        <v>9785002233939</v>
      </c>
      <c r="M1081" s="18" t="s">
        <v>3529</v>
      </c>
      <c r="N1081" s="16">
        <v>448</v>
      </c>
      <c r="O1081" s="19">
        <v>0.62</v>
      </c>
      <c r="P1081" s="16">
        <v>150</v>
      </c>
      <c r="Q1081" s="16">
        <v>220</v>
      </c>
      <c r="R1081" s="16">
        <v>10</v>
      </c>
      <c r="S1081" s="18" t="s">
        <v>43</v>
      </c>
      <c r="T1081" s="18"/>
      <c r="U1081" s="17">
        <v>2000</v>
      </c>
      <c r="V1081" s="18" t="s">
        <v>77</v>
      </c>
      <c r="W1081" s="18" t="s">
        <v>69</v>
      </c>
      <c r="X1081" s="16">
        <v>10</v>
      </c>
      <c r="Y1081" s="43" t="str">
        <f>HYPERLINK("https://api-enni.alpina.ru/FilePrivilegesApproval/1082","https://api-enni.alpina.ru/FilePrivilegesApproval/1082")</f>
        <v>https://api-enni.alpina.ru/FilePrivilegesApproval/1082</v>
      </c>
      <c r="Z1081" s="18"/>
      <c r="AS1081" s="1">
        <f>IF($A1081&lt;&gt;0,1,0)</f>
        <v>0</v>
      </c>
      <c r="AT1081" s="1">
        <f>$A1081*$B1081</f>
        <v>0</v>
      </c>
      <c r="AU1081" s="1">
        <f>$A1081*$O1081</f>
        <v>0</v>
      </c>
      <c r="AV1081" s="1">
        <f>IF($R1081=0,0,INT($A1081/$R1081))</f>
        <v>0</v>
      </c>
      <c r="AW1081" s="1">
        <f>$A1081-$AV1081*$R1081</f>
        <v>0</v>
      </c>
    </row>
    <row r="1082" ht="24.95" customHeight="1" outlineLevel="3" s="1" customFormat="1">
      <c r="A1082" s="15"/>
      <c r="B1082" s="16">
        <v>890</v>
      </c>
      <c r="C1082" s="17">
        <v>1246</v>
      </c>
      <c r="D1082" s="16">
        <v>28623</v>
      </c>
      <c r="E1082" s="18"/>
      <c r="F1082" s="18" t="s">
        <v>3530</v>
      </c>
      <c r="G1082" s="18" t="s">
        <v>3531</v>
      </c>
      <c r="H1082" s="18" t="s">
        <v>73</v>
      </c>
      <c r="I1082" s="18" t="s">
        <v>74</v>
      </c>
      <c r="J1082" s="16">
        <v>2025</v>
      </c>
      <c r="K1082" s="18" t="s">
        <v>3532</v>
      </c>
      <c r="L1082" s="16">
        <v>9785002230068</v>
      </c>
      <c r="M1082" s="18" t="s">
        <v>3533</v>
      </c>
      <c r="N1082" s="16">
        <v>448</v>
      </c>
      <c r="O1082" s="19">
        <v>0.48</v>
      </c>
      <c r="P1082" s="16">
        <v>150</v>
      </c>
      <c r="Q1082" s="16">
        <v>220</v>
      </c>
      <c r="R1082" s="16">
        <v>8</v>
      </c>
      <c r="S1082" s="18" t="s">
        <v>43</v>
      </c>
      <c r="T1082" s="18"/>
      <c r="U1082" s="17">
        <v>4000</v>
      </c>
      <c r="V1082" s="18" t="s">
        <v>77</v>
      </c>
      <c r="W1082" s="18" t="s">
        <v>69</v>
      </c>
      <c r="X1082" s="16">
        <v>10</v>
      </c>
      <c r="Y1082" s="43" t="str">
        <f>HYPERLINK("https://api-enni.alpina.ru/FilePrivilegesApproval/802","https://api-enni.alpina.ru/FilePrivilegesApproval/802")</f>
        <v>https://api-enni.alpina.ru/FilePrivilegesApproval/802</v>
      </c>
      <c r="Z1082" s="18"/>
      <c r="AS1082" s="1">
        <f>IF($A1082&lt;&gt;0,1,0)</f>
        <v>0</v>
      </c>
      <c r="AT1082" s="1">
        <f>$A1082*$B1082</f>
        <v>0</v>
      </c>
      <c r="AU1082" s="1">
        <f>$A1082*$O1082</f>
        <v>0</v>
      </c>
      <c r="AV1082" s="1">
        <f>IF($R1082=0,0,INT($A1082/$R1082))</f>
        <v>0</v>
      </c>
      <c r="AW1082" s="1">
        <f>$A1082-$AV1082*$R1082</f>
        <v>0</v>
      </c>
    </row>
    <row r="1083" ht="24.95" customHeight="1" outlineLevel="3" s="1" customFormat="1">
      <c r="A1083" s="15"/>
      <c r="B1083" s="16">
        <v>650</v>
      </c>
      <c r="C1083" s="16">
        <v>850</v>
      </c>
      <c r="D1083" s="16">
        <v>36775</v>
      </c>
      <c r="E1083" s="18"/>
      <c r="F1083" s="18" t="s">
        <v>3534</v>
      </c>
      <c r="G1083" s="18" t="s">
        <v>3535</v>
      </c>
      <c r="H1083" s="18" t="s">
        <v>73</v>
      </c>
      <c r="I1083" s="18"/>
      <c r="J1083" s="16">
        <v>2026</v>
      </c>
      <c r="K1083" s="18" t="s">
        <v>3536</v>
      </c>
      <c r="L1083" s="16">
        <v>9785002239078</v>
      </c>
      <c r="M1083" s="18" t="s">
        <v>3537</v>
      </c>
      <c r="N1083" s="16">
        <v>160</v>
      </c>
      <c r="O1083" s="19">
        <v>0.14</v>
      </c>
      <c r="P1083" s="16">
        <v>110</v>
      </c>
      <c r="Q1083" s="16">
        <v>180</v>
      </c>
      <c r="R1083" s="16">
        <v>12</v>
      </c>
      <c r="S1083" s="18" t="s">
        <v>873</v>
      </c>
      <c r="T1083" s="18" t="s">
        <v>3438</v>
      </c>
      <c r="U1083" s="17">
        <v>2000</v>
      </c>
      <c r="V1083" s="18" t="s">
        <v>44</v>
      </c>
      <c r="W1083" s="18" t="s">
        <v>69</v>
      </c>
      <c r="X1083" s="16">
        <v>10</v>
      </c>
      <c r="Y1083" s="43" t="str">
        <f>HYPERLINK("https://api-enni.alpina.ru/FilePrivilegesApproval/1155","https://api-enni.alpina.ru/FilePrivilegesApproval/1155")</f>
        <v>https://api-enni.alpina.ru/FilePrivilegesApproval/1155</v>
      </c>
      <c r="Z1083" s="18" t="s">
        <v>2419</v>
      </c>
      <c r="AS1083" s="1">
        <f>IF($A1083&lt;&gt;0,1,0)</f>
        <v>0</v>
      </c>
      <c r="AT1083" s="1">
        <f>$A1083*$B1083</f>
        <v>0</v>
      </c>
      <c r="AU1083" s="1">
        <f>$A1083*$O1083</f>
        <v>0</v>
      </c>
      <c r="AV1083" s="1">
        <f>IF($R1083=0,0,INT($A1083/$R1083))</f>
        <v>0</v>
      </c>
      <c r="AW1083" s="1">
        <f>$A1083-$AV1083*$R1083</f>
        <v>0</v>
      </c>
    </row>
    <row r="1084" ht="24.95" customHeight="1" outlineLevel="3" s="1" customFormat="1">
      <c r="A1084" s="15"/>
      <c r="B1084" s="17">
        <v>1140</v>
      </c>
      <c r="C1084" s="17">
        <v>1539</v>
      </c>
      <c r="D1084" s="16">
        <v>24964</v>
      </c>
      <c r="E1084" s="18"/>
      <c r="F1084" s="18" t="s">
        <v>3538</v>
      </c>
      <c r="G1084" s="18" t="s">
        <v>3539</v>
      </c>
      <c r="H1084" s="18" t="s">
        <v>73</v>
      </c>
      <c r="I1084" s="18" t="s">
        <v>74</v>
      </c>
      <c r="J1084" s="16">
        <v>2026</v>
      </c>
      <c r="K1084" s="18" t="s">
        <v>3540</v>
      </c>
      <c r="L1084" s="16">
        <v>9785001398257</v>
      </c>
      <c r="M1084" s="18" t="s">
        <v>3541</v>
      </c>
      <c r="N1084" s="16">
        <v>408</v>
      </c>
      <c r="O1084" s="19">
        <v>0.74</v>
      </c>
      <c r="P1084" s="16">
        <v>170</v>
      </c>
      <c r="Q1084" s="16">
        <v>240</v>
      </c>
      <c r="R1084" s="16">
        <v>5</v>
      </c>
      <c r="S1084" s="18" t="s">
        <v>123</v>
      </c>
      <c r="T1084" s="18"/>
      <c r="U1084" s="17">
        <v>1500</v>
      </c>
      <c r="V1084" s="18" t="s">
        <v>77</v>
      </c>
      <c r="W1084" s="18" t="s">
        <v>69</v>
      </c>
      <c r="X1084" s="16">
        <v>10</v>
      </c>
      <c r="Y1084" s="43" t="str">
        <f>HYPERLINK("https://api-enni.alpina.ru/FilePrivilegesApproval/733","https://api-enni.alpina.ru/FilePrivilegesApproval/733")</f>
        <v>https://api-enni.alpina.ru/FilePrivilegesApproval/733</v>
      </c>
      <c r="Z1084" s="18"/>
      <c r="AS1084" s="1">
        <f>IF($A1084&lt;&gt;0,1,0)</f>
        <v>0</v>
      </c>
      <c r="AT1084" s="1">
        <f>$A1084*$B1084</f>
        <v>0</v>
      </c>
      <c r="AU1084" s="1">
        <f>$A1084*$O1084</f>
        <v>0</v>
      </c>
      <c r="AV1084" s="1">
        <f>IF($R1084=0,0,INT($A1084/$R1084))</f>
        <v>0</v>
      </c>
      <c r="AW1084" s="1">
        <f>$A1084-$AV1084*$R1084</f>
        <v>0</v>
      </c>
    </row>
    <row r="1085" ht="24.95" customHeight="1" outlineLevel="3" s="1" customFormat="1">
      <c r="A1085" s="15"/>
      <c r="B1085" s="16">
        <v>840</v>
      </c>
      <c r="C1085" s="17">
        <v>1218</v>
      </c>
      <c r="D1085" s="16">
        <v>30236</v>
      </c>
      <c r="E1085" s="18"/>
      <c r="F1085" s="18" t="s">
        <v>3542</v>
      </c>
      <c r="G1085" s="18" t="s">
        <v>3543</v>
      </c>
      <c r="H1085" s="18" t="s">
        <v>73</v>
      </c>
      <c r="I1085" s="18" t="s">
        <v>74</v>
      </c>
      <c r="J1085" s="16">
        <v>2025</v>
      </c>
      <c r="K1085" s="18" t="s">
        <v>3544</v>
      </c>
      <c r="L1085" s="16">
        <v>9785002232345</v>
      </c>
      <c r="M1085" s="18" t="s">
        <v>3545</v>
      </c>
      <c r="N1085" s="16">
        <v>546</v>
      </c>
      <c r="O1085" s="19">
        <v>0.54</v>
      </c>
      <c r="P1085" s="16">
        <v>140</v>
      </c>
      <c r="Q1085" s="16">
        <v>210</v>
      </c>
      <c r="R1085" s="16">
        <v>10</v>
      </c>
      <c r="S1085" s="18" t="s">
        <v>43</v>
      </c>
      <c r="T1085" s="18"/>
      <c r="U1085" s="17">
        <v>4000</v>
      </c>
      <c r="V1085" s="18" t="s">
        <v>44</v>
      </c>
      <c r="W1085" s="18" t="s">
        <v>91</v>
      </c>
      <c r="X1085" s="16">
        <v>10</v>
      </c>
      <c r="Y1085" s="43" t="str">
        <f>HYPERLINK("https://api-enni.alpina.ru/FilePrivilegesApproval/146","https://api-enni.alpina.ru/FilePrivilegesApproval/146")</f>
        <v>https://api-enni.alpina.ru/FilePrivilegesApproval/146</v>
      </c>
      <c r="Z1085" s="18"/>
      <c r="AS1085" s="1">
        <f>IF($A1085&lt;&gt;0,1,0)</f>
        <v>0</v>
      </c>
      <c r="AT1085" s="1">
        <f>$A1085*$B1085</f>
        <v>0</v>
      </c>
      <c r="AU1085" s="1">
        <f>$A1085*$O1085</f>
        <v>0</v>
      </c>
      <c r="AV1085" s="1">
        <f>IF($R1085=0,0,INT($A1085/$R1085))</f>
        <v>0</v>
      </c>
      <c r="AW1085" s="1">
        <f>$A1085-$AV1085*$R1085</f>
        <v>0</v>
      </c>
    </row>
    <row r="1086" ht="24.95" customHeight="1" outlineLevel="3" s="1" customFormat="1">
      <c r="A1086" s="15"/>
      <c r="B1086" s="16">
        <v>690</v>
      </c>
      <c r="C1086" s="17">
        <v>1035</v>
      </c>
      <c r="D1086" s="16">
        <v>33220</v>
      </c>
      <c r="E1086" s="18"/>
      <c r="F1086" s="18" t="s">
        <v>3546</v>
      </c>
      <c r="G1086" s="18" t="s">
        <v>3547</v>
      </c>
      <c r="H1086" s="18" t="s">
        <v>86</v>
      </c>
      <c r="I1086" s="18"/>
      <c r="J1086" s="16">
        <v>2026</v>
      </c>
      <c r="K1086" s="18" t="s">
        <v>3548</v>
      </c>
      <c r="L1086" s="16">
        <v>9785006303973</v>
      </c>
      <c r="M1086" s="18" t="s">
        <v>3549</v>
      </c>
      <c r="N1086" s="16">
        <v>336</v>
      </c>
      <c r="O1086" s="19">
        <v>0.51</v>
      </c>
      <c r="P1086" s="16">
        <v>150</v>
      </c>
      <c r="Q1086" s="16">
        <v>220</v>
      </c>
      <c r="R1086" s="16">
        <v>10</v>
      </c>
      <c r="S1086" s="18" t="s">
        <v>43</v>
      </c>
      <c r="T1086" s="18"/>
      <c r="U1086" s="17">
        <v>1000</v>
      </c>
      <c r="V1086" s="18" t="s">
        <v>77</v>
      </c>
      <c r="W1086" s="18" t="s">
        <v>91</v>
      </c>
      <c r="X1086" s="16">
        <v>10</v>
      </c>
      <c r="Y1086" s="43" t="str">
        <f>HYPERLINK("https://api-enni.alpina.ru/FilePrivilegesApproval/1189","https://api-enni.alpina.ru/FilePrivilegesApproval/1189")</f>
        <v>https://api-enni.alpina.ru/FilePrivilegesApproval/1189</v>
      </c>
      <c r="Z1086" s="18" t="s">
        <v>119</v>
      </c>
      <c r="AS1086" s="1">
        <f>IF($A1086&lt;&gt;0,1,0)</f>
        <v>0</v>
      </c>
      <c r="AT1086" s="1">
        <f>$A1086*$B1086</f>
        <v>0</v>
      </c>
      <c r="AU1086" s="1">
        <f>$A1086*$O1086</f>
        <v>0</v>
      </c>
      <c r="AV1086" s="1">
        <f>IF($R1086=0,0,INT($A1086/$R1086))</f>
        <v>0</v>
      </c>
      <c r="AW1086" s="1">
        <f>$A1086-$AV1086*$R1086</f>
        <v>0</v>
      </c>
    </row>
    <row r="1087" ht="24.95" customHeight="1" outlineLevel="3" s="1" customFormat="1">
      <c r="A1087" s="15"/>
      <c r="B1087" s="16">
        <v>990</v>
      </c>
      <c r="C1087" s="17">
        <v>1386</v>
      </c>
      <c r="D1087" s="16">
        <v>32264</v>
      </c>
      <c r="E1087" s="18"/>
      <c r="F1087" s="18" t="s">
        <v>3550</v>
      </c>
      <c r="G1087" s="18" t="s">
        <v>3551</v>
      </c>
      <c r="H1087" s="18" t="s">
        <v>86</v>
      </c>
      <c r="I1087" s="18" t="s">
        <v>74</v>
      </c>
      <c r="J1087" s="16">
        <v>2026</v>
      </c>
      <c r="K1087" s="18" t="s">
        <v>3552</v>
      </c>
      <c r="L1087" s="16">
        <v>9785006301733</v>
      </c>
      <c r="M1087" s="18" t="s">
        <v>3553</v>
      </c>
      <c r="N1087" s="16">
        <v>610</v>
      </c>
      <c r="O1087" s="19">
        <v>0.83</v>
      </c>
      <c r="P1087" s="16">
        <v>150</v>
      </c>
      <c r="Q1087" s="16">
        <v>220</v>
      </c>
      <c r="R1087" s="16">
        <v>8</v>
      </c>
      <c r="S1087" s="18" t="s">
        <v>43</v>
      </c>
      <c r="T1087" s="18"/>
      <c r="U1087" s="17">
        <v>3000</v>
      </c>
      <c r="V1087" s="18" t="s">
        <v>77</v>
      </c>
      <c r="W1087" s="18" t="s">
        <v>69</v>
      </c>
      <c r="X1087" s="16">
        <v>10</v>
      </c>
      <c r="Y1087" s="43" t="str">
        <f>HYPERLINK("https://api-enni.alpina.ru/FilePrivilegesApproval/1009","https://api-enni.alpina.ru/FilePrivilegesApproval/1009")</f>
        <v>https://api-enni.alpina.ru/FilePrivilegesApproval/1009</v>
      </c>
      <c r="Z1087" s="18"/>
      <c r="AS1087" s="1">
        <f>IF($A1087&lt;&gt;0,1,0)</f>
        <v>0</v>
      </c>
      <c r="AT1087" s="1">
        <f>$A1087*$B1087</f>
        <v>0</v>
      </c>
      <c r="AU1087" s="1">
        <f>$A1087*$O1087</f>
        <v>0</v>
      </c>
      <c r="AV1087" s="1">
        <f>IF($R1087=0,0,INT($A1087/$R1087))</f>
        <v>0</v>
      </c>
      <c r="AW1087" s="1">
        <f>$A1087-$AV1087*$R1087</f>
        <v>0</v>
      </c>
    </row>
    <row r="1088" ht="24.95" customHeight="1" outlineLevel="3" s="1" customFormat="1">
      <c r="A1088" s="15"/>
      <c r="B1088" s="17">
        <v>1190</v>
      </c>
      <c r="C1088" s="17">
        <v>1606</v>
      </c>
      <c r="D1088" s="16">
        <v>24048</v>
      </c>
      <c r="E1088" s="18"/>
      <c r="F1088" s="18" t="s">
        <v>3554</v>
      </c>
      <c r="G1088" s="18" t="s">
        <v>3555</v>
      </c>
      <c r="H1088" s="18" t="s">
        <v>73</v>
      </c>
      <c r="I1088" s="18" t="s">
        <v>74</v>
      </c>
      <c r="J1088" s="16">
        <v>2026</v>
      </c>
      <c r="K1088" s="18" t="s">
        <v>3556</v>
      </c>
      <c r="L1088" s="16">
        <v>9785001399186</v>
      </c>
      <c r="M1088" s="18" t="s">
        <v>3557</v>
      </c>
      <c r="N1088" s="16">
        <v>482</v>
      </c>
      <c r="O1088" s="19">
        <v>0.68</v>
      </c>
      <c r="P1088" s="16">
        <v>170</v>
      </c>
      <c r="Q1088" s="16">
        <v>240</v>
      </c>
      <c r="R1088" s="16">
        <v>4</v>
      </c>
      <c r="S1088" s="18" t="s">
        <v>123</v>
      </c>
      <c r="T1088" s="18"/>
      <c r="U1088" s="17">
        <v>1500</v>
      </c>
      <c r="V1088" s="18" t="s">
        <v>77</v>
      </c>
      <c r="W1088" s="18" t="s">
        <v>69</v>
      </c>
      <c r="X1088" s="16">
        <v>10</v>
      </c>
      <c r="Y1088" s="43" t="str">
        <f>HYPERLINK("https://api-enni.alpina.ru/FilePrivilegesApproval/506","https://api-enni.alpina.ru/FilePrivilegesApproval/506")</f>
        <v>https://api-enni.alpina.ru/FilePrivilegesApproval/506</v>
      </c>
      <c r="Z1088" s="18"/>
      <c r="AS1088" s="1">
        <f>IF($A1088&lt;&gt;0,1,0)</f>
        <v>0</v>
      </c>
      <c r="AT1088" s="1">
        <f>$A1088*$B1088</f>
        <v>0</v>
      </c>
      <c r="AU1088" s="1">
        <f>$A1088*$O1088</f>
        <v>0</v>
      </c>
      <c r="AV1088" s="1">
        <f>IF($R1088=0,0,INT($A1088/$R1088))</f>
        <v>0</v>
      </c>
      <c r="AW1088" s="1">
        <f>$A1088-$AV1088*$R1088</f>
        <v>0</v>
      </c>
    </row>
    <row r="1089" ht="24.95" customHeight="1" outlineLevel="3" s="1" customFormat="1">
      <c r="A1089" s="15"/>
      <c r="B1089" s="16">
        <v>840</v>
      </c>
      <c r="C1089" s="17">
        <v>1218</v>
      </c>
      <c r="D1089" s="16">
        <v>31966</v>
      </c>
      <c r="E1089" s="18"/>
      <c r="F1089" s="18" t="s">
        <v>3558</v>
      </c>
      <c r="G1089" s="18" t="s">
        <v>3559</v>
      </c>
      <c r="H1089" s="18" t="s">
        <v>73</v>
      </c>
      <c r="I1089" s="18" t="s">
        <v>74</v>
      </c>
      <c r="J1089" s="16">
        <v>2026</v>
      </c>
      <c r="K1089" s="18" t="s">
        <v>3560</v>
      </c>
      <c r="L1089" s="16">
        <v>9785002234592</v>
      </c>
      <c r="M1089" s="18" t="s">
        <v>3561</v>
      </c>
      <c r="N1089" s="16">
        <v>358</v>
      </c>
      <c r="O1089" s="19">
        <v>0.43</v>
      </c>
      <c r="P1089" s="16">
        <v>150</v>
      </c>
      <c r="Q1089" s="16">
        <v>220</v>
      </c>
      <c r="R1089" s="16">
        <v>10</v>
      </c>
      <c r="S1089" s="18" t="s">
        <v>43</v>
      </c>
      <c r="T1089" s="18"/>
      <c r="U1089" s="17">
        <v>3000</v>
      </c>
      <c r="V1089" s="18" t="s">
        <v>77</v>
      </c>
      <c r="W1089" s="18" t="s">
        <v>91</v>
      </c>
      <c r="X1089" s="16">
        <v>10</v>
      </c>
      <c r="Y1089" s="43" t="str">
        <f>HYPERLINK("https://api-enni.alpina.ru/FilePrivilegesApproval/1003","https://api-enni.alpina.ru/FilePrivilegesApproval/1003")</f>
        <v>https://api-enni.alpina.ru/FilePrivilegesApproval/1003</v>
      </c>
      <c r="Z1089" s="18"/>
      <c r="AS1089" s="1">
        <f>IF($A1089&lt;&gt;0,1,0)</f>
        <v>0</v>
      </c>
      <c r="AT1089" s="1">
        <f>$A1089*$B1089</f>
        <v>0</v>
      </c>
      <c r="AU1089" s="1">
        <f>$A1089*$O1089</f>
        <v>0</v>
      </c>
      <c r="AV1089" s="1">
        <f>IF($R1089=0,0,INT($A1089/$R1089))</f>
        <v>0</v>
      </c>
      <c r="AW1089" s="1">
        <f>$A1089-$AV1089*$R1089</f>
        <v>0</v>
      </c>
    </row>
    <row r="1090" ht="24.95" customHeight="1" outlineLevel="3" s="1" customFormat="1">
      <c r="A1090" s="15"/>
      <c r="B1090" s="16">
        <v>890</v>
      </c>
      <c r="C1090" s="17">
        <v>1246</v>
      </c>
      <c r="D1090" s="16">
        <v>21054</v>
      </c>
      <c r="E1090" s="18"/>
      <c r="F1090" s="18" t="s">
        <v>3562</v>
      </c>
      <c r="G1090" s="18" t="s">
        <v>3563</v>
      </c>
      <c r="H1090" s="18" t="s">
        <v>73</v>
      </c>
      <c r="I1090" s="18" t="s">
        <v>74</v>
      </c>
      <c r="J1090" s="16">
        <v>2023</v>
      </c>
      <c r="K1090" s="18" t="s">
        <v>3564</v>
      </c>
      <c r="L1090" s="16">
        <v>9785001398059</v>
      </c>
      <c r="M1090" s="18" t="s">
        <v>3565</v>
      </c>
      <c r="N1090" s="16">
        <v>392</v>
      </c>
      <c r="O1090" s="19">
        <v>0.56</v>
      </c>
      <c r="P1090" s="16">
        <v>150</v>
      </c>
      <c r="Q1090" s="16">
        <v>220</v>
      </c>
      <c r="R1090" s="16">
        <v>10</v>
      </c>
      <c r="S1090" s="18" t="s">
        <v>43</v>
      </c>
      <c r="T1090" s="18"/>
      <c r="U1090" s="17">
        <v>3000</v>
      </c>
      <c r="V1090" s="18" t="s">
        <v>77</v>
      </c>
      <c r="W1090" s="18" t="s">
        <v>69</v>
      </c>
      <c r="X1090" s="16">
        <v>10</v>
      </c>
      <c r="Y1090" s="43" t="str">
        <f>HYPERLINK("https://api-enni.alpina.ru/FilePrivilegesApproval/171","https://api-enni.alpina.ru/FilePrivilegesApproval/171")</f>
        <v>https://api-enni.alpina.ru/FilePrivilegesApproval/171</v>
      </c>
      <c r="Z1090" s="18"/>
      <c r="AS1090" s="1">
        <f>IF($A1090&lt;&gt;0,1,0)</f>
        <v>0</v>
      </c>
      <c r="AT1090" s="1">
        <f>$A1090*$B1090</f>
        <v>0</v>
      </c>
      <c r="AU1090" s="1">
        <f>$A1090*$O1090</f>
        <v>0</v>
      </c>
      <c r="AV1090" s="1">
        <f>IF($R1090=0,0,INT($A1090/$R1090))</f>
        <v>0</v>
      </c>
      <c r="AW1090" s="1">
        <f>$A1090-$AV1090*$R1090</f>
        <v>0</v>
      </c>
    </row>
    <row r="1091" ht="24.95" customHeight="1" outlineLevel="3" s="1" customFormat="1">
      <c r="A1091" s="15"/>
      <c r="B1091" s="17">
        <v>1190</v>
      </c>
      <c r="C1091" s="17">
        <v>1606</v>
      </c>
      <c r="D1091" s="16">
        <v>29952</v>
      </c>
      <c r="E1091" s="18"/>
      <c r="F1091" s="18" t="s">
        <v>3566</v>
      </c>
      <c r="G1091" s="18" t="s">
        <v>3567</v>
      </c>
      <c r="H1091" s="18" t="s">
        <v>73</v>
      </c>
      <c r="I1091" s="18" t="s">
        <v>74</v>
      </c>
      <c r="J1091" s="16">
        <v>2026</v>
      </c>
      <c r="K1091" s="18" t="s">
        <v>3568</v>
      </c>
      <c r="L1091" s="16">
        <v>9785002232147</v>
      </c>
      <c r="M1091" s="18" t="s">
        <v>3569</v>
      </c>
      <c r="N1091" s="16">
        <v>536</v>
      </c>
      <c r="O1091" s="19">
        <v>0.75</v>
      </c>
      <c r="P1091" s="16">
        <v>170</v>
      </c>
      <c r="Q1091" s="16">
        <v>240</v>
      </c>
      <c r="R1091" s="16">
        <v>3</v>
      </c>
      <c r="S1091" s="18" t="s">
        <v>123</v>
      </c>
      <c r="T1091" s="18"/>
      <c r="U1091" s="17">
        <v>2000</v>
      </c>
      <c r="V1091" s="18" t="s">
        <v>77</v>
      </c>
      <c r="W1091" s="18" t="s">
        <v>69</v>
      </c>
      <c r="X1091" s="16">
        <v>10</v>
      </c>
      <c r="Y1091" s="43" t="str">
        <f>HYPERLINK("https://api-enni.alpina.ru/FilePrivilegesApproval/1015","https://api-enni.alpina.ru/FilePrivilegesApproval/1015")</f>
        <v>https://api-enni.alpina.ru/FilePrivilegesApproval/1015</v>
      </c>
      <c r="Z1091" s="18"/>
      <c r="AS1091" s="1">
        <f>IF($A1091&lt;&gt;0,1,0)</f>
        <v>0</v>
      </c>
      <c r="AT1091" s="1">
        <f>$A1091*$B1091</f>
        <v>0</v>
      </c>
      <c r="AU1091" s="1">
        <f>$A1091*$O1091</f>
        <v>0</v>
      </c>
      <c r="AV1091" s="1">
        <f>IF($R1091=0,0,INT($A1091/$R1091))</f>
        <v>0</v>
      </c>
      <c r="AW1091" s="1">
        <f>$A1091-$AV1091*$R1091</f>
        <v>0</v>
      </c>
    </row>
    <row r="1092" ht="24.95" customHeight="1" outlineLevel="3" s="1" customFormat="1">
      <c r="A1092" s="15"/>
      <c r="B1092" s="17">
        <v>1190</v>
      </c>
      <c r="C1092" s="17">
        <v>1606</v>
      </c>
      <c r="D1092" s="16">
        <v>17403</v>
      </c>
      <c r="E1092" s="18"/>
      <c r="F1092" s="18" t="s">
        <v>3570</v>
      </c>
      <c r="G1092" s="18" t="s">
        <v>3571</v>
      </c>
      <c r="H1092" s="18" t="s">
        <v>73</v>
      </c>
      <c r="I1092" s="18" t="s">
        <v>74</v>
      </c>
      <c r="J1092" s="16">
        <v>2024</v>
      </c>
      <c r="K1092" s="18" t="s">
        <v>3572</v>
      </c>
      <c r="L1092" s="16">
        <v>9785916719611</v>
      </c>
      <c r="M1092" s="18" t="s">
        <v>3573</v>
      </c>
      <c r="N1092" s="16">
        <v>484</v>
      </c>
      <c r="O1092" s="19">
        <v>0.73</v>
      </c>
      <c r="P1092" s="16">
        <v>146</v>
      </c>
      <c r="Q1092" s="16">
        <v>216</v>
      </c>
      <c r="R1092" s="16">
        <v>8</v>
      </c>
      <c r="S1092" s="18" t="s">
        <v>43</v>
      </c>
      <c r="T1092" s="18"/>
      <c r="U1092" s="17">
        <v>2000</v>
      </c>
      <c r="V1092" s="18" t="s">
        <v>77</v>
      </c>
      <c r="W1092" s="18" t="s">
        <v>69</v>
      </c>
      <c r="X1092" s="16">
        <v>10</v>
      </c>
      <c r="Y1092" s="43" t="str">
        <f>HYPERLINK("https://api-enni.alpina.ru/FilePrivilegesApproval/149","https://api-enni.alpina.ru/FilePrivilegesApproval/149")</f>
        <v>https://api-enni.alpina.ru/FilePrivilegesApproval/149</v>
      </c>
      <c r="Z1092" s="18"/>
      <c r="AS1092" s="1">
        <f>IF($A1092&lt;&gt;0,1,0)</f>
        <v>0</v>
      </c>
      <c r="AT1092" s="1">
        <f>$A1092*$B1092</f>
        <v>0</v>
      </c>
      <c r="AU1092" s="1">
        <f>$A1092*$O1092</f>
        <v>0</v>
      </c>
      <c r="AV1092" s="1">
        <f>IF($R1092=0,0,INT($A1092/$R1092))</f>
        <v>0</v>
      </c>
      <c r="AW1092" s="1">
        <f>$A1092-$AV1092*$R1092</f>
        <v>0</v>
      </c>
    </row>
    <row r="1093" ht="24.95" customHeight="1" outlineLevel="3" s="1" customFormat="1">
      <c r="A1093" s="15"/>
      <c r="B1093" s="16">
        <v>640</v>
      </c>
      <c r="C1093" s="16">
        <v>960</v>
      </c>
      <c r="D1093" s="16">
        <v>33107</v>
      </c>
      <c r="E1093" s="18"/>
      <c r="F1093" s="18" t="s">
        <v>3574</v>
      </c>
      <c r="G1093" s="18" t="s">
        <v>3575</v>
      </c>
      <c r="H1093" s="18" t="s">
        <v>86</v>
      </c>
      <c r="I1093" s="18" t="s">
        <v>1213</v>
      </c>
      <c r="J1093" s="16">
        <v>2026</v>
      </c>
      <c r="K1093" s="18" t="s">
        <v>3576</v>
      </c>
      <c r="L1093" s="16">
        <v>9785006303768</v>
      </c>
      <c r="M1093" s="18" t="s">
        <v>3577</v>
      </c>
      <c r="N1093" s="16">
        <v>152</v>
      </c>
      <c r="O1093" s="19">
        <v>0.25</v>
      </c>
      <c r="P1093" s="16">
        <v>130</v>
      </c>
      <c r="Q1093" s="16">
        <v>210</v>
      </c>
      <c r="R1093" s="16">
        <v>20</v>
      </c>
      <c r="S1093" s="18" t="s">
        <v>90</v>
      </c>
      <c r="T1093" s="18"/>
      <c r="U1093" s="17">
        <v>2000</v>
      </c>
      <c r="V1093" s="18" t="s">
        <v>77</v>
      </c>
      <c r="W1093" s="18" t="s">
        <v>69</v>
      </c>
      <c r="X1093" s="16">
        <v>10</v>
      </c>
      <c r="Y1093" s="43" t="str">
        <f>HYPERLINK("https://api-enni.alpina.ru/FilePrivilegesApproval/1018","https://api-enni.alpina.ru/FilePrivilegesApproval/1018")</f>
        <v>https://api-enni.alpina.ru/FilePrivilegesApproval/1018</v>
      </c>
      <c r="Z1093" s="18"/>
      <c r="AS1093" s="1">
        <f>IF($A1093&lt;&gt;0,1,0)</f>
        <v>0</v>
      </c>
      <c r="AT1093" s="1">
        <f>$A1093*$B1093</f>
        <v>0</v>
      </c>
      <c r="AU1093" s="1">
        <f>$A1093*$O1093</f>
        <v>0</v>
      </c>
      <c r="AV1093" s="1">
        <f>IF($R1093=0,0,INT($A1093/$R1093))</f>
        <v>0</v>
      </c>
      <c r="AW1093" s="1">
        <f>$A1093-$AV1093*$R1093</f>
        <v>0</v>
      </c>
    </row>
    <row r="1094" ht="24.95" customHeight="1" outlineLevel="3" s="1" customFormat="1">
      <c r="A1094" s="15"/>
      <c r="B1094" s="16">
        <v>640</v>
      </c>
      <c r="C1094" s="16">
        <v>960</v>
      </c>
      <c r="D1094" s="16">
        <v>31092</v>
      </c>
      <c r="E1094" s="18"/>
      <c r="F1094" s="18" t="s">
        <v>3578</v>
      </c>
      <c r="G1094" s="18" t="s">
        <v>3579</v>
      </c>
      <c r="H1094" s="18" t="s">
        <v>86</v>
      </c>
      <c r="I1094" s="18" t="s">
        <v>74</v>
      </c>
      <c r="J1094" s="16">
        <v>2025</v>
      </c>
      <c r="K1094" s="18" t="s">
        <v>3580</v>
      </c>
      <c r="L1094" s="16">
        <v>9785961497465</v>
      </c>
      <c r="M1094" s="18" t="s">
        <v>3581</v>
      </c>
      <c r="N1094" s="16">
        <v>222</v>
      </c>
      <c r="O1094" s="19">
        <v>0.37</v>
      </c>
      <c r="P1094" s="16">
        <v>150</v>
      </c>
      <c r="Q1094" s="16">
        <v>220</v>
      </c>
      <c r="R1094" s="16">
        <v>8</v>
      </c>
      <c r="S1094" s="18" t="s">
        <v>43</v>
      </c>
      <c r="T1094" s="18"/>
      <c r="U1094" s="17">
        <v>2000</v>
      </c>
      <c r="V1094" s="18" t="s">
        <v>77</v>
      </c>
      <c r="W1094" s="18" t="s">
        <v>91</v>
      </c>
      <c r="X1094" s="16">
        <v>10</v>
      </c>
      <c r="Y1094" s="43" t="str">
        <f>HYPERLINK("https://api-enni.alpina.ru/FilePrivilegesApproval/909","https://api-enni.alpina.ru/FilePrivilegesApproval/909")</f>
        <v>https://api-enni.alpina.ru/FilePrivilegesApproval/909</v>
      </c>
      <c r="Z1094" s="18"/>
      <c r="AS1094" s="1">
        <f>IF($A1094&lt;&gt;0,1,0)</f>
        <v>0</v>
      </c>
      <c r="AT1094" s="1">
        <f>$A1094*$B1094</f>
        <v>0</v>
      </c>
      <c r="AU1094" s="1">
        <f>$A1094*$O1094</f>
        <v>0</v>
      </c>
      <c r="AV1094" s="1">
        <f>IF($R1094=0,0,INT($A1094/$R1094))</f>
        <v>0</v>
      </c>
      <c r="AW1094" s="1">
        <f>$A1094-$AV1094*$R1094</f>
        <v>0</v>
      </c>
    </row>
    <row r="1095" ht="24.95" customHeight="1" outlineLevel="3" s="1" customFormat="1">
      <c r="A1095" s="15"/>
      <c r="B1095" s="16">
        <v>490</v>
      </c>
      <c r="C1095" s="16">
        <v>760</v>
      </c>
      <c r="D1095" s="16">
        <v>24046</v>
      </c>
      <c r="E1095" s="18"/>
      <c r="F1095" s="18" t="s">
        <v>356</v>
      </c>
      <c r="G1095" s="18" t="s">
        <v>3582</v>
      </c>
      <c r="H1095" s="18" t="s">
        <v>73</v>
      </c>
      <c r="I1095" s="18" t="s">
        <v>74</v>
      </c>
      <c r="J1095" s="16">
        <v>2025</v>
      </c>
      <c r="K1095" s="18" t="s">
        <v>3583</v>
      </c>
      <c r="L1095" s="16">
        <v>9785001398202</v>
      </c>
      <c r="M1095" s="18" t="s">
        <v>3584</v>
      </c>
      <c r="N1095" s="16">
        <v>336</v>
      </c>
      <c r="O1095" s="19">
        <v>0.22</v>
      </c>
      <c r="P1095" s="16">
        <v>120</v>
      </c>
      <c r="Q1095" s="16">
        <v>170</v>
      </c>
      <c r="R1095" s="16">
        <v>20</v>
      </c>
      <c r="S1095" s="18" t="s">
        <v>190</v>
      </c>
      <c r="T1095" s="18"/>
      <c r="U1095" s="17">
        <v>2000</v>
      </c>
      <c r="V1095" s="18" t="s">
        <v>44</v>
      </c>
      <c r="W1095" s="18" t="s">
        <v>69</v>
      </c>
      <c r="X1095" s="16">
        <v>10</v>
      </c>
      <c r="Y1095" s="43" t="str">
        <f>HYPERLINK("https://api-enni.alpina.ru/FilePrivilegesApproval/298","https://api-enni.alpina.ru/FilePrivilegesApproval/298")</f>
        <v>https://api-enni.alpina.ru/FilePrivilegesApproval/298</v>
      </c>
      <c r="Z1095" s="18"/>
      <c r="AS1095" s="1">
        <f>IF($A1095&lt;&gt;0,1,0)</f>
        <v>0</v>
      </c>
      <c r="AT1095" s="1">
        <f>$A1095*$B1095</f>
        <v>0</v>
      </c>
      <c r="AU1095" s="1">
        <f>$A1095*$O1095</f>
        <v>0</v>
      </c>
      <c r="AV1095" s="1">
        <f>IF($R1095=0,0,INT($A1095/$R1095))</f>
        <v>0</v>
      </c>
      <c r="AW1095" s="1">
        <f>$A1095-$AV1095*$R1095</f>
        <v>0</v>
      </c>
    </row>
    <row r="1096" ht="24.95" customHeight="1" outlineLevel="3" s="1" customFormat="1">
      <c r="A1096" s="15"/>
      <c r="B1096" s="17">
        <v>1190</v>
      </c>
      <c r="C1096" s="17">
        <v>1606</v>
      </c>
      <c r="D1096" s="16">
        <v>25487</v>
      </c>
      <c r="E1096" s="18"/>
      <c r="F1096" s="18" t="s">
        <v>3465</v>
      </c>
      <c r="G1096" s="18" t="s">
        <v>3585</v>
      </c>
      <c r="H1096" s="18" t="s">
        <v>73</v>
      </c>
      <c r="I1096" s="18" t="s">
        <v>74</v>
      </c>
      <c r="J1096" s="16">
        <v>2026</v>
      </c>
      <c r="K1096" s="18" t="s">
        <v>3586</v>
      </c>
      <c r="L1096" s="16">
        <v>9785001396802</v>
      </c>
      <c r="M1096" s="18" t="s">
        <v>3587</v>
      </c>
      <c r="N1096" s="16">
        <v>552</v>
      </c>
      <c r="O1096" s="19">
        <v>0.78</v>
      </c>
      <c r="P1096" s="16">
        <v>170</v>
      </c>
      <c r="Q1096" s="16">
        <v>250</v>
      </c>
      <c r="R1096" s="16">
        <v>3</v>
      </c>
      <c r="S1096" s="18" t="s">
        <v>123</v>
      </c>
      <c r="T1096" s="18"/>
      <c r="U1096" s="17">
        <v>2000</v>
      </c>
      <c r="V1096" s="18" t="s">
        <v>77</v>
      </c>
      <c r="W1096" s="18" t="s">
        <v>69</v>
      </c>
      <c r="X1096" s="16">
        <v>10</v>
      </c>
      <c r="Y1096" s="43" t="str">
        <f>HYPERLINK("https://api-enni.alpina.ru/FilePrivilegesApproval/1155","https://api-enni.alpina.ru/FilePrivilegesApproval/1155")</f>
        <v>https://api-enni.alpina.ru/FilePrivilegesApproval/1155</v>
      </c>
      <c r="Z1096" s="18"/>
      <c r="AS1096" s="1">
        <f>IF($A1096&lt;&gt;0,1,0)</f>
        <v>0</v>
      </c>
      <c r="AT1096" s="1">
        <f>$A1096*$B1096</f>
        <v>0</v>
      </c>
      <c r="AU1096" s="1">
        <f>$A1096*$O1096</f>
        <v>0</v>
      </c>
      <c r="AV1096" s="1">
        <f>IF($R1096=0,0,INT($A1096/$R1096))</f>
        <v>0</v>
      </c>
      <c r="AW1096" s="1">
        <f>$A1096-$AV1096*$R1096</f>
        <v>0</v>
      </c>
    </row>
    <row r="1097" ht="24.95" customHeight="1" outlineLevel="3" s="1" customFormat="1">
      <c r="A1097" s="15"/>
      <c r="B1097" s="16">
        <v>690</v>
      </c>
      <c r="C1097" s="17">
        <v>1035</v>
      </c>
      <c r="D1097" s="16">
        <v>32065</v>
      </c>
      <c r="E1097" s="18"/>
      <c r="F1097" s="18" t="s">
        <v>3588</v>
      </c>
      <c r="G1097" s="18" t="s">
        <v>3589</v>
      </c>
      <c r="H1097" s="18" t="s">
        <v>86</v>
      </c>
      <c r="I1097" s="18" t="s">
        <v>74</v>
      </c>
      <c r="J1097" s="16">
        <v>2026</v>
      </c>
      <c r="K1097" s="18" t="s">
        <v>3590</v>
      </c>
      <c r="L1097" s="16">
        <v>9785006301122</v>
      </c>
      <c r="M1097" s="18" t="s">
        <v>3591</v>
      </c>
      <c r="N1097" s="16">
        <v>336</v>
      </c>
      <c r="O1097" s="19">
        <v>0.51</v>
      </c>
      <c r="P1097" s="16">
        <v>150</v>
      </c>
      <c r="Q1097" s="16">
        <v>220</v>
      </c>
      <c r="R1097" s="16">
        <v>12</v>
      </c>
      <c r="S1097" s="18" t="s">
        <v>43</v>
      </c>
      <c r="T1097" s="18"/>
      <c r="U1097" s="17">
        <v>2000</v>
      </c>
      <c r="V1097" s="18" t="s">
        <v>77</v>
      </c>
      <c r="W1097" s="18" t="s">
        <v>69</v>
      </c>
      <c r="X1097" s="16">
        <v>10</v>
      </c>
      <c r="Y1097" s="43" t="str">
        <f>HYPERLINK("https://api-enni.alpina.ru/FilePrivilegesApproval/1141","https://api-enni.alpina.ru/FilePrivilegesApproval/1141")</f>
        <v>https://api-enni.alpina.ru/FilePrivilegesApproval/1141</v>
      </c>
      <c r="Z1097" s="18" t="s">
        <v>1220</v>
      </c>
      <c r="AS1097" s="1">
        <f>IF($A1097&lt;&gt;0,1,0)</f>
        <v>0</v>
      </c>
      <c r="AT1097" s="1">
        <f>$A1097*$B1097</f>
        <v>0</v>
      </c>
      <c r="AU1097" s="1">
        <f>$A1097*$O1097</f>
        <v>0</v>
      </c>
      <c r="AV1097" s="1">
        <f>IF($R1097=0,0,INT($A1097/$R1097))</f>
        <v>0</v>
      </c>
      <c r="AW1097" s="1">
        <f>$A1097-$AV1097*$R1097</f>
        <v>0</v>
      </c>
    </row>
    <row r="1098" ht="24.95" customHeight="1" outlineLevel="3" s="1" customFormat="1">
      <c r="A1098" s="15"/>
      <c r="B1098" s="16">
        <v>990</v>
      </c>
      <c r="C1098" s="17">
        <v>1386</v>
      </c>
      <c r="D1098" s="16">
        <v>5821</v>
      </c>
      <c r="E1098" s="18"/>
      <c r="F1098" s="18" t="s">
        <v>3592</v>
      </c>
      <c r="G1098" s="18" t="s">
        <v>3593</v>
      </c>
      <c r="H1098" s="18" t="s">
        <v>73</v>
      </c>
      <c r="I1098" s="18" t="s">
        <v>74</v>
      </c>
      <c r="J1098" s="16">
        <v>2025</v>
      </c>
      <c r="K1098" s="18" t="s">
        <v>3594</v>
      </c>
      <c r="L1098" s="16">
        <v>9785001390008</v>
      </c>
      <c r="M1098" s="18" t="s">
        <v>3595</v>
      </c>
      <c r="N1098" s="16">
        <v>452</v>
      </c>
      <c r="O1098" s="19">
        <v>0.52</v>
      </c>
      <c r="P1098" s="16">
        <v>146</v>
      </c>
      <c r="Q1098" s="16">
        <v>216</v>
      </c>
      <c r="R1098" s="16">
        <v>8</v>
      </c>
      <c r="S1098" s="18" t="s">
        <v>43</v>
      </c>
      <c r="T1098" s="18"/>
      <c r="U1098" s="17">
        <v>2000</v>
      </c>
      <c r="V1098" s="18" t="s">
        <v>77</v>
      </c>
      <c r="W1098" s="18" t="s">
        <v>69</v>
      </c>
      <c r="X1098" s="16">
        <v>10</v>
      </c>
      <c r="Y1098" s="43" t="str">
        <f>HYPERLINK("https://api-enni.alpina.ru/FilePrivilegesApproval/5","https://api-enni.alpina.ru/FilePrivilegesApproval/5")</f>
        <v>https://api-enni.alpina.ru/FilePrivilegesApproval/5</v>
      </c>
      <c r="Z1098" s="18"/>
      <c r="AS1098" s="1">
        <f>IF($A1098&lt;&gt;0,1,0)</f>
        <v>0</v>
      </c>
      <c r="AT1098" s="1">
        <f>$A1098*$B1098</f>
        <v>0</v>
      </c>
      <c r="AU1098" s="1">
        <f>$A1098*$O1098</f>
        <v>0</v>
      </c>
      <c r="AV1098" s="1">
        <f>IF($R1098=0,0,INT($A1098/$R1098))</f>
        <v>0</v>
      </c>
      <c r="AW1098" s="1">
        <f>$A1098-$AV1098*$R1098</f>
        <v>0</v>
      </c>
    </row>
    <row r="1099" ht="24.95" customHeight="1" outlineLevel="3" s="1" customFormat="1">
      <c r="A1099" s="15"/>
      <c r="B1099" s="17">
        <v>1290</v>
      </c>
      <c r="C1099" s="17">
        <v>1742</v>
      </c>
      <c r="D1099" s="16">
        <v>18190</v>
      </c>
      <c r="E1099" s="18"/>
      <c r="F1099" s="18" t="s">
        <v>3596</v>
      </c>
      <c r="G1099" s="18" t="s">
        <v>3597</v>
      </c>
      <c r="H1099" s="18" t="s">
        <v>73</v>
      </c>
      <c r="I1099" s="18" t="s">
        <v>87</v>
      </c>
      <c r="J1099" s="16">
        <v>2024</v>
      </c>
      <c r="K1099" s="18" t="s">
        <v>3598</v>
      </c>
      <c r="L1099" s="16">
        <v>9785001395225</v>
      </c>
      <c r="M1099" s="18" t="s">
        <v>3599</v>
      </c>
      <c r="N1099" s="16">
        <v>408</v>
      </c>
      <c r="O1099" s="19">
        <v>0.86</v>
      </c>
      <c r="P1099" s="16">
        <v>170</v>
      </c>
      <c r="Q1099" s="16">
        <v>220</v>
      </c>
      <c r="R1099" s="16">
        <v>5</v>
      </c>
      <c r="S1099" s="18" t="s">
        <v>52</v>
      </c>
      <c r="T1099" s="18"/>
      <c r="U1099" s="17">
        <v>7000</v>
      </c>
      <c r="V1099" s="18" t="s">
        <v>77</v>
      </c>
      <c r="W1099" s="18" t="s">
        <v>45</v>
      </c>
      <c r="X1099" s="16">
        <v>10</v>
      </c>
      <c r="Y1099" s="43" t="str">
        <f>HYPERLINK("https://api-enni.alpina.ru/FilePrivilegesApproval/185","https://api-enni.alpina.ru/FilePrivilegesApproval/185")</f>
        <v>https://api-enni.alpina.ru/FilePrivilegesApproval/185</v>
      </c>
      <c r="Z1099" s="18"/>
      <c r="AS1099" s="1">
        <f>IF($A1099&lt;&gt;0,1,0)</f>
        <v>0</v>
      </c>
      <c r="AT1099" s="1">
        <f>$A1099*$B1099</f>
        <v>0</v>
      </c>
      <c r="AU1099" s="1">
        <f>$A1099*$O1099</f>
        <v>0</v>
      </c>
      <c r="AV1099" s="1">
        <f>IF($R1099=0,0,INT($A1099/$R1099))</f>
        <v>0</v>
      </c>
      <c r="AW1099" s="1">
        <f>$A1099-$AV1099*$R1099</f>
        <v>0</v>
      </c>
    </row>
    <row r="1100" ht="24.95" customHeight="1" outlineLevel="3" s="1" customFormat="1">
      <c r="A1100" s="15"/>
      <c r="B1100" s="17">
        <v>2490</v>
      </c>
      <c r="C1100" s="17">
        <v>3237</v>
      </c>
      <c r="D1100" s="16">
        <v>23139</v>
      </c>
      <c r="E1100" s="18"/>
      <c r="F1100" s="18" t="s">
        <v>3504</v>
      </c>
      <c r="G1100" s="18" t="s">
        <v>3600</v>
      </c>
      <c r="H1100" s="18" t="s">
        <v>73</v>
      </c>
      <c r="I1100" s="18"/>
      <c r="J1100" s="16">
        <v>2026</v>
      </c>
      <c r="K1100" s="18" t="s">
        <v>3601</v>
      </c>
      <c r="L1100" s="16">
        <v>9785001394785</v>
      </c>
      <c r="M1100" s="18" t="s">
        <v>3602</v>
      </c>
      <c r="N1100" s="16">
        <v>240</v>
      </c>
      <c r="O1100" s="19">
        <v>1.24</v>
      </c>
      <c r="P1100" s="16">
        <v>210</v>
      </c>
      <c r="Q1100" s="16">
        <v>260</v>
      </c>
      <c r="R1100" s="16">
        <v>5</v>
      </c>
      <c r="S1100" s="18" t="s">
        <v>328</v>
      </c>
      <c r="T1100" s="18"/>
      <c r="U1100" s="17">
        <v>1000</v>
      </c>
      <c r="V1100" s="18" t="s">
        <v>77</v>
      </c>
      <c r="W1100" s="18" t="s">
        <v>184</v>
      </c>
      <c r="X1100" s="16">
        <v>10</v>
      </c>
      <c r="Y1100" s="43" t="str">
        <f>HYPERLINK("https://api-enni.alpina.ru/FilePrivilegesApproval/247","https://api-enni.alpina.ru/FilePrivilegesApproval/247")</f>
        <v>https://api-enni.alpina.ru/FilePrivilegesApproval/247</v>
      </c>
      <c r="Z1100" s="18" t="s">
        <v>1313</v>
      </c>
      <c r="AS1100" s="1">
        <f>IF($A1100&lt;&gt;0,1,0)</f>
        <v>0</v>
      </c>
      <c r="AT1100" s="1">
        <f>$A1100*$B1100</f>
        <v>0</v>
      </c>
      <c r="AU1100" s="1">
        <f>$A1100*$O1100</f>
        <v>0</v>
      </c>
      <c r="AV1100" s="1">
        <f>IF($R1100=0,0,INT($A1100/$R1100))</f>
        <v>0</v>
      </c>
      <c r="AW1100" s="1">
        <f>$A1100-$AV1100*$R1100</f>
        <v>0</v>
      </c>
    </row>
    <row r="1101" ht="24.95" customHeight="1" outlineLevel="3" s="1" customFormat="1">
      <c r="A1101" s="15"/>
      <c r="B1101" s="16">
        <v>990</v>
      </c>
      <c r="C1101" s="17">
        <v>1386</v>
      </c>
      <c r="D1101" s="16">
        <v>28557</v>
      </c>
      <c r="E1101" s="18"/>
      <c r="F1101" s="18" t="s">
        <v>3603</v>
      </c>
      <c r="G1101" s="18" t="s">
        <v>3604</v>
      </c>
      <c r="H1101" s="18" t="s">
        <v>73</v>
      </c>
      <c r="I1101" s="18" t="s">
        <v>74</v>
      </c>
      <c r="J1101" s="16">
        <v>2025</v>
      </c>
      <c r="K1101" s="18" t="s">
        <v>3605</v>
      </c>
      <c r="L1101" s="16">
        <v>9785002230259</v>
      </c>
      <c r="M1101" s="18" t="s">
        <v>3606</v>
      </c>
      <c r="N1101" s="16">
        <v>478</v>
      </c>
      <c r="O1101" s="19">
        <v>0.52</v>
      </c>
      <c r="P1101" s="16">
        <v>150</v>
      </c>
      <c r="Q1101" s="16">
        <v>220</v>
      </c>
      <c r="R1101" s="16">
        <v>8</v>
      </c>
      <c r="S1101" s="18" t="s">
        <v>43</v>
      </c>
      <c r="T1101" s="18"/>
      <c r="U1101" s="17">
        <v>1500</v>
      </c>
      <c r="V1101" s="18" t="s">
        <v>77</v>
      </c>
      <c r="W1101" s="18" t="s">
        <v>45</v>
      </c>
      <c r="X1101" s="16">
        <v>10</v>
      </c>
      <c r="Y1101" s="43" t="str">
        <f>HYPERLINK("https://api-enni.alpina.ru/FilePrivilegesApproval/802","https://api-enni.alpina.ru/FilePrivilegesApproval/802")</f>
        <v>https://api-enni.alpina.ru/FilePrivilegesApproval/802</v>
      </c>
      <c r="Z1101" s="18"/>
      <c r="AS1101" s="1">
        <f>IF($A1101&lt;&gt;0,1,0)</f>
        <v>0</v>
      </c>
      <c r="AT1101" s="1">
        <f>$A1101*$B1101</f>
        <v>0</v>
      </c>
      <c r="AU1101" s="1">
        <f>$A1101*$O1101</f>
        <v>0</v>
      </c>
      <c r="AV1101" s="1">
        <f>IF($R1101=0,0,INT($A1101/$R1101))</f>
        <v>0</v>
      </c>
      <c r="AW1101" s="1">
        <f>$A1101-$AV1101*$R1101</f>
        <v>0</v>
      </c>
    </row>
    <row r="1102" ht="24.95" customHeight="1" outlineLevel="3" s="1" customFormat="1">
      <c r="A1102" s="15"/>
      <c r="B1102" s="16">
        <v>590</v>
      </c>
      <c r="C1102" s="16">
        <v>885</v>
      </c>
      <c r="D1102" s="16">
        <v>32715</v>
      </c>
      <c r="E1102" s="18"/>
      <c r="F1102" s="18" t="s">
        <v>3607</v>
      </c>
      <c r="G1102" s="18" t="s">
        <v>3608</v>
      </c>
      <c r="H1102" s="18" t="s">
        <v>73</v>
      </c>
      <c r="I1102" s="18" t="s">
        <v>74</v>
      </c>
      <c r="J1102" s="16">
        <v>2026</v>
      </c>
      <c r="K1102" s="18" t="s">
        <v>3609</v>
      </c>
      <c r="L1102" s="16">
        <v>9785916719727</v>
      </c>
      <c r="M1102" s="18" t="s">
        <v>3610</v>
      </c>
      <c r="N1102" s="16">
        <v>624</v>
      </c>
      <c r="O1102" s="19">
        <v>0.4</v>
      </c>
      <c r="P1102" s="16">
        <v>120</v>
      </c>
      <c r="Q1102" s="16">
        <v>170</v>
      </c>
      <c r="R1102" s="16">
        <v>6</v>
      </c>
      <c r="S1102" s="18" t="s">
        <v>190</v>
      </c>
      <c r="T1102" s="18"/>
      <c r="U1102" s="17">
        <v>2000</v>
      </c>
      <c r="V1102" s="18" t="s">
        <v>44</v>
      </c>
      <c r="W1102" s="18" t="s">
        <v>69</v>
      </c>
      <c r="X1102" s="16">
        <v>10</v>
      </c>
      <c r="Y1102" s="43" t="str">
        <f>HYPERLINK("https://api-enni.alpina.ru/FilePrivilegesApproval/171","https://api-enni.alpina.ru/FilePrivilegesApproval/171")</f>
        <v>https://api-enni.alpina.ru/FilePrivilegesApproval/171</v>
      </c>
      <c r="Z1102" s="18" t="s">
        <v>1313</v>
      </c>
      <c r="AS1102" s="1">
        <f>IF($A1102&lt;&gt;0,1,0)</f>
        <v>0</v>
      </c>
      <c r="AT1102" s="1">
        <f>$A1102*$B1102</f>
        <v>0</v>
      </c>
      <c r="AU1102" s="1">
        <f>$A1102*$O1102</f>
        <v>0</v>
      </c>
      <c r="AV1102" s="1">
        <f>IF($R1102=0,0,INT($A1102/$R1102))</f>
        <v>0</v>
      </c>
      <c r="AW1102" s="1">
        <f>$A1102-$AV1102*$R1102</f>
        <v>0</v>
      </c>
    </row>
    <row r="1103" ht="24.95" customHeight="1" outlineLevel="3" s="1" customFormat="1">
      <c r="A1103" s="15"/>
      <c r="B1103" s="16">
        <v>990</v>
      </c>
      <c r="C1103" s="17">
        <v>1386</v>
      </c>
      <c r="D1103" s="16">
        <v>3184</v>
      </c>
      <c r="E1103" s="18"/>
      <c r="F1103" s="18" t="s">
        <v>686</v>
      </c>
      <c r="G1103" s="18" t="s">
        <v>3611</v>
      </c>
      <c r="H1103" s="18" t="s">
        <v>73</v>
      </c>
      <c r="I1103" s="18" t="s">
        <v>74</v>
      </c>
      <c r="J1103" s="16">
        <v>2026</v>
      </c>
      <c r="K1103" s="18" t="s">
        <v>3612</v>
      </c>
      <c r="L1103" s="16">
        <v>9785916718744</v>
      </c>
      <c r="M1103" s="18" t="s">
        <v>3613</v>
      </c>
      <c r="N1103" s="16">
        <v>538</v>
      </c>
      <c r="O1103" s="19">
        <v>0.63</v>
      </c>
      <c r="P1103" s="16">
        <v>147</v>
      </c>
      <c r="Q1103" s="16">
        <v>216</v>
      </c>
      <c r="R1103" s="16">
        <v>10</v>
      </c>
      <c r="S1103" s="18" t="s">
        <v>43</v>
      </c>
      <c r="T1103" s="18"/>
      <c r="U1103" s="17">
        <v>1500</v>
      </c>
      <c r="V1103" s="18" t="s">
        <v>77</v>
      </c>
      <c r="W1103" s="18" t="s">
        <v>69</v>
      </c>
      <c r="X1103" s="16">
        <v>10</v>
      </c>
      <c r="Y1103" s="43" t="str">
        <f>HYPERLINK("https://api-enni.alpina.ru/FilePrivilegesApproval/131","https://api-enni.alpina.ru/FilePrivilegesApproval/131")</f>
        <v>https://api-enni.alpina.ru/FilePrivilegesApproval/131</v>
      </c>
      <c r="Z1103" s="18"/>
      <c r="AS1103" s="1">
        <f>IF($A1103&lt;&gt;0,1,0)</f>
        <v>0</v>
      </c>
      <c r="AT1103" s="1">
        <f>$A1103*$B1103</f>
        <v>0</v>
      </c>
      <c r="AU1103" s="1">
        <f>$A1103*$O1103</f>
        <v>0</v>
      </c>
      <c r="AV1103" s="1">
        <f>IF($R1103=0,0,INT($A1103/$R1103))</f>
        <v>0</v>
      </c>
      <c r="AW1103" s="1">
        <f>$A1103-$AV1103*$R1103</f>
        <v>0</v>
      </c>
    </row>
    <row r="1104" ht="24.95" customHeight="1" outlineLevel="3" s="1" customFormat="1">
      <c r="A1104" s="25"/>
      <c r="B1104" s="26">
        <v>790</v>
      </c>
      <c r="C1104" s="29">
        <v>1146</v>
      </c>
      <c r="D1104" s="26">
        <v>31279</v>
      </c>
      <c r="E1104" s="27"/>
      <c r="F1104" s="27" t="s">
        <v>3469</v>
      </c>
      <c r="G1104" s="27" t="s">
        <v>3614</v>
      </c>
      <c r="H1104" s="27" t="s">
        <v>73</v>
      </c>
      <c r="I1104" s="27"/>
      <c r="J1104" s="26">
        <v>2025</v>
      </c>
      <c r="K1104" s="27" t="s">
        <v>3615</v>
      </c>
      <c r="L1104" s="26">
        <v>9785002233656</v>
      </c>
      <c r="M1104" s="27" t="s">
        <v>3616</v>
      </c>
      <c r="N1104" s="26">
        <v>368</v>
      </c>
      <c r="O1104" s="28">
        <v>0.34</v>
      </c>
      <c r="P1104" s="26">
        <v>140</v>
      </c>
      <c r="Q1104" s="26">
        <v>210</v>
      </c>
      <c r="R1104" s="26">
        <v>5</v>
      </c>
      <c r="S1104" s="27" t="s">
        <v>43</v>
      </c>
      <c r="T1104" s="27"/>
      <c r="U1104" s="29">
        <v>1000</v>
      </c>
      <c r="V1104" s="27" t="s">
        <v>44</v>
      </c>
      <c r="W1104" s="27" t="s">
        <v>184</v>
      </c>
      <c r="X1104" s="26">
        <v>10</v>
      </c>
      <c r="Y1104" s="45" t="str">
        <f>HYPERLINK("https://api-enni.alpina.ru/FilePrivilegesApproval/175","https://api-enni.alpina.ru/FilePrivilegesApproval/175")</f>
        <v>https://api-enni.alpina.ru/FilePrivilegesApproval/175</v>
      </c>
      <c r="Z1104" s="27"/>
      <c r="AS1104" s="1">
        <f>IF($A1104&lt;&gt;0,1,0)</f>
        <v>0</v>
      </c>
      <c r="AT1104" s="1">
        <f>$A1104*$B1104</f>
        <v>0</v>
      </c>
      <c r="AU1104" s="1">
        <f>$A1104*$O1104</f>
        <v>0</v>
      </c>
      <c r="AV1104" s="1">
        <f>IF($R1104=0,0,INT($A1104/$R1104))</f>
        <v>0</v>
      </c>
      <c r="AW1104" s="1">
        <f>$A1104-$AV1104*$R1104</f>
        <v>0</v>
      </c>
    </row>
    <row r="1105" ht="24.95" customHeight="1" outlineLevel="3" s="1" customFormat="1">
      <c r="A1105" s="15"/>
      <c r="B1105" s="17">
        <v>2590</v>
      </c>
      <c r="C1105" s="17">
        <v>3367</v>
      </c>
      <c r="D1105" s="16">
        <v>11355</v>
      </c>
      <c r="E1105" s="18"/>
      <c r="F1105" s="18" t="s">
        <v>3617</v>
      </c>
      <c r="G1105" s="18" t="s">
        <v>3618</v>
      </c>
      <c r="H1105" s="18" t="s">
        <v>73</v>
      </c>
      <c r="I1105" s="18" t="s">
        <v>74</v>
      </c>
      <c r="J1105" s="16">
        <v>2025</v>
      </c>
      <c r="K1105" s="18" t="s">
        <v>3619</v>
      </c>
      <c r="L1105" s="16">
        <v>9785916719710</v>
      </c>
      <c r="M1105" s="18" t="s">
        <v>3620</v>
      </c>
      <c r="N1105" s="16">
        <v>480</v>
      </c>
      <c r="O1105" s="19">
        <v>1.2</v>
      </c>
      <c r="P1105" s="16">
        <v>190</v>
      </c>
      <c r="Q1105" s="16">
        <v>240</v>
      </c>
      <c r="R1105" s="16">
        <v>4</v>
      </c>
      <c r="S1105" s="18" t="s">
        <v>328</v>
      </c>
      <c r="T1105" s="18"/>
      <c r="U1105" s="17">
        <v>1500</v>
      </c>
      <c r="V1105" s="18" t="s">
        <v>77</v>
      </c>
      <c r="W1105" s="18" t="s">
        <v>69</v>
      </c>
      <c r="X1105" s="16">
        <v>10</v>
      </c>
      <c r="Y1105" s="43" t="str">
        <f>HYPERLINK("https://api-enni.alpina.ru/FilePrivilegesApproval/146","https://api-enni.alpina.ru/FilePrivilegesApproval/146")</f>
        <v>https://api-enni.alpina.ru/FilePrivilegesApproval/146</v>
      </c>
      <c r="Z1105" s="18"/>
      <c r="AS1105" s="1">
        <f>IF($A1105&lt;&gt;0,1,0)</f>
        <v>0</v>
      </c>
      <c r="AT1105" s="1">
        <f>$A1105*$B1105</f>
        <v>0</v>
      </c>
      <c r="AU1105" s="1">
        <f>$A1105*$O1105</f>
        <v>0</v>
      </c>
      <c r="AV1105" s="1">
        <f>IF($R1105=0,0,INT($A1105/$R1105))</f>
        <v>0</v>
      </c>
      <c r="AW1105" s="1">
        <f>$A1105-$AV1105*$R1105</f>
        <v>0</v>
      </c>
    </row>
    <row r="1106" ht="24.95" customHeight="1" outlineLevel="3" s="1" customFormat="1">
      <c r="A1106" s="15"/>
      <c r="B1106" s="16">
        <v>990</v>
      </c>
      <c r="C1106" s="17">
        <v>1386</v>
      </c>
      <c r="D1106" s="16">
        <v>31735</v>
      </c>
      <c r="E1106" s="18"/>
      <c r="F1106" s="18" t="s">
        <v>3621</v>
      </c>
      <c r="G1106" s="18" t="s">
        <v>3622</v>
      </c>
      <c r="H1106" s="18" t="s">
        <v>73</v>
      </c>
      <c r="I1106" s="18" t="s">
        <v>87</v>
      </c>
      <c r="J1106" s="16">
        <v>2025</v>
      </c>
      <c r="K1106" s="18" t="s">
        <v>3623</v>
      </c>
      <c r="L1106" s="16">
        <v>9785002234165</v>
      </c>
      <c r="M1106" s="18" t="s">
        <v>3624</v>
      </c>
      <c r="N1106" s="16">
        <v>218</v>
      </c>
      <c r="O1106" s="19">
        <v>0.36</v>
      </c>
      <c r="P1106" s="16">
        <v>150</v>
      </c>
      <c r="Q1106" s="16">
        <v>220</v>
      </c>
      <c r="R1106" s="16">
        <v>12</v>
      </c>
      <c r="S1106" s="18" t="s">
        <v>43</v>
      </c>
      <c r="T1106" s="18"/>
      <c r="U1106" s="17">
        <v>3000</v>
      </c>
      <c r="V1106" s="18" t="s">
        <v>77</v>
      </c>
      <c r="W1106" s="18" t="s">
        <v>45</v>
      </c>
      <c r="X1106" s="16">
        <v>10</v>
      </c>
      <c r="Y1106" s="43" t="str">
        <f>HYPERLINK("https://api-enni.alpina.ru/FilePrivilegesApproval/1091","https://api-enni.alpina.ru/FilePrivilegesApproval/1091")</f>
        <v>https://api-enni.alpina.ru/FilePrivilegesApproval/1091</v>
      </c>
      <c r="Z1106" s="18"/>
      <c r="AS1106" s="1">
        <f>IF($A1106&lt;&gt;0,1,0)</f>
        <v>0</v>
      </c>
      <c r="AT1106" s="1">
        <f>$A1106*$B1106</f>
        <v>0</v>
      </c>
      <c r="AU1106" s="1">
        <f>$A1106*$O1106</f>
        <v>0</v>
      </c>
      <c r="AV1106" s="1">
        <f>IF($R1106=0,0,INT($A1106/$R1106))</f>
        <v>0</v>
      </c>
      <c r="AW1106" s="1">
        <f>$A1106-$AV1106*$R1106</f>
        <v>0</v>
      </c>
    </row>
    <row r="1107" ht="24.95" customHeight="1" outlineLevel="3" s="1" customFormat="1">
      <c r="A1107" s="15"/>
      <c r="B1107" s="16">
        <v>990</v>
      </c>
      <c r="C1107" s="17">
        <v>1386</v>
      </c>
      <c r="D1107" s="16">
        <v>31178</v>
      </c>
      <c r="E1107" s="18"/>
      <c r="F1107" s="18" t="s">
        <v>3625</v>
      </c>
      <c r="G1107" s="18" t="s">
        <v>3626</v>
      </c>
      <c r="H1107" s="18" t="s">
        <v>73</v>
      </c>
      <c r="I1107" s="18" t="s">
        <v>74</v>
      </c>
      <c r="J1107" s="16">
        <v>2026</v>
      </c>
      <c r="K1107" s="18" t="s">
        <v>3627</v>
      </c>
      <c r="L1107" s="16">
        <v>9785002233496</v>
      </c>
      <c r="M1107" s="18" t="s">
        <v>3628</v>
      </c>
      <c r="N1107" s="16">
        <v>534</v>
      </c>
      <c r="O1107" s="19">
        <v>0.58</v>
      </c>
      <c r="P1107" s="16">
        <v>150</v>
      </c>
      <c r="Q1107" s="16">
        <v>220</v>
      </c>
      <c r="R1107" s="16">
        <v>10</v>
      </c>
      <c r="S1107" s="18" t="s">
        <v>43</v>
      </c>
      <c r="T1107" s="18"/>
      <c r="U1107" s="17">
        <v>3000</v>
      </c>
      <c r="V1107" s="18" t="s">
        <v>77</v>
      </c>
      <c r="W1107" s="18" t="s">
        <v>91</v>
      </c>
      <c r="X1107" s="16">
        <v>10</v>
      </c>
      <c r="Y1107" s="43" t="str">
        <f>HYPERLINK("https://api-enni.alpina.ru/FilePrivilegesApproval/1058","https://api-enni.alpina.ru/FilePrivilegesApproval/1058")</f>
        <v>https://api-enni.alpina.ru/FilePrivilegesApproval/1058</v>
      </c>
      <c r="Z1107" s="18"/>
      <c r="AS1107" s="1">
        <f>IF($A1107&lt;&gt;0,1,0)</f>
        <v>0</v>
      </c>
      <c r="AT1107" s="1">
        <f>$A1107*$B1107</f>
        <v>0</v>
      </c>
      <c r="AU1107" s="1">
        <f>$A1107*$O1107</f>
        <v>0</v>
      </c>
      <c r="AV1107" s="1">
        <f>IF($R1107=0,0,INT($A1107/$R1107))</f>
        <v>0</v>
      </c>
      <c r="AW1107" s="1">
        <f>$A1107-$AV1107*$R1107</f>
        <v>0</v>
      </c>
    </row>
    <row r="1108" ht="21.95" customHeight="1" outlineLevel="3" s="1" customFormat="1">
      <c r="A1108" s="15"/>
      <c r="B1108" s="16">
        <v>990</v>
      </c>
      <c r="C1108" s="17">
        <v>1386</v>
      </c>
      <c r="D1108" s="16">
        <v>31167</v>
      </c>
      <c r="E1108" s="18"/>
      <c r="F1108" s="18" t="s">
        <v>242</v>
      </c>
      <c r="G1108" s="18" t="s">
        <v>243</v>
      </c>
      <c r="H1108" s="18" t="s">
        <v>73</v>
      </c>
      <c r="I1108" s="18" t="s">
        <v>74</v>
      </c>
      <c r="J1108" s="16">
        <v>2026</v>
      </c>
      <c r="K1108" s="18" t="s">
        <v>244</v>
      </c>
      <c r="L1108" s="16">
        <v>9785002233472</v>
      </c>
      <c r="M1108" s="18" t="s">
        <v>245</v>
      </c>
      <c r="N1108" s="16">
        <v>600</v>
      </c>
      <c r="O1108" s="19">
        <v>0.73</v>
      </c>
      <c r="P1108" s="16">
        <v>150</v>
      </c>
      <c r="Q1108" s="16">
        <v>220</v>
      </c>
      <c r="R1108" s="16">
        <v>6</v>
      </c>
      <c r="S1108" s="18" t="s">
        <v>43</v>
      </c>
      <c r="T1108" s="18"/>
      <c r="U1108" s="17">
        <v>2500</v>
      </c>
      <c r="V1108" s="18" t="s">
        <v>77</v>
      </c>
      <c r="W1108" s="18" t="s">
        <v>69</v>
      </c>
      <c r="X1108" s="16">
        <v>10</v>
      </c>
      <c r="Y1108" s="43" t="str">
        <f>HYPERLINK("","")</f>
      </c>
      <c r="Z1108" s="18" t="s">
        <v>246</v>
      </c>
      <c r="AS1108" s="1">
        <f>IF($A1108&lt;&gt;0,1,0)</f>
        <v>0</v>
      </c>
      <c r="AT1108" s="1">
        <f>$A1108*$B1108</f>
        <v>0</v>
      </c>
      <c r="AU1108" s="1">
        <f>$A1108*$O1108</f>
        <v>0</v>
      </c>
      <c r="AV1108" s="1">
        <f>IF($R1108=0,0,INT($A1108/$R1108))</f>
        <v>0</v>
      </c>
      <c r="AW1108" s="1">
        <f>$A1108-$AV1108*$R1108</f>
        <v>0</v>
      </c>
    </row>
    <row r="1109" ht="24.95" customHeight="1" outlineLevel="3" s="1" customFormat="1">
      <c r="A1109" s="15"/>
      <c r="B1109" s="16">
        <v>550</v>
      </c>
      <c r="C1109" s="16">
        <v>852</v>
      </c>
      <c r="D1109" s="16">
        <v>31225</v>
      </c>
      <c r="E1109" s="18"/>
      <c r="F1109" s="18" t="s">
        <v>3629</v>
      </c>
      <c r="G1109" s="18" t="s">
        <v>3630</v>
      </c>
      <c r="H1109" s="18" t="s">
        <v>86</v>
      </c>
      <c r="I1109" s="18"/>
      <c r="J1109" s="16">
        <v>2025</v>
      </c>
      <c r="K1109" s="18" t="s">
        <v>3631</v>
      </c>
      <c r="L1109" s="16">
        <v>9785961497892</v>
      </c>
      <c r="M1109" s="18" t="s">
        <v>3632</v>
      </c>
      <c r="N1109" s="16">
        <v>448</v>
      </c>
      <c r="O1109" s="19">
        <v>0.49</v>
      </c>
      <c r="P1109" s="16">
        <v>150</v>
      </c>
      <c r="Q1109" s="16">
        <v>220</v>
      </c>
      <c r="R1109" s="16">
        <v>12</v>
      </c>
      <c r="S1109" s="18" t="s">
        <v>43</v>
      </c>
      <c r="T1109" s="18"/>
      <c r="U1109" s="17">
        <v>2000</v>
      </c>
      <c r="V1109" s="18" t="s">
        <v>77</v>
      </c>
      <c r="W1109" s="18" t="s">
        <v>91</v>
      </c>
      <c r="X1109" s="16">
        <v>10</v>
      </c>
      <c r="Y1109" s="43" t="str">
        <f>HYPERLINK("https://api-enni.alpina.ru/FilePrivilegesApproval/856","https://api-enni.alpina.ru/FilePrivilegesApproval/856")</f>
        <v>https://api-enni.alpina.ru/FilePrivilegesApproval/856</v>
      </c>
      <c r="Z1109" s="18"/>
      <c r="AS1109" s="1">
        <f>IF($A1109&lt;&gt;0,1,0)</f>
        <v>0</v>
      </c>
      <c r="AT1109" s="1">
        <f>$A1109*$B1109</f>
        <v>0</v>
      </c>
      <c r="AU1109" s="1">
        <f>$A1109*$O1109</f>
        <v>0</v>
      </c>
      <c r="AV1109" s="1">
        <f>IF($R1109=0,0,INT($A1109/$R1109))</f>
        <v>0</v>
      </c>
      <c r="AW1109" s="1">
        <f>$A1109-$AV1109*$R1109</f>
        <v>0</v>
      </c>
    </row>
    <row r="1110" ht="24.95" customHeight="1" outlineLevel="3" s="1" customFormat="1">
      <c r="A1110" s="15"/>
      <c r="B1110" s="17">
        <v>1110</v>
      </c>
      <c r="C1110" s="17">
        <v>1498</v>
      </c>
      <c r="D1110" s="16">
        <v>30222</v>
      </c>
      <c r="E1110" s="18"/>
      <c r="F1110" s="18" t="s">
        <v>3542</v>
      </c>
      <c r="G1110" s="18" t="s">
        <v>3633</v>
      </c>
      <c r="H1110" s="18" t="s">
        <v>73</v>
      </c>
      <c r="I1110" s="18"/>
      <c r="J1110" s="16">
        <v>2026</v>
      </c>
      <c r="K1110" s="18" t="s">
        <v>3634</v>
      </c>
      <c r="L1110" s="16">
        <v>9785002232338</v>
      </c>
      <c r="M1110" s="18" t="s">
        <v>3635</v>
      </c>
      <c r="N1110" s="16">
        <v>608</v>
      </c>
      <c r="O1110" s="19">
        <v>0.68</v>
      </c>
      <c r="P1110" s="16">
        <v>150</v>
      </c>
      <c r="Q1110" s="16">
        <v>220</v>
      </c>
      <c r="R1110" s="16">
        <v>8</v>
      </c>
      <c r="S1110" s="18" t="s">
        <v>43</v>
      </c>
      <c r="T1110" s="18"/>
      <c r="U1110" s="17">
        <v>3000</v>
      </c>
      <c r="V1110" s="18" t="s">
        <v>77</v>
      </c>
      <c r="W1110" s="18" t="s">
        <v>45</v>
      </c>
      <c r="X1110" s="16">
        <v>10</v>
      </c>
      <c r="Y1110" s="43" t="str">
        <f>HYPERLINK("https://api-enni.alpina.ru/FilePrivilegesApproval/544","https://api-enni.alpina.ru/FilePrivilegesApproval/544")</f>
        <v>https://api-enni.alpina.ru/FilePrivilegesApproval/544</v>
      </c>
      <c r="Z1110" s="18"/>
      <c r="AS1110" s="1">
        <f>IF($A1110&lt;&gt;0,1,0)</f>
        <v>0</v>
      </c>
      <c r="AT1110" s="1">
        <f>$A1110*$B1110</f>
        <v>0</v>
      </c>
      <c r="AU1110" s="1">
        <f>$A1110*$O1110</f>
        <v>0</v>
      </c>
      <c r="AV1110" s="1">
        <f>IF($R1110=0,0,INT($A1110/$R1110))</f>
        <v>0</v>
      </c>
      <c r="AW1110" s="1">
        <f>$A1110-$AV1110*$R1110</f>
        <v>0</v>
      </c>
    </row>
    <row r="1111" ht="24.95" customHeight="1" outlineLevel="3" s="1" customFormat="1">
      <c r="A1111" s="15"/>
      <c r="B1111" s="16">
        <v>890</v>
      </c>
      <c r="C1111" s="17">
        <v>1246</v>
      </c>
      <c r="D1111" s="16">
        <v>32254</v>
      </c>
      <c r="E1111" s="18"/>
      <c r="F1111" s="18" t="s">
        <v>3636</v>
      </c>
      <c r="G1111" s="18" t="s">
        <v>3637</v>
      </c>
      <c r="H1111" s="18" t="s">
        <v>73</v>
      </c>
      <c r="I1111" s="18"/>
      <c r="J1111" s="16">
        <v>2025</v>
      </c>
      <c r="K1111" s="18" t="s">
        <v>3638</v>
      </c>
      <c r="L1111" s="16">
        <v>9785002234868</v>
      </c>
      <c r="M1111" s="18" t="s">
        <v>3639</v>
      </c>
      <c r="N1111" s="16">
        <v>326</v>
      </c>
      <c r="O1111" s="19">
        <v>0.38</v>
      </c>
      <c r="P1111" s="16">
        <v>150</v>
      </c>
      <c r="Q1111" s="16">
        <v>220</v>
      </c>
      <c r="R1111" s="16">
        <v>10</v>
      </c>
      <c r="S1111" s="18" t="s">
        <v>43</v>
      </c>
      <c r="T1111" s="18"/>
      <c r="U1111" s="17">
        <v>2000</v>
      </c>
      <c r="V1111" s="18" t="s">
        <v>77</v>
      </c>
      <c r="W1111" s="18" t="s">
        <v>69</v>
      </c>
      <c r="X1111" s="16">
        <v>10</v>
      </c>
      <c r="Y1111" s="43" t="str">
        <f>HYPERLINK("https://api-enni.alpina.ru/FilePrivilegesApproval/919","https://api-enni.alpina.ru/FilePrivilegesApproval/919")</f>
        <v>https://api-enni.alpina.ru/FilePrivilegesApproval/919</v>
      </c>
      <c r="Z1111" s="18"/>
      <c r="AS1111" s="1">
        <f>IF($A1111&lt;&gt;0,1,0)</f>
        <v>0</v>
      </c>
      <c r="AT1111" s="1">
        <f>$A1111*$B1111</f>
        <v>0</v>
      </c>
      <c r="AU1111" s="1">
        <f>$A1111*$O1111</f>
        <v>0</v>
      </c>
      <c r="AV1111" s="1">
        <f>IF($R1111=0,0,INT($A1111/$R1111))</f>
        <v>0</v>
      </c>
      <c r="AW1111" s="1">
        <f>$A1111-$AV1111*$R1111</f>
        <v>0</v>
      </c>
    </row>
    <row r="1112" ht="21.95" customHeight="1" outlineLevel="3" s="1" customFormat="1">
      <c r="A1112" s="15"/>
      <c r="B1112" s="17">
        <v>1190</v>
      </c>
      <c r="C1112" s="17">
        <v>1606</v>
      </c>
      <c r="D1112" s="16">
        <v>33951</v>
      </c>
      <c r="E1112" s="18"/>
      <c r="F1112" s="18" t="s">
        <v>273</v>
      </c>
      <c r="G1112" s="18" t="s">
        <v>274</v>
      </c>
      <c r="H1112" s="18" t="s">
        <v>73</v>
      </c>
      <c r="I1112" s="18" t="s">
        <v>74</v>
      </c>
      <c r="J1112" s="16">
        <v>2026</v>
      </c>
      <c r="K1112" s="18" t="s">
        <v>275</v>
      </c>
      <c r="L1112" s="16">
        <v>9785002236053</v>
      </c>
      <c r="M1112" s="18" t="s">
        <v>276</v>
      </c>
      <c r="N1112" s="16">
        <v>526</v>
      </c>
      <c r="O1112" s="19">
        <v>0.67</v>
      </c>
      <c r="P1112" s="16">
        <v>150</v>
      </c>
      <c r="Q1112" s="16">
        <v>220</v>
      </c>
      <c r="R1112" s="16">
        <v>8</v>
      </c>
      <c r="S1112" s="18" t="s">
        <v>43</v>
      </c>
      <c r="T1112" s="18"/>
      <c r="U1112" s="17">
        <v>5000</v>
      </c>
      <c r="V1112" s="18" t="s">
        <v>77</v>
      </c>
      <c r="W1112" s="18" t="s">
        <v>91</v>
      </c>
      <c r="X1112" s="16">
        <v>10</v>
      </c>
      <c r="Y1112" s="43" t="str">
        <f>HYPERLINK("","")</f>
      </c>
      <c r="Z1112" s="18" t="s">
        <v>246</v>
      </c>
      <c r="AS1112" s="1">
        <f>IF($A1112&lt;&gt;0,1,0)</f>
        <v>0</v>
      </c>
      <c r="AT1112" s="1">
        <f>$A1112*$B1112</f>
        <v>0</v>
      </c>
      <c r="AU1112" s="1">
        <f>$A1112*$O1112</f>
        <v>0</v>
      </c>
      <c r="AV1112" s="1">
        <f>IF($R1112=0,0,INT($A1112/$R1112))</f>
        <v>0</v>
      </c>
      <c r="AW1112" s="1">
        <f>$A1112-$AV1112*$R1112</f>
        <v>0</v>
      </c>
    </row>
    <row r="1113" ht="24.95" customHeight="1" outlineLevel="3" s="1" customFormat="1">
      <c r="A1113" s="15"/>
      <c r="B1113" s="16">
        <v>890</v>
      </c>
      <c r="C1113" s="17">
        <v>1246</v>
      </c>
      <c r="D1113" s="16">
        <v>22825</v>
      </c>
      <c r="E1113" s="18"/>
      <c r="F1113" s="18" t="s">
        <v>3640</v>
      </c>
      <c r="G1113" s="18" t="s">
        <v>3641</v>
      </c>
      <c r="H1113" s="18" t="s">
        <v>73</v>
      </c>
      <c r="I1113" s="18" t="s">
        <v>74</v>
      </c>
      <c r="J1113" s="16">
        <v>2025</v>
      </c>
      <c r="K1113" s="18" t="s">
        <v>3642</v>
      </c>
      <c r="L1113" s="16">
        <v>9785916714289</v>
      </c>
      <c r="M1113" s="18" t="s">
        <v>3643</v>
      </c>
      <c r="N1113" s="16">
        <v>406</v>
      </c>
      <c r="O1113" s="19">
        <v>0.58</v>
      </c>
      <c r="P1113" s="16">
        <v>150</v>
      </c>
      <c r="Q1113" s="16">
        <v>220</v>
      </c>
      <c r="R1113" s="16">
        <v>5</v>
      </c>
      <c r="S1113" s="18" t="s">
        <v>43</v>
      </c>
      <c r="T1113" s="18"/>
      <c r="U1113" s="17">
        <v>1000</v>
      </c>
      <c r="V1113" s="18" t="s">
        <v>77</v>
      </c>
      <c r="W1113" s="18" t="s">
        <v>91</v>
      </c>
      <c r="X1113" s="16">
        <v>10</v>
      </c>
      <c r="Y1113" s="43" t="str">
        <f>HYPERLINK("https://api-enni.alpina.ru/FilePrivilegesApproval/241","https://api-enni.alpina.ru/FilePrivilegesApproval/241")</f>
        <v>https://api-enni.alpina.ru/FilePrivilegesApproval/241</v>
      </c>
      <c r="Z1113" s="18"/>
      <c r="AS1113" s="1">
        <f>IF($A1113&lt;&gt;0,1,0)</f>
        <v>0</v>
      </c>
      <c r="AT1113" s="1">
        <f>$A1113*$B1113</f>
        <v>0</v>
      </c>
      <c r="AU1113" s="1">
        <f>$A1113*$O1113</f>
        <v>0</v>
      </c>
      <c r="AV1113" s="1">
        <f>IF($R1113=0,0,INT($A1113/$R1113))</f>
        <v>0</v>
      </c>
      <c r="AW1113" s="1">
        <f>$A1113-$AV1113*$R1113</f>
        <v>0</v>
      </c>
    </row>
    <row r="1114" ht="24.95" customHeight="1" outlineLevel="3" s="1" customFormat="1">
      <c r="A1114" s="25"/>
      <c r="B1114" s="26">
        <v>890</v>
      </c>
      <c r="C1114" s="29">
        <v>1246</v>
      </c>
      <c r="D1114" s="26">
        <v>19307</v>
      </c>
      <c r="E1114" s="27"/>
      <c r="F1114" s="27" t="s">
        <v>3644</v>
      </c>
      <c r="G1114" s="27" t="s">
        <v>3645</v>
      </c>
      <c r="H1114" s="27" t="s">
        <v>73</v>
      </c>
      <c r="I1114" s="27" t="s">
        <v>74</v>
      </c>
      <c r="J1114" s="26">
        <v>2026</v>
      </c>
      <c r="K1114" s="27" t="s">
        <v>3646</v>
      </c>
      <c r="L1114" s="26">
        <v>9785001395089</v>
      </c>
      <c r="M1114" s="27" t="s">
        <v>3647</v>
      </c>
      <c r="N1114" s="26">
        <v>412</v>
      </c>
      <c r="O1114" s="28">
        <v>0.51</v>
      </c>
      <c r="P1114" s="26">
        <v>150</v>
      </c>
      <c r="Q1114" s="26">
        <v>220</v>
      </c>
      <c r="R1114" s="26">
        <v>10</v>
      </c>
      <c r="S1114" s="27" t="s">
        <v>43</v>
      </c>
      <c r="T1114" s="27"/>
      <c r="U1114" s="29">
        <v>1000</v>
      </c>
      <c r="V1114" s="27" t="s">
        <v>77</v>
      </c>
      <c r="W1114" s="27" t="s">
        <v>69</v>
      </c>
      <c r="X1114" s="26">
        <v>10</v>
      </c>
      <c r="Y1114" s="45" t="str">
        <f>HYPERLINK("https://api-enni.alpina.ru/FilePrivilegesApproval/149","https://api-enni.alpina.ru/FilePrivilegesApproval/149")</f>
        <v>https://api-enni.alpina.ru/FilePrivilegesApproval/149</v>
      </c>
      <c r="Z1114" s="27"/>
      <c r="AS1114" s="1">
        <f>IF($A1114&lt;&gt;0,1,0)</f>
        <v>0</v>
      </c>
      <c r="AT1114" s="1">
        <f>$A1114*$B1114</f>
        <v>0</v>
      </c>
      <c r="AU1114" s="1">
        <f>$A1114*$O1114</f>
        <v>0</v>
      </c>
      <c r="AV1114" s="1">
        <f>IF($R1114=0,0,INT($A1114/$R1114))</f>
        <v>0</v>
      </c>
      <c r="AW1114" s="1">
        <f>$A1114-$AV1114*$R1114</f>
        <v>0</v>
      </c>
    </row>
    <row r="1115" ht="24.95" customHeight="1" outlineLevel="3" s="1" customFormat="1">
      <c r="A1115" s="15"/>
      <c r="B1115" s="16">
        <v>490</v>
      </c>
      <c r="C1115" s="16">
        <v>760</v>
      </c>
      <c r="D1115" s="16">
        <v>30262</v>
      </c>
      <c r="E1115" s="18"/>
      <c r="F1115" s="18" t="s">
        <v>3648</v>
      </c>
      <c r="G1115" s="18" t="s">
        <v>3649</v>
      </c>
      <c r="H1115" s="18" t="s">
        <v>73</v>
      </c>
      <c r="I1115" s="18" t="s">
        <v>160</v>
      </c>
      <c r="J1115" s="16">
        <v>2026</v>
      </c>
      <c r="K1115" s="18" t="s">
        <v>3650</v>
      </c>
      <c r="L1115" s="16">
        <v>9785002232383</v>
      </c>
      <c r="M1115" s="18" t="s">
        <v>3651</v>
      </c>
      <c r="N1115" s="16">
        <v>592</v>
      </c>
      <c r="O1115" s="19">
        <v>0.38</v>
      </c>
      <c r="P1115" s="16">
        <v>120</v>
      </c>
      <c r="Q1115" s="16">
        <v>170</v>
      </c>
      <c r="R1115" s="16">
        <v>6</v>
      </c>
      <c r="S1115" s="18" t="s">
        <v>190</v>
      </c>
      <c r="T1115" s="18" t="s">
        <v>491</v>
      </c>
      <c r="U1115" s="17">
        <v>2000</v>
      </c>
      <c r="V1115" s="18" t="s">
        <v>44</v>
      </c>
      <c r="W1115" s="18" t="s">
        <v>69</v>
      </c>
      <c r="X1115" s="16">
        <v>10</v>
      </c>
      <c r="Y1115" s="43" t="str">
        <f>HYPERLINK("https://api-enni.alpina.ru/FilePrivilegesApproval/127","https://api-enni.alpina.ru/FilePrivilegesApproval/127")</f>
        <v>https://api-enni.alpina.ru/FilePrivilegesApproval/127</v>
      </c>
      <c r="Z1115" s="18"/>
      <c r="AS1115" s="1">
        <f>IF($A1115&lt;&gt;0,1,0)</f>
        <v>0</v>
      </c>
      <c r="AT1115" s="1">
        <f>$A1115*$B1115</f>
        <v>0</v>
      </c>
      <c r="AU1115" s="1">
        <f>$A1115*$O1115</f>
        <v>0</v>
      </c>
      <c r="AV1115" s="1">
        <f>IF($R1115=0,0,INT($A1115/$R1115))</f>
        <v>0</v>
      </c>
      <c r="AW1115" s="1">
        <f>$A1115-$AV1115*$R1115</f>
        <v>0</v>
      </c>
    </row>
    <row r="1116" ht="24.95" customHeight="1" outlineLevel="3" s="1" customFormat="1">
      <c r="A1116" s="15"/>
      <c r="B1116" s="16">
        <v>890</v>
      </c>
      <c r="C1116" s="17">
        <v>1246</v>
      </c>
      <c r="D1116" s="16">
        <v>29330</v>
      </c>
      <c r="E1116" s="18"/>
      <c r="F1116" s="18" t="s">
        <v>3652</v>
      </c>
      <c r="G1116" s="18" t="s">
        <v>3653</v>
      </c>
      <c r="H1116" s="18" t="s">
        <v>73</v>
      </c>
      <c r="I1116" s="18" t="s">
        <v>74</v>
      </c>
      <c r="J1116" s="16">
        <v>2025</v>
      </c>
      <c r="K1116" s="18" t="s">
        <v>3654</v>
      </c>
      <c r="L1116" s="16">
        <v>9785002231355</v>
      </c>
      <c r="M1116" s="18" t="s">
        <v>3655</v>
      </c>
      <c r="N1116" s="16">
        <v>386</v>
      </c>
      <c r="O1116" s="19">
        <v>0.42</v>
      </c>
      <c r="P1116" s="16">
        <v>150</v>
      </c>
      <c r="Q1116" s="16">
        <v>220</v>
      </c>
      <c r="R1116" s="16">
        <v>10</v>
      </c>
      <c r="S1116" s="18" t="s">
        <v>43</v>
      </c>
      <c r="T1116" s="18"/>
      <c r="U1116" s="17">
        <v>1500</v>
      </c>
      <c r="V1116" s="18" t="s">
        <v>77</v>
      </c>
      <c r="W1116" s="18" t="s">
        <v>45</v>
      </c>
      <c r="X1116" s="16">
        <v>10</v>
      </c>
      <c r="Y1116" s="43" t="str">
        <f>HYPERLINK("https://api-enni.alpina.ru/FilePrivilegesApproval/888","https://api-enni.alpina.ru/FilePrivilegesApproval/888")</f>
        <v>https://api-enni.alpina.ru/FilePrivilegesApproval/888</v>
      </c>
      <c r="Z1116" s="18"/>
      <c r="AS1116" s="1">
        <f>IF($A1116&lt;&gt;0,1,0)</f>
        <v>0</v>
      </c>
      <c r="AT1116" s="1">
        <f>$A1116*$B1116</f>
        <v>0</v>
      </c>
      <c r="AU1116" s="1">
        <f>$A1116*$O1116</f>
        <v>0</v>
      </c>
      <c r="AV1116" s="1">
        <f>IF($R1116=0,0,INT($A1116/$R1116))</f>
        <v>0</v>
      </c>
      <c r="AW1116" s="1">
        <f>$A1116-$AV1116*$R1116</f>
        <v>0</v>
      </c>
    </row>
    <row r="1117" ht="24.95" customHeight="1" outlineLevel="3" s="1" customFormat="1">
      <c r="A1117" s="15"/>
      <c r="B1117" s="16">
        <v>540</v>
      </c>
      <c r="C1117" s="16">
        <v>837</v>
      </c>
      <c r="D1117" s="16">
        <v>29328</v>
      </c>
      <c r="E1117" s="18"/>
      <c r="F1117" s="18" t="s">
        <v>3656</v>
      </c>
      <c r="G1117" s="18" t="s">
        <v>3657</v>
      </c>
      <c r="H1117" s="18" t="s">
        <v>73</v>
      </c>
      <c r="I1117" s="18" t="s">
        <v>74</v>
      </c>
      <c r="J1117" s="16">
        <v>2025</v>
      </c>
      <c r="K1117" s="18" t="s">
        <v>3658</v>
      </c>
      <c r="L1117" s="16">
        <v>9785002231348</v>
      </c>
      <c r="M1117" s="18" t="s">
        <v>3659</v>
      </c>
      <c r="N1117" s="16">
        <v>560</v>
      </c>
      <c r="O1117" s="19">
        <v>0.33</v>
      </c>
      <c r="P1117" s="16">
        <v>120</v>
      </c>
      <c r="Q1117" s="16">
        <v>170</v>
      </c>
      <c r="R1117" s="16">
        <v>20</v>
      </c>
      <c r="S1117" s="18" t="s">
        <v>190</v>
      </c>
      <c r="T1117" s="18"/>
      <c r="U1117" s="17">
        <v>4000</v>
      </c>
      <c r="V1117" s="18" t="s">
        <v>44</v>
      </c>
      <c r="W1117" s="18" t="s">
        <v>69</v>
      </c>
      <c r="X1117" s="16">
        <v>10</v>
      </c>
      <c r="Y1117" s="43" t="str">
        <f>HYPERLINK("https://api-enni.alpina.ru/FilePrivilegesApproval/952","https://api-enni.alpina.ru/FilePrivilegesApproval/952")</f>
        <v>https://api-enni.alpina.ru/FilePrivilegesApproval/952</v>
      </c>
      <c r="Z1117" s="18"/>
      <c r="AS1117" s="1">
        <f>IF($A1117&lt;&gt;0,1,0)</f>
        <v>0</v>
      </c>
      <c r="AT1117" s="1">
        <f>$A1117*$B1117</f>
        <v>0</v>
      </c>
      <c r="AU1117" s="1">
        <f>$A1117*$O1117</f>
        <v>0</v>
      </c>
      <c r="AV1117" s="1">
        <f>IF($R1117=0,0,INT($A1117/$R1117))</f>
        <v>0</v>
      </c>
      <c r="AW1117" s="1">
        <f>$A1117-$AV1117*$R1117</f>
        <v>0</v>
      </c>
    </row>
    <row r="1118" ht="24.95" customHeight="1" outlineLevel="3" s="1" customFormat="1">
      <c r="A1118" s="15"/>
      <c r="B1118" s="17">
        <v>1090</v>
      </c>
      <c r="C1118" s="17">
        <v>1472</v>
      </c>
      <c r="D1118" s="16">
        <v>23608</v>
      </c>
      <c r="E1118" s="18"/>
      <c r="F1118" s="18" t="s">
        <v>3660</v>
      </c>
      <c r="G1118" s="18" t="s">
        <v>3661</v>
      </c>
      <c r="H1118" s="18" t="s">
        <v>73</v>
      </c>
      <c r="I1118" s="18" t="s">
        <v>74</v>
      </c>
      <c r="J1118" s="16">
        <v>2025</v>
      </c>
      <c r="K1118" s="18" t="s">
        <v>3662</v>
      </c>
      <c r="L1118" s="16">
        <v>9785002232987</v>
      </c>
      <c r="M1118" s="18" t="s">
        <v>3663</v>
      </c>
      <c r="N1118" s="16">
        <v>604</v>
      </c>
      <c r="O1118" s="19">
        <v>0.96</v>
      </c>
      <c r="P1118" s="16">
        <v>170</v>
      </c>
      <c r="Q1118" s="16">
        <v>240</v>
      </c>
      <c r="R1118" s="16">
        <v>4</v>
      </c>
      <c r="S1118" s="18" t="s">
        <v>123</v>
      </c>
      <c r="T1118" s="18"/>
      <c r="U1118" s="17">
        <v>5000</v>
      </c>
      <c r="V1118" s="18" t="s">
        <v>77</v>
      </c>
      <c r="W1118" s="18" t="s">
        <v>45</v>
      </c>
      <c r="X1118" s="16">
        <v>10</v>
      </c>
      <c r="Y1118" s="43" t="str">
        <f>HYPERLINK("https://api-enni.alpina.ru/FilePrivilegesApproval/1006","https://api-enni.alpina.ru/FilePrivilegesApproval/1006")</f>
        <v>https://api-enni.alpina.ru/FilePrivilegesApproval/1006</v>
      </c>
      <c r="Z1118" s="18"/>
      <c r="AS1118" s="1">
        <f>IF($A1118&lt;&gt;0,1,0)</f>
        <v>0</v>
      </c>
      <c r="AT1118" s="1">
        <f>$A1118*$B1118</f>
        <v>0</v>
      </c>
      <c r="AU1118" s="1">
        <f>$A1118*$O1118</f>
        <v>0</v>
      </c>
      <c r="AV1118" s="1">
        <f>IF($R1118=0,0,INT($A1118/$R1118))</f>
        <v>0</v>
      </c>
      <c r="AW1118" s="1">
        <f>$A1118-$AV1118*$R1118</f>
        <v>0</v>
      </c>
    </row>
    <row r="1119" ht="24.95" customHeight="1" outlineLevel="3" s="1" customFormat="1">
      <c r="A1119" s="15"/>
      <c r="B1119" s="16">
        <v>790</v>
      </c>
      <c r="C1119" s="17">
        <v>1146</v>
      </c>
      <c r="D1119" s="16">
        <v>19147</v>
      </c>
      <c r="E1119" s="18"/>
      <c r="F1119" s="18" t="s">
        <v>3664</v>
      </c>
      <c r="G1119" s="18" t="s">
        <v>3665</v>
      </c>
      <c r="H1119" s="18" t="s">
        <v>73</v>
      </c>
      <c r="I1119" s="18" t="s">
        <v>74</v>
      </c>
      <c r="J1119" s="16">
        <v>2023</v>
      </c>
      <c r="K1119" s="18" t="s">
        <v>3666</v>
      </c>
      <c r="L1119" s="16">
        <v>9785001398042</v>
      </c>
      <c r="M1119" s="18" t="s">
        <v>3667</v>
      </c>
      <c r="N1119" s="16">
        <v>494</v>
      </c>
      <c r="O1119" s="19">
        <v>0.6</v>
      </c>
      <c r="P1119" s="16">
        <v>150</v>
      </c>
      <c r="Q1119" s="16">
        <v>220</v>
      </c>
      <c r="R1119" s="16">
        <v>6</v>
      </c>
      <c r="S1119" s="18" t="s">
        <v>43</v>
      </c>
      <c r="T1119" s="18"/>
      <c r="U1119" s="17">
        <v>3000</v>
      </c>
      <c r="V1119" s="18" t="s">
        <v>77</v>
      </c>
      <c r="W1119" s="18" t="s">
        <v>69</v>
      </c>
      <c r="X1119" s="16">
        <v>10</v>
      </c>
      <c r="Y1119" s="43" t="str">
        <f>HYPERLINK("https://api-enni.alpina.ru/FilePrivilegesApproval/195","https://api-enni.alpina.ru/FilePrivilegesApproval/195")</f>
        <v>https://api-enni.alpina.ru/FilePrivilegesApproval/195</v>
      </c>
      <c r="Z1119" s="18"/>
      <c r="AS1119" s="1">
        <f>IF($A1119&lt;&gt;0,1,0)</f>
        <v>0</v>
      </c>
      <c r="AT1119" s="1">
        <f>$A1119*$B1119</f>
        <v>0</v>
      </c>
      <c r="AU1119" s="1">
        <f>$A1119*$O1119</f>
        <v>0</v>
      </c>
      <c r="AV1119" s="1">
        <f>IF($R1119=0,0,INT($A1119/$R1119))</f>
        <v>0</v>
      </c>
      <c r="AW1119" s="1">
        <f>$A1119-$AV1119*$R1119</f>
        <v>0</v>
      </c>
    </row>
    <row r="1120" ht="24.95" customHeight="1" outlineLevel="3" s="1" customFormat="1">
      <c r="A1120" s="15"/>
      <c r="B1120" s="17">
        <v>1190</v>
      </c>
      <c r="C1120" s="17">
        <v>1606</v>
      </c>
      <c r="D1120" s="16">
        <v>6748</v>
      </c>
      <c r="E1120" s="18"/>
      <c r="F1120" s="18" t="s">
        <v>3430</v>
      </c>
      <c r="G1120" s="18" t="s">
        <v>3668</v>
      </c>
      <c r="H1120" s="18" t="s">
        <v>73</v>
      </c>
      <c r="I1120" s="18" t="s">
        <v>74</v>
      </c>
      <c r="J1120" s="16">
        <v>2026</v>
      </c>
      <c r="K1120" s="18" t="s">
        <v>3669</v>
      </c>
      <c r="L1120" s="16">
        <v>9785916717624</v>
      </c>
      <c r="M1120" s="18" t="s">
        <v>3670</v>
      </c>
      <c r="N1120" s="16">
        <v>560</v>
      </c>
      <c r="O1120" s="19">
        <v>0.9</v>
      </c>
      <c r="P1120" s="16">
        <v>168</v>
      </c>
      <c r="Q1120" s="16">
        <v>241</v>
      </c>
      <c r="R1120" s="16">
        <v>4</v>
      </c>
      <c r="S1120" s="18" t="s">
        <v>123</v>
      </c>
      <c r="T1120" s="18"/>
      <c r="U1120" s="17">
        <v>2000</v>
      </c>
      <c r="V1120" s="18" t="s">
        <v>77</v>
      </c>
      <c r="W1120" s="18" t="s">
        <v>69</v>
      </c>
      <c r="X1120" s="16">
        <v>10</v>
      </c>
      <c r="Y1120" s="43" t="str">
        <f>HYPERLINK("https://api-enni.alpina.ru/FilePrivilegesApproval/5","https://api-enni.alpina.ru/FilePrivilegesApproval/5")</f>
        <v>https://api-enni.alpina.ru/FilePrivilegesApproval/5</v>
      </c>
      <c r="Z1120" s="18" t="s">
        <v>777</v>
      </c>
      <c r="AS1120" s="1">
        <f>IF($A1120&lt;&gt;0,1,0)</f>
        <v>0</v>
      </c>
      <c r="AT1120" s="1">
        <f>$A1120*$B1120</f>
        <v>0</v>
      </c>
      <c r="AU1120" s="1">
        <f>$A1120*$O1120</f>
        <v>0</v>
      </c>
      <c r="AV1120" s="1">
        <f>IF($R1120=0,0,INT($A1120/$R1120))</f>
        <v>0</v>
      </c>
      <c r="AW1120" s="1">
        <f>$A1120-$AV1120*$R1120</f>
        <v>0</v>
      </c>
    </row>
    <row r="1121" ht="24.95" customHeight="1" outlineLevel="3" s="1" customFormat="1">
      <c r="A1121" s="15"/>
      <c r="B1121" s="17">
        <v>1290</v>
      </c>
      <c r="C1121" s="17">
        <v>1742</v>
      </c>
      <c r="D1121" s="16">
        <v>24963</v>
      </c>
      <c r="E1121" s="18"/>
      <c r="F1121" s="18" t="s">
        <v>3671</v>
      </c>
      <c r="G1121" s="18" t="s">
        <v>3672</v>
      </c>
      <c r="H1121" s="18" t="s">
        <v>73</v>
      </c>
      <c r="I1121" s="18" t="s">
        <v>74</v>
      </c>
      <c r="J1121" s="16">
        <v>2025</v>
      </c>
      <c r="K1121" s="18" t="s">
        <v>3673</v>
      </c>
      <c r="L1121" s="16">
        <v>9785002232994</v>
      </c>
      <c r="M1121" s="18" t="s">
        <v>3674</v>
      </c>
      <c r="N1121" s="16">
        <v>610</v>
      </c>
      <c r="O1121" s="19">
        <v>0.79</v>
      </c>
      <c r="P1121" s="16">
        <v>170</v>
      </c>
      <c r="Q1121" s="16">
        <v>240</v>
      </c>
      <c r="R1121" s="16">
        <v>3</v>
      </c>
      <c r="S1121" s="18" t="s">
        <v>123</v>
      </c>
      <c r="T1121" s="18"/>
      <c r="U1121" s="17">
        <v>2000</v>
      </c>
      <c r="V1121" s="18" t="s">
        <v>77</v>
      </c>
      <c r="W1121" s="18" t="s">
        <v>91</v>
      </c>
      <c r="X1121" s="16">
        <v>10</v>
      </c>
      <c r="Y1121" s="43" t="str">
        <f>HYPERLINK("https://api-enni.alpina.ru/FilePrivilegesApproval/687","https://api-enni.alpina.ru/FilePrivilegesApproval/687")</f>
        <v>https://api-enni.alpina.ru/FilePrivilegesApproval/687</v>
      </c>
      <c r="Z1121" s="18"/>
      <c r="AS1121" s="1">
        <f>IF($A1121&lt;&gt;0,1,0)</f>
        <v>0</v>
      </c>
      <c r="AT1121" s="1">
        <f>$A1121*$B1121</f>
        <v>0</v>
      </c>
      <c r="AU1121" s="1">
        <f>$A1121*$O1121</f>
        <v>0</v>
      </c>
      <c r="AV1121" s="1">
        <f>IF($R1121=0,0,INT($A1121/$R1121))</f>
        <v>0</v>
      </c>
      <c r="AW1121" s="1">
        <f>$A1121-$AV1121*$R1121</f>
        <v>0</v>
      </c>
    </row>
    <row r="1122" ht="24.95" customHeight="1" outlineLevel="3" s="1" customFormat="1">
      <c r="A1122" s="15"/>
      <c r="B1122" s="16">
        <v>990</v>
      </c>
      <c r="C1122" s="17">
        <v>1386</v>
      </c>
      <c r="D1122" s="16">
        <v>27580</v>
      </c>
      <c r="E1122" s="18"/>
      <c r="F1122" s="18" t="s">
        <v>3675</v>
      </c>
      <c r="G1122" s="18" t="s">
        <v>3676</v>
      </c>
      <c r="H1122" s="18" t="s">
        <v>86</v>
      </c>
      <c r="I1122" s="18" t="s">
        <v>74</v>
      </c>
      <c r="J1122" s="16">
        <v>2026</v>
      </c>
      <c r="K1122" s="18" t="s">
        <v>3677</v>
      </c>
      <c r="L1122" s="16">
        <v>9785961485738</v>
      </c>
      <c r="M1122" s="18" t="s">
        <v>3678</v>
      </c>
      <c r="N1122" s="16">
        <v>836</v>
      </c>
      <c r="O1122" s="19">
        <v>0.88</v>
      </c>
      <c r="P1122" s="16">
        <v>150</v>
      </c>
      <c r="Q1122" s="16">
        <v>220</v>
      </c>
      <c r="R1122" s="16">
        <v>5</v>
      </c>
      <c r="S1122" s="18" t="s">
        <v>43</v>
      </c>
      <c r="T1122" s="18"/>
      <c r="U1122" s="17">
        <v>1000</v>
      </c>
      <c r="V1122" s="18" t="s">
        <v>77</v>
      </c>
      <c r="W1122" s="18" t="s">
        <v>45</v>
      </c>
      <c r="X1122" s="16">
        <v>10</v>
      </c>
      <c r="Y1122" s="43" t="str">
        <f>HYPERLINK("https://api-enni.alpina.ru/FilePrivilegesApproval/379","https://api-enni.alpina.ru/FilePrivilegesApproval/379")</f>
        <v>https://api-enni.alpina.ru/FilePrivilegesApproval/379</v>
      </c>
      <c r="Z1122" s="18" t="s">
        <v>3230</v>
      </c>
      <c r="AS1122" s="1">
        <f>IF($A1122&lt;&gt;0,1,0)</f>
        <v>0</v>
      </c>
      <c r="AT1122" s="1">
        <f>$A1122*$B1122</f>
        <v>0</v>
      </c>
      <c r="AU1122" s="1">
        <f>$A1122*$O1122</f>
        <v>0</v>
      </c>
      <c r="AV1122" s="1">
        <f>IF($R1122=0,0,INT($A1122/$R1122))</f>
        <v>0</v>
      </c>
      <c r="AW1122" s="1">
        <f>$A1122-$AV1122*$R1122</f>
        <v>0</v>
      </c>
    </row>
    <row r="1123" ht="24.95" customHeight="1" outlineLevel="3" s="1" customFormat="1">
      <c r="A1123" s="15"/>
      <c r="B1123" s="17">
        <v>1390</v>
      </c>
      <c r="C1123" s="17">
        <v>1876</v>
      </c>
      <c r="D1123" s="16">
        <v>22827</v>
      </c>
      <c r="E1123" s="18"/>
      <c r="F1123" s="18" t="s">
        <v>3679</v>
      </c>
      <c r="G1123" s="18" t="s">
        <v>3680</v>
      </c>
      <c r="H1123" s="18" t="s">
        <v>73</v>
      </c>
      <c r="I1123" s="18" t="s">
        <v>74</v>
      </c>
      <c r="J1123" s="16">
        <v>2023</v>
      </c>
      <c r="K1123" s="18" t="s">
        <v>3681</v>
      </c>
      <c r="L1123" s="16">
        <v>9785002231072</v>
      </c>
      <c r="M1123" s="18" t="s">
        <v>3682</v>
      </c>
      <c r="N1123" s="16">
        <v>637</v>
      </c>
      <c r="O1123" s="19">
        <v>0.9</v>
      </c>
      <c r="P1123" s="16">
        <v>170</v>
      </c>
      <c r="Q1123" s="16">
        <v>240</v>
      </c>
      <c r="R1123" s="16">
        <v>5</v>
      </c>
      <c r="S1123" s="18" t="s">
        <v>123</v>
      </c>
      <c r="T1123" s="18"/>
      <c r="U1123" s="17">
        <v>5000</v>
      </c>
      <c r="V1123" s="18" t="s">
        <v>77</v>
      </c>
      <c r="W1123" s="18" t="s">
        <v>91</v>
      </c>
      <c r="X1123" s="16">
        <v>10</v>
      </c>
      <c r="Y1123" s="43" t="str">
        <f>HYPERLINK("https://api-enni.alpina.ru/FilePrivilegesApproval/312","https://api-enni.alpina.ru/FilePrivilegesApproval/312")</f>
        <v>https://api-enni.alpina.ru/FilePrivilegesApproval/312</v>
      </c>
      <c r="Z1123" s="18"/>
      <c r="AS1123" s="1">
        <f>IF($A1123&lt;&gt;0,1,0)</f>
        <v>0</v>
      </c>
      <c r="AT1123" s="1">
        <f>$A1123*$B1123</f>
        <v>0</v>
      </c>
      <c r="AU1123" s="1">
        <f>$A1123*$O1123</f>
        <v>0</v>
      </c>
      <c r="AV1123" s="1">
        <f>IF($R1123=0,0,INT($A1123/$R1123))</f>
        <v>0</v>
      </c>
      <c r="AW1123" s="1">
        <f>$A1123-$AV1123*$R1123</f>
        <v>0</v>
      </c>
    </row>
    <row r="1124" ht="24.95" customHeight="1" outlineLevel="3" s="1" customFormat="1">
      <c r="A1124" s="15"/>
      <c r="B1124" s="16">
        <v>750</v>
      </c>
      <c r="C1124" s="17">
        <v>1088</v>
      </c>
      <c r="D1124" s="16">
        <v>33121</v>
      </c>
      <c r="E1124" s="18"/>
      <c r="F1124" s="18" t="s">
        <v>287</v>
      </c>
      <c r="G1124" s="18" t="s">
        <v>288</v>
      </c>
      <c r="H1124" s="18" t="s">
        <v>73</v>
      </c>
      <c r="I1124" s="18" t="s">
        <v>74</v>
      </c>
      <c r="J1124" s="16">
        <v>2026</v>
      </c>
      <c r="K1124" s="18" t="s">
        <v>289</v>
      </c>
      <c r="L1124" s="16">
        <v>9785002235407</v>
      </c>
      <c r="M1124" s="18" t="s">
        <v>290</v>
      </c>
      <c r="N1124" s="16">
        <v>192</v>
      </c>
      <c r="O1124" s="19">
        <v>0.28</v>
      </c>
      <c r="P1124" s="16">
        <v>150</v>
      </c>
      <c r="Q1124" s="16">
        <v>220</v>
      </c>
      <c r="R1124" s="16">
        <v>16</v>
      </c>
      <c r="S1124" s="18" t="s">
        <v>43</v>
      </c>
      <c r="T1124" s="18"/>
      <c r="U1124" s="17">
        <v>2000</v>
      </c>
      <c r="V1124" s="18" t="s">
        <v>77</v>
      </c>
      <c r="W1124" s="18" t="s">
        <v>91</v>
      </c>
      <c r="X1124" s="16">
        <v>10</v>
      </c>
      <c r="Y1124" s="43" t="str">
        <f>HYPERLINK("https://api-enni.alpina.ru/FilePrivilegesApproval/1173","https://api-enni.alpina.ru/FilePrivilegesApproval/1173")</f>
        <v>https://api-enni.alpina.ru/FilePrivilegesApproval/1173</v>
      </c>
      <c r="Z1124" s="18" t="s">
        <v>113</v>
      </c>
      <c r="AS1124" s="1">
        <f>IF($A1124&lt;&gt;0,1,0)</f>
        <v>0</v>
      </c>
      <c r="AT1124" s="1">
        <f>$A1124*$B1124</f>
        <v>0</v>
      </c>
      <c r="AU1124" s="1">
        <f>$A1124*$O1124</f>
        <v>0</v>
      </c>
      <c r="AV1124" s="1">
        <f>IF($R1124=0,0,INT($A1124/$R1124))</f>
        <v>0</v>
      </c>
      <c r="AW1124" s="1">
        <f>$A1124-$AV1124*$R1124</f>
        <v>0</v>
      </c>
    </row>
    <row r="1125" ht="24.95" customHeight="1" outlineLevel="3" s="1" customFormat="1">
      <c r="A1125" s="15"/>
      <c r="B1125" s="16">
        <v>690</v>
      </c>
      <c r="C1125" s="17">
        <v>1035</v>
      </c>
      <c r="D1125" s="16">
        <v>27746</v>
      </c>
      <c r="E1125" s="18"/>
      <c r="F1125" s="18" t="s">
        <v>3683</v>
      </c>
      <c r="G1125" s="18" t="s">
        <v>3684</v>
      </c>
      <c r="H1125" s="18" t="s">
        <v>86</v>
      </c>
      <c r="I1125" s="18" t="s">
        <v>160</v>
      </c>
      <c r="J1125" s="16">
        <v>2025</v>
      </c>
      <c r="K1125" s="18" t="s">
        <v>3685</v>
      </c>
      <c r="L1125" s="16">
        <v>9785961486223</v>
      </c>
      <c r="M1125" s="18" t="s">
        <v>3686</v>
      </c>
      <c r="N1125" s="16">
        <v>214</v>
      </c>
      <c r="O1125" s="19">
        <v>0.36</v>
      </c>
      <c r="P1125" s="16">
        <v>150</v>
      </c>
      <c r="Q1125" s="16">
        <v>220</v>
      </c>
      <c r="R1125" s="16">
        <v>18</v>
      </c>
      <c r="S1125" s="18" t="s">
        <v>43</v>
      </c>
      <c r="T1125" s="18"/>
      <c r="U1125" s="17">
        <v>1500</v>
      </c>
      <c r="V1125" s="18" t="s">
        <v>77</v>
      </c>
      <c r="W1125" s="18" t="s">
        <v>69</v>
      </c>
      <c r="X1125" s="16">
        <v>10</v>
      </c>
      <c r="Y1125" s="43" t="str">
        <f>HYPERLINK("https://api-enni.alpina.ru/FilePrivilegesApproval/700","https://api-enni.alpina.ru/FilePrivilegesApproval/700")</f>
        <v>https://api-enni.alpina.ru/FilePrivilegesApproval/700</v>
      </c>
      <c r="Z1125" s="18"/>
      <c r="AS1125" s="1">
        <f>IF($A1125&lt;&gt;0,1,0)</f>
        <v>0</v>
      </c>
      <c r="AT1125" s="1">
        <f>$A1125*$B1125</f>
        <v>0</v>
      </c>
      <c r="AU1125" s="1">
        <f>$A1125*$O1125</f>
        <v>0</v>
      </c>
      <c r="AV1125" s="1">
        <f>IF($R1125=0,0,INT($A1125/$R1125))</f>
        <v>0</v>
      </c>
      <c r="AW1125" s="1">
        <f>$A1125-$AV1125*$R1125</f>
        <v>0</v>
      </c>
    </row>
    <row r="1126" ht="24.95" customHeight="1" outlineLevel="3" s="1" customFormat="1">
      <c r="A1126" s="15"/>
      <c r="B1126" s="17">
        <v>1490</v>
      </c>
      <c r="C1126" s="17">
        <v>2012</v>
      </c>
      <c r="D1126" s="16">
        <v>11474</v>
      </c>
      <c r="E1126" s="18"/>
      <c r="F1126" s="18" t="s">
        <v>3465</v>
      </c>
      <c r="G1126" s="18" t="s">
        <v>3687</v>
      </c>
      <c r="H1126" s="18" t="s">
        <v>73</v>
      </c>
      <c r="I1126" s="18" t="s">
        <v>74</v>
      </c>
      <c r="J1126" s="16">
        <v>2023</v>
      </c>
      <c r="K1126" s="18" t="s">
        <v>3688</v>
      </c>
      <c r="L1126" s="16">
        <v>9785001390794</v>
      </c>
      <c r="M1126" s="18" t="s">
        <v>3689</v>
      </c>
      <c r="N1126" s="16">
        <v>688</v>
      </c>
      <c r="O1126" s="19">
        <v>1.06</v>
      </c>
      <c r="P1126" s="16">
        <v>170</v>
      </c>
      <c r="Q1126" s="16">
        <v>240</v>
      </c>
      <c r="R1126" s="16">
        <v>3</v>
      </c>
      <c r="S1126" s="18" t="s">
        <v>123</v>
      </c>
      <c r="T1126" s="18"/>
      <c r="U1126" s="17">
        <v>1500</v>
      </c>
      <c r="V1126" s="18" t="s">
        <v>77</v>
      </c>
      <c r="W1126" s="18" t="s">
        <v>69</v>
      </c>
      <c r="X1126" s="16">
        <v>10</v>
      </c>
      <c r="Y1126" s="43" t="str">
        <f>HYPERLINK("https://api-enni.alpina.ru/FilePrivilegesApproval/150","https://api-enni.alpina.ru/FilePrivilegesApproval/150")</f>
        <v>https://api-enni.alpina.ru/FilePrivilegesApproval/150</v>
      </c>
      <c r="Z1126" s="18"/>
      <c r="AS1126" s="1">
        <f>IF($A1126&lt;&gt;0,1,0)</f>
        <v>0</v>
      </c>
      <c r="AT1126" s="1">
        <f>$A1126*$B1126</f>
        <v>0</v>
      </c>
      <c r="AU1126" s="1">
        <f>$A1126*$O1126</f>
        <v>0</v>
      </c>
      <c r="AV1126" s="1">
        <f>IF($R1126=0,0,INT($A1126/$R1126))</f>
        <v>0</v>
      </c>
      <c r="AW1126" s="1">
        <f>$A1126-$AV1126*$R1126</f>
        <v>0</v>
      </c>
    </row>
    <row r="1127" ht="24.95" customHeight="1" outlineLevel="3" s="1" customFormat="1">
      <c r="A1127" s="15"/>
      <c r="B1127" s="16">
        <v>790</v>
      </c>
      <c r="C1127" s="17">
        <v>1146</v>
      </c>
      <c r="D1127" s="16">
        <v>29851</v>
      </c>
      <c r="E1127" s="18"/>
      <c r="F1127" s="18" t="s">
        <v>3690</v>
      </c>
      <c r="G1127" s="18" t="s">
        <v>3691</v>
      </c>
      <c r="H1127" s="18" t="s">
        <v>86</v>
      </c>
      <c r="I1127" s="18" t="s">
        <v>74</v>
      </c>
      <c r="J1127" s="16">
        <v>2026</v>
      </c>
      <c r="K1127" s="18" t="s">
        <v>3692</v>
      </c>
      <c r="L1127" s="16">
        <v>9785961494228</v>
      </c>
      <c r="M1127" s="18" t="s">
        <v>3693</v>
      </c>
      <c r="N1127" s="16">
        <v>333</v>
      </c>
      <c r="O1127" s="19">
        <v>0.51</v>
      </c>
      <c r="P1127" s="16">
        <v>150</v>
      </c>
      <c r="Q1127" s="16">
        <v>220</v>
      </c>
      <c r="R1127" s="16">
        <v>10</v>
      </c>
      <c r="S1127" s="18" t="s">
        <v>43</v>
      </c>
      <c r="T1127" s="18"/>
      <c r="U1127" s="17">
        <v>1000</v>
      </c>
      <c r="V1127" s="18" t="s">
        <v>77</v>
      </c>
      <c r="W1127" s="18" t="s">
        <v>91</v>
      </c>
      <c r="X1127" s="16">
        <v>10</v>
      </c>
      <c r="Y1127" s="43" t="str">
        <f>HYPERLINK("https://api-enni.alpina.ru/FilePrivilegesApproval/700","https://api-enni.alpina.ru/FilePrivilegesApproval/700")</f>
        <v>https://api-enni.alpina.ru/FilePrivilegesApproval/700</v>
      </c>
      <c r="Z1127" s="18"/>
      <c r="AS1127" s="1">
        <f>IF($A1127&lt;&gt;0,1,0)</f>
        <v>0</v>
      </c>
      <c r="AT1127" s="1">
        <f>$A1127*$B1127</f>
        <v>0</v>
      </c>
      <c r="AU1127" s="1">
        <f>$A1127*$O1127</f>
        <v>0</v>
      </c>
      <c r="AV1127" s="1">
        <f>IF($R1127=0,0,INT($A1127/$R1127))</f>
        <v>0</v>
      </c>
      <c r="AW1127" s="1">
        <f>$A1127-$AV1127*$R1127</f>
        <v>0</v>
      </c>
    </row>
    <row r="1128" ht="24.95" customHeight="1" outlineLevel="3" s="1" customFormat="1">
      <c r="A1128" s="15"/>
      <c r="B1128" s="17">
        <v>1890</v>
      </c>
      <c r="C1128" s="17">
        <v>2457</v>
      </c>
      <c r="D1128" s="16">
        <v>27470</v>
      </c>
      <c r="E1128" s="18"/>
      <c r="F1128" s="18" t="s">
        <v>3694</v>
      </c>
      <c r="G1128" s="18" t="s">
        <v>3695</v>
      </c>
      <c r="H1128" s="18" t="s">
        <v>73</v>
      </c>
      <c r="I1128" s="18" t="s">
        <v>74</v>
      </c>
      <c r="J1128" s="16">
        <v>2026</v>
      </c>
      <c r="K1128" s="18" t="s">
        <v>3696</v>
      </c>
      <c r="L1128" s="16">
        <v>9785001398936</v>
      </c>
      <c r="M1128" s="18" t="s">
        <v>3697</v>
      </c>
      <c r="N1128" s="16">
        <v>624</v>
      </c>
      <c r="O1128" s="19">
        <v>1.12</v>
      </c>
      <c r="P1128" s="16">
        <v>170</v>
      </c>
      <c r="Q1128" s="16">
        <v>240</v>
      </c>
      <c r="R1128" s="16">
        <v>5</v>
      </c>
      <c r="S1128" s="18" t="s">
        <v>123</v>
      </c>
      <c r="T1128" s="18"/>
      <c r="U1128" s="17">
        <v>2000</v>
      </c>
      <c r="V1128" s="18" t="s">
        <v>77</v>
      </c>
      <c r="W1128" s="18" t="s">
        <v>45</v>
      </c>
      <c r="X1128" s="16">
        <v>10</v>
      </c>
      <c r="Y1128" s="43" t="str">
        <f>HYPERLINK("https://api-enni.alpina.ru/FilePrivilegesApproval/1058","https://api-enni.alpina.ru/FilePrivilegesApproval/1058")</f>
        <v>https://api-enni.alpina.ru/FilePrivilegesApproval/1058</v>
      </c>
      <c r="Z1128" s="18"/>
      <c r="AS1128" s="1">
        <f>IF($A1128&lt;&gt;0,1,0)</f>
        <v>0</v>
      </c>
      <c r="AT1128" s="1">
        <f>$A1128*$B1128</f>
        <v>0</v>
      </c>
      <c r="AU1128" s="1">
        <f>$A1128*$O1128</f>
        <v>0</v>
      </c>
      <c r="AV1128" s="1">
        <f>IF($R1128=0,0,INT($A1128/$R1128))</f>
        <v>0</v>
      </c>
      <c r="AW1128" s="1">
        <f>$A1128-$AV1128*$R1128</f>
        <v>0</v>
      </c>
    </row>
    <row r="1129" ht="24.95" customHeight="1" outlineLevel="3" s="1" customFormat="1">
      <c r="A1129" s="15"/>
      <c r="B1129" s="16">
        <v>690</v>
      </c>
      <c r="C1129" s="17">
        <v>1035</v>
      </c>
      <c r="D1129" s="16">
        <v>23600</v>
      </c>
      <c r="E1129" s="18"/>
      <c r="F1129" s="18" t="s">
        <v>3698</v>
      </c>
      <c r="G1129" s="18" t="s">
        <v>3699</v>
      </c>
      <c r="H1129" s="18" t="s">
        <v>86</v>
      </c>
      <c r="I1129" s="18"/>
      <c r="J1129" s="16">
        <v>2025</v>
      </c>
      <c r="K1129" s="18" t="s">
        <v>3700</v>
      </c>
      <c r="L1129" s="16">
        <v>9785961480078</v>
      </c>
      <c r="M1129" s="18" t="s">
        <v>3701</v>
      </c>
      <c r="N1129" s="16">
        <v>277</v>
      </c>
      <c r="O1129" s="19">
        <v>0.36</v>
      </c>
      <c r="P1129" s="16">
        <v>150</v>
      </c>
      <c r="Q1129" s="16">
        <v>220</v>
      </c>
      <c r="R1129" s="16">
        <v>5</v>
      </c>
      <c r="S1129" s="18" t="s">
        <v>43</v>
      </c>
      <c r="T1129" s="18"/>
      <c r="U1129" s="17">
        <v>1000</v>
      </c>
      <c r="V1129" s="18" t="s">
        <v>77</v>
      </c>
      <c r="W1129" s="18" t="s">
        <v>45</v>
      </c>
      <c r="X1129" s="16">
        <v>10</v>
      </c>
      <c r="Y1129" s="43" t="str">
        <f>HYPERLINK("https://api-enni.alpina.ru/FilePrivilegesApproval/235","https://api-enni.alpina.ru/FilePrivilegesApproval/235")</f>
        <v>https://api-enni.alpina.ru/FilePrivilegesApproval/235</v>
      </c>
      <c r="Z1129" s="18"/>
      <c r="AS1129" s="1">
        <f>IF($A1129&lt;&gt;0,1,0)</f>
        <v>0</v>
      </c>
      <c r="AT1129" s="1">
        <f>$A1129*$B1129</f>
        <v>0</v>
      </c>
      <c r="AU1129" s="1">
        <f>$A1129*$O1129</f>
        <v>0</v>
      </c>
      <c r="AV1129" s="1">
        <f>IF($R1129=0,0,INT($A1129/$R1129))</f>
        <v>0</v>
      </c>
      <c r="AW1129" s="1">
        <f>$A1129-$AV1129*$R1129</f>
        <v>0</v>
      </c>
    </row>
    <row r="1130" ht="24.95" customHeight="1" outlineLevel="3" s="1" customFormat="1">
      <c r="A1130" s="15"/>
      <c r="B1130" s="16">
        <v>840</v>
      </c>
      <c r="C1130" s="17">
        <v>1218</v>
      </c>
      <c r="D1130" s="16">
        <v>27928</v>
      </c>
      <c r="E1130" s="18"/>
      <c r="F1130" s="18" t="s">
        <v>3702</v>
      </c>
      <c r="G1130" s="18" t="s">
        <v>3703</v>
      </c>
      <c r="H1130" s="18" t="s">
        <v>73</v>
      </c>
      <c r="I1130" s="18" t="s">
        <v>74</v>
      </c>
      <c r="J1130" s="16">
        <v>2024</v>
      </c>
      <c r="K1130" s="18" t="s">
        <v>3704</v>
      </c>
      <c r="L1130" s="16">
        <v>9785001399759</v>
      </c>
      <c r="M1130" s="18" t="s">
        <v>3705</v>
      </c>
      <c r="N1130" s="16">
        <v>312</v>
      </c>
      <c r="O1130" s="19">
        <v>0.39</v>
      </c>
      <c r="P1130" s="16">
        <v>150</v>
      </c>
      <c r="Q1130" s="16">
        <v>220</v>
      </c>
      <c r="R1130" s="16">
        <v>10</v>
      </c>
      <c r="S1130" s="18" t="s">
        <v>43</v>
      </c>
      <c r="T1130" s="18"/>
      <c r="U1130" s="17">
        <v>2000</v>
      </c>
      <c r="V1130" s="18" t="s">
        <v>77</v>
      </c>
      <c r="W1130" s="18" t="s">
        <v>69</v>
      </c>
      <c r="X1130" s="16">
        <v>10</v>
      </c>
      <c r="Y1130" s="43" t="str">
        <f>HYPERLINK("https://api-enni.alpina.ru/FilePrivilegesApproval/369","https://api-enni.alpina.ru/FilePrivilegesApproval/369")</f>
        <v>https://api-enni.alpina.ru/FilePrivilegesApproval/369</v>
      </c>
      <c r="Z1130" s="18"/>
      <c r="AS1130" s="1">
        <f>IF($A1130&lt;&gt;0,1,0)</f>
        <v>0</v>
      </c>
      <c r="AT1130" s="1">
        <f>$A1130*$B1130</f>
        <v>0</v>
      </c>
      <c r="AU1130" s="1">
        <f>$A1130*$O1130</f>
        <v>0</v>
      </c>
      <c r="AV1130" s="1">
        <f>IF($R1130=0,0,INT($A1130/$R1130))</f>
        <v>0</v>
      </c>
      <c r="AW1130" s="1">
        <f>$A1130-$AV1130*$R1130</f>
        <v>0</v>
      </c>
    </row>
    <row r="1131" ht="24.95" customHeight="1" outlineLevel="3" s="1" customFormat="1">
      <c r="A1131" s="15"/>
      <c r="B1131" s="16">
        <v>990</v>
      </c>
      <c r="C1131" s="17">
        <v>1386</v>
      </c>
      <c r="D1131" s="16">
        <v>31598</v>
      </c>
      <c r="E1131" s="18"/>
      <c r="F1131" s="18" t="s">
        <v>298</v>
      </c>
      <c r="G1131" s="18" t="s">
        <v>299</v>
      </c>
      <c r="H1131" s="18" t="s">
        <v>86</v>
      </c>
      <c r="I1131" s="18" t="s">
        <v>74</v>
      </c>
      <c r="J1131" s="16">
        <v>2026</v>
      </c>
      <c r="K1131" s="18" t="s">
        <v>300</v>
      </c>
      <c r="L1131" s="16">
        <v>9785961499483</v>
      </c>
      <c r="M1131" s="18" t="s">
        <v>301</v>
      </c>
      <c r="N1131" s="16">
        <v>650</v>
      </c>
      <c r="O1131" s="19">
        <v>0.88</v>
      </c>
      <c r="P1131" s="16">
        <v>150</v>
      </c>
      <c r="Q1131" s="16">
        <v>220</v>
      </c>
      <c r="R1131" s="16">
        <v>6</v>
      </c>
      <c r="S1131" s="18" t="s">
        <v>43</v>
      </c>
      <c r="T1131" s="18"/>
      <c r="U1131" s="17">
        <v>2000</v>
      </c>
      <c r="V1131" s="18" t="s">
        <v>77</v>
      </c>
      <c r="W1131" s="18" t="s">
        <v>69</v>
      </c>
      <c r="X1131" s="16">
        <v>10</v>
      </c>
      <c r="Y1131" s="43" t="str">
        <f>HYPERLINK("https://api-enni.alpina.ru/FilePrivilegesApproval/1097","https://api-enni.alpina.ru/FilePrivilegesApproval/1097")</f>
        <v>https://api-enni.alpina.ru/FilePrivilegesApproval/1097</v>
      </c>
      <c r="Z1131" s="18"/>
      <c r="AS1131" s="1">
        <f>IF($A1131&lt;&gt;0,1,0)</f>
        <v>0</v>
      </c>
      <c r="AT1131" s="1">
        <f>$A1131*$B1131</f>
        <v>0</v>
      </c>
      <c r="AU1131" s="1">
        <f>$A1131*$O1131</f>
        <v>0</v>
      </c>
      <c r="AV1131" s="1">
        <f>IF($R1131=0,0,INT($A1131/$R1131))</f>
        <v>0</v>
      </c>
      <c r="AW1131" s="1">
        <f>$A1131-$AV1131*$R1131</f>
        <v>0</v>
      </c>
    </row>
    <row r="1132" ht="24.95" customHeight="1" outlineLevel="3" s="1" customFormat="1">
      <c r="A1132" s="15"/>
      <c r="B1132" s="16">
        <v>690</v>
      </c>
      <c r="C1132" s="17">
        <v>1035</v>
      </c>
      <c r="D1132" s="16">
        <v>27582</v>
      </c>
      <c r="E1132" s="18"/>
      <c r="F1132" s="18" t="s">
        <v>3706</v>
      </c>
      <c r="G1132" s="18" t="s">
        <v>3707</v>
      </c>
      <c r="H1132" s="18" t="s">
        <v>86</v>
      </c>
      <c r="I1132" s="18" t="s">
        <v>74</v>
      </c>
      <c r="J1132" s="16">
        <v>2024</v>
      </c>
      <c r="K1132" s="18" t="s">
        <v>3708</v>
      </c>
      <c r="L1132" s="16">
        <v>9785961485745</v>
      </c>
      <c r="M1132" s="18" t="s">
        <v>3709</v>
      </c>
      <c r="N1132" s="16">
        <v>429</v>
      </c>
      <c r="O1132" s="19">
        <v>0.45</v>
      </c>
      <c r="P1132" s="16">
        <v>150</v>
      </c>
      <c r="Q1132" s="16">
        <v>220</v>
      </c>
      <c r="R1132" s="16">
        <v>8</v>
      </c>
      <c r="S1132" s="18" t="s">
        <v>43</v>
      </c>
      <c r="T1132" s="18"/>
      <c r="U1132" s="17">
        <v>3000</v>
      </c>
      <c r="V1132" s="18" t="s">
        <v>77</v>
      </c>
      <c r="W1132" s="18" t="s">
        <v>69</v>
      </c>
      <c r="X1132" s="16">
        <v>10</v>
      </c>
      <c r="Y1132" s="43" t="str">
        <f>HYPERLINK("https://api-enni.alpina.ru/FilePrivilegesApproval/376","https://api-enni.alpina.ru/FilePrivilegesApproval/376")</f>
        <v>https://api-enni.alpina.ru/FilePrivilegesApproval/376</v>
      </c>
      <c r="Z1132" s="18"/>
      <c r="AS1132" s="1">
        <f>IF($A1132&lt;&gt;0,1,0)</f>
        <v>0</v>
      </c>
      <c r="AT1132" s="1">
        <f>$A1132*$B1132</f>
        <v>0</v>
      </c>
      <c r="AU1132" s="1">
        <f>$A1132*$O1132</f>
        <v>0</v>
      </c>
      <c r="AV1132" s="1">
        <f>IF($R1132=0,0,INT($A1132/$R1132))</f>
        <v>0</v>
      </c>
      <c r="AW1132" s="1">
        <f>$A1132-$AV1132*$R1132</f>
        <v>0</v>
      </c>
    </row>
    <row r="1133" ht="24.95" customHeight="1" outlineLevel="3" s="1" customFormat="1">
      <c r="A1133" s="15"/>
      <c r="B1133" s="16">
        <v>740</v>
      </c>
      <c r="C1133" s="17">
        <v>1073</v>
      </c>
      <c r="D1133" s="16">
        <v>32282</v>
      </c>
      <c r="E1133" s="18"/>
      <c r="F1133" s="18" t="s">
        <v>831</v>
      </c>
      <c r="G1133" s="18" t="s">
        <v>832</v>
      </c>
      <c r="H1133" s="18" t="s">
        <v>86</v>
      </c>
      <c r="I1133" s="18" t="s">
        <v>40</v>
      </c>
      <c r="J1133" s="16">
        <v>2026</v>
      </c>
      <c r="K1133" s="18" t="s">
        <v>833</v>
      </c>
      <c r="L1133" s="16">
        <v>9785006301856</v>
      </c>
      <c r="M1133" s="18" t="s">
        <v>834</v>
      </c>
      <c r="N1133" s="16">
        <v>308</v>
      </c>
      <c r="O1133" s="19">
        <v>0.47</v>
      </c>
      <c r="P1133" s="16">
        <v>150</v>
      </c>
      <c r="Q1133" s="16">
        <v>220</v>
      </c>
      <c r="R1133" s="16">
        <v>14</v>
      </c>
      <c r="S1133" s="18" t="s">
        <v>43</v>
      </c>
      <c r="T1133" s="18"/>
      <c r="U1133" s="17">
        <v>3000</v>
      </c>
      <c r="V1133" s="18" t="s">
        <v>77</v>
      </c>
      <c r="W1133" s="18" t="s">
        <v>69</v>
      </c>
      <c r="X1133" s="16">
        <v>10</v>
      </c>
      <c r="Y1133" s="43" t="str">
        <f>HYPERLINK("https://api-enni.alpina.ru/FilePrivilegesApproval/993","https://api-enni.alpina.ru/FilePrivilegesApproval/993")</f>
        <v>https://api-enni.alpina.ru/FilePrivilegesApproval/993</v>
      </c>
      <c r="Z1133" s="18" t="s">
        <v>835</v>
      </c>
      <c r="AS1133" s="1">
        <f>IF($A1133&lt;&gt;0,1,0)</f>
        <v>0</v>
      </c>
      <c r="AT1133" s="1">
        <f>$A1133*$B1133</f>
        <v>0</v>
      </c>
      <c r="AU1133" s="1">
        <f>$A1133*$O1133</f>
        <v>0</v>
      </c>
      <c r="AV1133" s="1">
        <f>IF($R1133=0,0,INT($A1133/$R1133))</f>
        <v>0</v>
      </c>
      <c r="AW1133" s="1">
        <f>$A1133-$AV1133*$R1133</f>
        <v>0</v>
      </c>
    </row>
    <row r="1134" ht="24.95" customHeight="1" outlineLevel="3" s="1" customFormat="1">
      <c r="A1134" s="15"/>
      <c r="B1134" s="17">
        <v>1190</v>
      </c>
      <c r="C1134" s="17">
        <v>1607</v>
      </c>
      <c r="D1134" s="16">
        <v>24509</v>
      </c>
      <c r="E1134" s="18"/>
      <c r="F1134" s="18" t="s">
        <v>3710</v>
      </c>
      <c r="G1134" s="18" t="s">
        <v>3711</v>
      </c>
      <c r="H1134" s="18" t="s">
        <v>73</v>
      </c>
      <c r="I1134" s="18" t="s">
        <v>74</v>
      </c>
      <c r="J1134" s="16">
        <v>2026</v>
      </c>
      <c r="K1134" s="18" t="s">
        <v>3712</v>
      </c>
      <c r="L1134" s="16">
        <v>9785002235001</v>
      </c>
      <c r="M1134" s="18" t="s">
        <v>3713</v>
      </c>
      <c r="N1134" s="16">
        <v>504</v>
      </c>
      <c r="O1134" s="19">
        <v>0.52</v>
      </c>
      <c r="P1134" s="16">
        <v>150</v>
      </c>
      <c r="Q1134" s="16">
        <v>220</v>
      </c>
      <c r="R1134" s="16">
        <v>6</v>
      </c>
      <c r="S1134" s="18" t="s">
        <v>43</v>
      </c>
      <c r="T1134" s="18" t="s">
        <v>134</v>
      </c>
      <c r="U1134" s="17">
        <v>2000</v>
      </c>
      <c r="V1134" s="18" t="s">
        <v>77</v>
      </c>
      <c r="W1134" s="18" t="s">
        <v>91</v>
      </c>
      <c r="X1134" s="16">
        <v>10</v>
      </c>
      <c r="Y1134" s="43" t="str">
        <f>HYPERLINK("https://api-enni.alpina.ru/FilePrivilegesApproval/838","https://api-enni.alpina.ru/FilePrivilegesApproval/838")</f>
        <v>https://api-enni.alpina.ru/FilePrivilegesApproval/838</v>
      </c>
      <c r="Z1134" s="18"/>
      <c r="AS1134" s="1">
        <f>IF($A1134&lt;&gt;0,1,0)</f>
        <v>0</v>
      </c>
      <c r="AT1134" s="1">
        <f>$A1134*$B1134</f>
        <v>0</v>
      </c>
      <c r="AU1134" s="1">
        <f>$A1134*$O1134</f>
        <v>0</v>
      </c>
      <c r="AV1134" s="1">
        <f>IF($R1134=0,0,INT($A1134/$R1134))</f>
        <v>0</v>
      </c>
      <c r="AW1134" s="1">
        <f>$A1134-$AV1134*$R1134</f>
        <v>0</v>
      </c>
    </row>
    <row r="1135" ht="24.95" customHeight="1" outlineLevel="3" s="1" customFormat="1">
      <c r="A1135" s="15"/>
      <c r="B1135" s="16">
        <v>590</v>
      </c>
      <c r="C1135" s="16">
        <v>885</v>
      </c>
      <c r="D1135" s="16">
        <v>30481</v>
      </c>
      <c r="E1135" s="18"/>
      <c r="F1135" s="18" t="s">
        <v>3714</v>
      </c>
      <c r="G1135" s="18" t="s">
        <v>3715</v>
      </c>
      <c r="H1135" s="18" t="s">
        <v>86</v>
      </c>
      <c r="I1135" s="18"/>
      <c r="J1135" s="16">
        <v>2024</v>
      </c>
      <c r="K1135" s="18" t="s">
        <v>3716</v>
      </c>
      <c r="L1135" s="16">
        <v>9785961495645</v>
      </c>
      <c r="M1135" s="18" t="s">
        <v>3717</v>
      </c>
      <c r="N1135" s="16">
        <v>198</v>
      </c>
      <c r="O1135" s="19">
        <v>0.34</v>
      </c>
      <c r="P1135" s="16">
        <v>150</v>
      </c>
      <c r="Q1135" s="16">
        <v>220</v>
      </c>
      <c r="R1135" s="16">
        <v>16</v>
      </c>
      <c r="S1135" s="18" t="s">
        <v>43</v>
      </c>
      <c r="T1135" s="18"/>
      <c r="U1135" s="17">
        <v>2000</v>
      </c>
      <c r="V1135" s="18" t="s">
        <v>77</v>
      </c>
      <c r="W1135" s="18" t="s">
        <v>69</v>
      </c>
      <c r="X1135" s="16">
        <v>10</v>
      </c>
      <c r="Y1135" s="43" t="str">
        <f>HYPERLINK("https://api-enni.alpina.ru/FilePrivilegesApproval/633","https://api-enni.alpina.ru/FilePrivilegesApproval/633")</f>
        <v>https://api-enni.alpina.ru/FilePrivilegesApproval/633</v>
      </c>
      <c r="Z1135" s="18"/>
      <c r="AS1135" s="1">
        <f>IF($A1135&lt;&gt;0,1,0)</f>
        <v>0</v>
      </c>
      <c r="AT1135" s="1">
        <f>$A1135*$B1135</f>
        <v>0</v>
      </c>
      <c r="AU1135" s="1">
        <f>$A1135*$O1135</f>
        <v>0</v>
      </c>
      <c r="AV1135" s="1">
        <f>IF($R1135=0,0,INT($A1135/$R1135))</f>
        <v>0</v>
      </c>
      <c r="AW1135" s="1">
        <f>$A1135-$AV1135*$R1135</f>
        <v>0</v>
      </c>
    </row>
    <row r="1136" ht="24.95" customHeight="1" outlineLevel="3" s="1" customFormat="1">
      <c r="A1136" s="15"/>
      <c r="B1136" s="17">
        <v>1090</v>
      </c>
      <c r="C1136" s="17">
        <v>1472</v>
      </c>
      <c r="D1136" s="16">
        <v>29158</v>
      </c>
      <c r="E1136" s="18"/>
      <c r="F1136" s="18" t="s">
        <v>412</v>
      </c>
      <c r="G1136" s="18" t="s">
        <v>3718</v>
      </c>
      <c r="H1136" s="18" t="s">
        <v>73</v>
      </c>
      <c r="I1136" s="18"/>
      <c r="J1136" s="16">
        <v>2024</v>
      </c>
      <c r="K1136" s="18" t="s">
        <v>3719</v>
      </c>
      <c r="L1136" s="16">
        <v>9785002231195</v>
      </c>
      <c r="M1136" s="18" t="s">
        <v>3720</v>
      </c>
      <c r="N1136" s="16">
        <v>550</v>
      </c>
      <c r="O1136" s="19">
        <v>0.91</v>
      </c>
      <c r="P1136" s="16">
        <v>170</v>
      </c>
      <c r="Q1136" s="16">
        <v>220</v>
      </c>
      <c r="R1136" s="16">
        <v>5</v>
      </c>
      <c r="S1136" s="18" t="s">
        <v>52</v>
      </c>
      <c r="T1136" s="18"/>
      <c r="U1136" s="17">
        <v>5000</v>
      </c>
      <c r="V1136" s="18" t="s">
        <v>77</v>
      </c>
      <c r="W1136" s="18" t="s">
        <v>69</v>
      </c>
      <c r="X1136" s="16">
        <v>10</v>
      </c>
      <c r="Y1136" s="43" t="str">
        <f>HYPERLINK("https://api-enni.alpina.ru/FilePrivilegesApproval/386","https://api-enni.alpina.ru/FilePrivilegesApproval/386")</f>
        <v>https://api-enni.alpina.ru/FilePrivilegesApproval/386</v>
      </c>
      <c r="Z1136" s="18"/>
      <c r="AS1136" s="1">
        <f>IF($A1136&lt;&gt;0,1,0)</f>
        <v>0</v>
      </c>
      <c r="AT1136" s="1">
        <f>$A1136*$B1136</f>
        <v>0</v>
      </c>
      <c r="AU1136" s="1">
        <f>$A1136*$O1136</f>
        <v>0</v>
      </c>
      <c r="AV1136" s="1">
        <f>IF($R1136=0,0,INT($A1136/$R1136))</f>
        <v>0</v>
      </c>
      <c r="AW1136" s="1">
        <f>$A1136-$AV1136*$R1136</f>
        <v>0</v>
      </c>
    </row>
    <row r="1137" ht="24.95" customHeight="1" outlineLevel="3" s="1" customFormat="1">
      <c r="A1137" s="15"/>
      <c r="B1137" s="16">
        <v>990</v>
      </c>
      <c r="C1137" s="17">
        <v>1386</v>
      </c>
      <c r="D1137" s="16">
        <v>30472</v>
      </c>
      <c r="E1137" s="18"/>
      <c r="F1137" s="18" t="s">
        <v>412</v>
      </c>
      <c r="G1137" s="18" t="s">
        <v>3721</v>
      </c>
      <c r="H1137" s="18" t="s">
        <v>73</v>
      </c>
      <c r="I1137" s="18"/>
      <c r="J1137" s="16">
        <v>2024</v>
      </c>
      <c r="K1137" s="18" t="s">
        <v>3722</v>
      </c>
      <c r="L1137" s="16">
        <v>9785002232598</v>
      </c>
      <c r="M1137" s="18" t="s">
        <v>3723</v>
      </c>
      <c r="N1137" s="16">
        <v>550</v>
      </c>
      <c r="O1137" s="19">
        <v>0.62</v>
      </c>
      <c r="P1137" s="16">
        <v>170</v>
      </c>
      <c r="Q1137" s="16">
        <v>220</v>
      </c>
      <c r="R1137" s="16">
        <v>4</v>
      </c>
      <c r="S1137" s="18" t="s">
        <v>52</v>
      </c>
      <c r="T1137" s="18"/>
      <c r="U1137" s="17">
        <v>10000</v>
      </c>
      <c r="V1137" s="18" t="s">
        <v>44</v>
      </c>
      <c r="W1137" s="18" t="s">
        <v>69</v>
      </c>
      <c r="X1137" s="16">
        <v>10</v>
      </c>
      <c r="Y1137" s="43" t="str">
        <f>HYPERLINK("https://api-enni.alpina.ru/FilePrivilegesApproval/386","https://api-enni.alpina.ru/FilePrivilegesApproval/386")</f>
        <v>https://api-enni.alpina.ru/FilePrivilegesApproval/386</v>
      </c>
      <c r="Z1137" s="18"/>
      <c r="AS1137" s="1">
        <f>IF($A1137&lt;&gt;0,1,0)</f>
        <v>0</v>
      </c>
      <c r="AT1137" s="1">
        <f>$A1137*$B1137</f>
        <v>0</v>
      </c>
      <c r="AU1137" s="1">
        <f>$A1137*$O1137</f>
        <v>0</v>
      </c>
      <c r="AV1137" s="1">
        <f>IF($R1137=0,0,INT($A1137/$R1137))</f>
        <v>0</v>
      </c>
      <c r="AW1137" s="1">
        <f>$A1137-$AV1137*$R1137</f>
        <v>0</v>
      </c>
    </row>
    <row r="1138" ht="24.95" customHeight="1" outlineLevel="3" s="1" customFormat="1">
      <c r="A1138" s="15"/>
      <c r="B1138" s="16">
        <v>790</v>
      </c>
      <c r="C1138" s="17">
        <v>1146</v>
      </c>
      <c r="D1138" s="16">
        <v>35324</v>
      </c>
      <c r="E1138" s="18"/>
      <c r="F1138" s="18" t="s">
        <v>3724</v>
      </c>
      <c r="G1138" s="18" t="s">
        <v>3725</v>
      </c>
      <c r="H1138" s="18" t="s">
        <v>86</v>
      </c>
      <c r="I1138" s="18"/>
      <c r="J1138" s="16">
        <v>2026</v>
      </c>
      <c r="K1138" s="18" t="s">
        <v>3726</v>
      </c>
      <c r="L1138" s="16">
        <v>9785006309975</v>
      </c>
      <c r="M1138" s="18" t="s">
        <v>3727</v>
      </c>
      <c r="N1138" s="16">
        <v>600</v>
      </c>
      <c r="O1138" s="19">
        <v>0.81</v>
      </c>
      <c r="P1138" s="16">
        <v>150</v>
      </c>
      <c r="Q1138" s="16">
        <v>220</v>
      </c>
      <c r="R1138" s="16">
        <v>6</v>
      </c>
      <c r="S1138" s="18" t="s">
        <v>43</v>
      </c>
      <c r="T1138" s="18" t="s">
        <v>3728</v>
      </c>
      <c r="U1138" s="17">
        <v>3000</v>
      </c>
      <c r="V1138" s="18" t="s">
        <v>77</v>
      </c>
      <c r="W1138" s="18" t="s">
        <v>69</v>
      </c>
      <c r="X1138" s="16">
        <v>10</v>
      </c>
      <c r="Y1138" s="43" t="str">
        <f>HYPERLINK("https://api-enni.alpina.ru/FilePrivilegesApproval/1119","https://api-enni.alpina.ru/FilePrivilegesApproval/1119")</f>
        <v>https://api-enni.alpina.ru/FilePrivilegesApproval/1119</v>
      </c>
      <c r="Z1138" s="18" t="s">
        <v>505</v>
      </c>
      <c r="AS1138" s="1">
        <f>IF($A1138&lt;&gt;0,1,0)</f>
        <v>0</v>
      </c>
      <c r="AT1138" s="1">
        <f>$A1138*$B1138</f>
        <v>0</v>
      </c>
      <c r="AU1138" s="1">
        <f>$A1138*$O1138</f>
        <v>0</v>
      </c>
      <c r="AV1138" s="1">
        <f>IF($R1138=0,0,INT($A1138/$R1138))</f>
        <v>0</v>
      </c>
      <c r="AW1138" s="1">
        <f>$A1138-$AV1138*$R1138</f>
        <v>0</v>
      </c>
    </row>
    <row r="1139" ht="24.95" customHeight="1" outlineLevel="3" s="1" customFormat="1">
      <c r="A1139" s="15"/>
      <c r="B1139" s="16">
        <v>890</v>
      </c>
      <c r="C1139" s="17">
        <v>1246</v>
      </c>
      <c r="D1139" s="16">
        <v>32356</v>
      </c>
      <c r="E1139" s="18"/>
      <c r="F1139" s="18" t="s">
        <v>3729</v>
      </c>
      <c r="G1139" s="18" t="s">
        <v>3730</v>
      </c>
      <c r="H1139" s="18" t="s">
        <v>73</v>
      </c>
      <c r="I1139" s="18" t="s">
        <v>74</v>
      </c>
      <c r="J1139" s="16">
        <v>2026</v>
      </c>
      <c r="K1139" s="18" t="s">
        <v>3731</v>
      </c>
      <c r="L1139" s="16">
        <v>9785002234967</v>
      </c>
      <c r="M1139" s="18" t="s">
        <v>3732</v>
      </c>
      <c r="N1139" s="16">
        <v>360</v>
      </c>
      <c r="O1139" s="19">
        <v>0.48</v>
      </c>
      <c r="P1139" s="16">
        <v>150</v>
      </c>
      <c r="Q1139" s="16">
        <v>220</v>
      </c>
      <c r="R1139" s="16">
        <v>10</v>
      </c>
      <c r="S1139" s="18" t="s">
        <v>43</v>
      </c>
      <c r="T1139" s="18"/>
      <c r="U1139" s="17">
        <v>2500</v>
      </c>
      <c r="V1139" s="18" t="s">
        <v>77</v>
      </c>
      <c r="W1139" s="18" t="s">
        <v>45</v>
      </c>
      <c r="X1139" s="16">
        <v>10</v>
      </c>
      <c r="Y1139" s="43" t="str">
        <f>HYPERLINK("https://api-enni.alpina.ru/FilePrivilegesApproval/1069","https://api-enni.alpina.ru/FilePrivilegesApproval/1069")</f>
        <v>https://api-enni.alpina.ru/FilePrivilegesApproval/1069</v>
      </c>
      <c r="Z1139" s="18"/>
      <c r="AS1139" s="1">
        <f>IF($A1139&lt;&gt;0,1,0)</f>
        <v>0</v>
      </c>
      <c r="AT1139" s="1">
        <f>$A1139*$B1139</f>
        <v>0</v>
      </c>
      <c r="AU1139" s="1">
        <f>$A1139*$O1139</f>
        <v>0</v>
      </c>
      <c r="AV1139" s="1">
        <f>IF($R1139=0,0,INT($A1139/$R1139))</f>
        <v>0</v>
      </c>
      <c r="AW1139" s="1">
        <f>$A1139-$AV1139*$R1139</f>
        <v>0</v>
      </c>
    </row>
    <row r="1140" ht="24.95" customHeight="1" outlineLevel="3" s="1" customFormat="1">
      <c r="A1140" s="15"/>
      <c r="B1140" s="16">
        <v>790</v>
      </c>
      <c r="C1140" s="17">
        <v>1146</v>
      </c>
      <c r="D1140" s="16">
        <v>19127</v>
      </c>
      <c r="E1140" s="18"/>
      <c r="F1140" s="18" t="s">
        <v>3733</v>
      </c>
      <c r="G1140" s="18" t="s">
        <v>3734</v>
      </c>
      <c r="H1140" s="18" t="s">
        <v>73</v>
      </c>
      <c r="I1140" s="18" t="s">
        <v>74</v>
      </c>
      <c r="J1140" s="16">
        <v>2023</v>
      </c>
      <c r="K1140" s="18" t="s">
        <v>3735</v>
      </c>
      <c r="L1140" s="16">
        <v>9785001398158</v>
      </c>
      <c r="M1140" s="18" t="s">
        <v>3736</v>
      </c>
      <c r="N1140" s="16">
        <v>440</v>
      </c>
      <c r="O1140" s="19">
        <v>0.6</v>
      </c>
      <c r="P1140" s="16">
        <v>150</v>
      </c>
      <c r="Q1140" s="16">
        <v>220</v>
      </c>
      <c r="R1140" s="16">
        <v>10</v>
      </c>
      <c r="S1140" s="18" t="s">
        <v>43</v>
      </c>
      <c r="T1140" s="18"/>
      <c r="U1140" s="17">
        <v>1500</v>
      </c>
      <c r="V1140" s="18" t="s">
        <v>77</v>
      </c>
      <c r="W1140" s="18" t="s">
        <v>91</v>
      </c>
      <c r="X1140" s="16">
        <v>10</v>
      </c>
      <c r="Y1140" s="43" t="str">
        <f>HYPERLINK("https://api-enni.alpina.ru/FilePrivilegesApproval/171","https://api-enni.alpina.ru/FilePrivilegesApproval/171")</f>
        <v>https://api-enni.alpina.ru/FilePrivilegesApproval/171</v>
      </c>
      <c r="Z1140" s="18"/>
      <c r="AS1140" s="1">
        <f>IF($A1140&lt;&gt;0,1,0)</f>
        <v>0</v>
      </c>
      <c r="AT1140" s="1">
        <f>$A1140*$B1140</f>
        <v>0</v>
      </c>
      <c r="AU1140" s="1">
        <f>$A1140*$O1140</f>
        <v>0</v>
      </c>
      <c r="AV1140" s="1">
        <f>IF($R1140=0,0,INT($A1140/$R1140))</f>
        <v>0</v>
      </c>
      <c r="AW1140" s="1">
        <f>$A1140-$AV1140*$R1140</f>
        <v>0</v>
      </c>
    </row>
    <row r="1141" ht="24.95" customHeight="1" outlineLevel="3" s="1" customFormat="1">
      <c r="A1141" s="15"/>
      <c r="B1141" s="17">
        <v>1190</v>
      </c>
      <c r="C1141" s="17">
        <v>1606</v>
      </c>
      <c r="D1141" s="16">
        <v>34492</v>
      </c>
      <c r="E1141" s="18"/>
      <c r="F1141" s="18" t="s">
        <v>3737</v>
      </c>
      <c r="G1141" s="18" t="s">
        <v>3738</v>
      </c>
      <c r="H1141" s="18" t="s">
        <v>86</v>
      </c>
      <c r="I1141" s="18" t="s">
        <v>74</v>
      </c>
      <c r="J1141" s="16">
        <v>2026</v>
      </c>
      <c r="K1141" s="18" t="s">
        <v>3739</v>
      </c>
      <c r="L1141" s="16">
        <v>9785006307810</v>
      </c>
      <c r="M1141" s="18" t="s">
        <v>3740</v>
      </c>
      <c r="N1141" s="16">
        <v>456</v>
      </c>
      <c r="O1141" s="19">
        <v>0.68</v>
      </c>
      <c r="P1141" s="16">
        <v>150</v>
      </c>
      <c r="Q1141" s="16">
        <v>210</v>
      </c>
      <c r="R1141" s="16">
        <v>8</v>
      </c>
      <c r="S1141" s="18" t="s">
        <v>43</v>
      </c>
      <c r="T1141" s="18"/>
      <c r="U1141" s="17">
        <v>2000</v>
      </c>
      <c r="V1141" s="18" t="s">
        <v>77</v>
      </c>
      <c r="W1141" s="18" t="s">
        <v>69</v>
      </c>
      <c r="X1141" s="16">
        <v>10</v>
      </c>
      <c r="Y1141" s="43" t="str">
        <f>HYPERLINK("https://api-enni.alpina.ru/FilePrivilegesApproval/1163","https://api-enni.alpina.ru/FilePrivilegesApproval/1163")</f>
        <v>https://api-enni.alpina.ru/FilePrivilegesApproval/1163</v>
      </c>
      <c r="Z1141" s="18" t="s">
        <v>843</v>
      </c>
      <c r="AS1141" s="1">
        <f>IF($A1141&lt;&gt;0,1,0)</f>
        <v>0</v>
      </c>
      <c r="AT1141" s="1">
        <f>$A1141*$B1141</f>
        <v>0</v>
      </c>
      <c r="AU1141" s="1">
        <f>$A1141*$O1141</f>
        <v>0</v>
      </c>
      <c r="AV1141" s="1">
        <f>IF($R1141=0,0,INT($A1141/$R1141))</f>
        <v>0</v>
      </c>
      <c r="AW1141" s="1">
        <f>$A1141-$AV1141*$R1141</f>
        <v>0</v>
      </c>
    </row>
    <row r="1142" ht="24.95" customHeight="1" outlineLevel="3" s="1" customFormat="1">
      <c r="A1142" s="15"/>
      <c r="B1142" s="16">
        <v>540</v>
      </c>
      <c r="C1142" s="16">
        <v>837</v>
      </c>
      <c r="D1142" s="16">
        <v>24047</v>
      </c>
      <c r="E1142" s="18"/>
      <c r="F1142" s="18" t="s">
        <v>3741</v>
      </c>
      <c r="G1142" s="18" t="s">
        <v>3742</v>
      </c>
      <c r="H1142" s="18" t="s">
        <v>73</v>
      </c>
      <c r="I1142" s="18" t="s">
        <v>74</v>
      </c>
      <c r="J1142" s="16">
        <v>2022</v>
      </c>
      <c r="K1142" s="18" t="s">
        <v>3743</v>
      </c>
      <c r="L1142" s="16">
        <v>9785001397878</v>
      </c>
      <c r="M1142" s="18" t="s">
        <v>3744</v>
      </c>
      <c r="N1142" s="16">
        <v>344</v>
      </c>
      <c r="O1142" s="19">
        <v>0.5</v>
      </c>
      <c r="P1142" s="16">
        <v>146</v>
      </c>
      <c r="Q1142" s="16">
        <v>216</v>
      </c>
      <c r="R1142" s="16">
        <v>12</v>
      </c>
      <c r="S1142" s="18" t="s">
        <v>43</v>
      </c>
      <c r="T1142" s="18"/>
      <c r="U1142" s="17">
        <v>3000</v>
      </c>
      <c r="V1142" s="18" t="s">
        <v>77</v>
      </c>
      <c r="W1142" s="18" t="s">
        <v>184</v>
      </c>
      <c r="X1142" s="16">
        <v>10</v>
      </c>
      <c r="Y1142" s="43" t="str">
        <f>HYPERLINK("https://api-enni.alpina.ru/FilePrivilegesApproval/185","https://api-enni.alpina.ru/FilePrivilegesApproval/185")</f>
        <v>https://api-enni.alpina.ru/FilePrivilegesApproval/185</v>
      </c>
      <c r="Z1142" s="18"/>
      <c r="AS1142" s="1">
        <f>IF($A1142&lt;&gt;0,1,0)</f>
        <v>0</v>
      </c>
      <c r="AT1142" s="1">
        <f>$A1142*$B1142</f>
        <v>0</v>
      </c>
      <c r="AU1142" s="1">
        <f>$A1142*$O1142</f>
        <v>0</v>
      </c>
      <c r="AV1142" s="1">
        <f>IF($R1142=0,0,INT($A1142/$R1142))</f>
        <v>0</v>
      </c>
      <c r="AW1142" s="1">
        <f>$A1142-$AV1142*$R1142</f>
        <v>0</v>
      </c>
    </row>
    <row r="1143" ht="24.95" customHeight="1" outlineLevel="3" s="1" customFormat="1">
      <c r="A1143" s="15"/>
      <c r="B1143" s="16">
        <v>640</v>
      </c>
      <c r="C1143" s="16">
        <v>960</v>
      </c>
      <c r="D1143" s="16">
        <v>23668</v>
      </c>
      <c r="E1143" s="18"/>
      <c r="F1143" s="18" t="s">
        <v>1959</v>
      </c>
      <c r="G1143" s="18" t="s">
        <v>3745</v>
      </c>
      <c r="H1143" s="18" t="s">
        <v>86</v>
      </c>
      <c r="I1143" s="18"/>
      <c r="J1143" s="16">
        <v>2025</v>
      </c>
      <c r="K1143" s="18" t="s">
        <v>3746</v>
      </c>
      <c r="L1143" s="16">
        <v>9785961495829</v>
      </c>
      <c r="M1143" s="18" t="s">
        <v>3747</v>
      </c>
      <c r="N1143" s="16">
        <v>232</v>
      </c>
      <c r="O1143" s="19">
        <v>0.22</v>
      </c>
      <c r="P1143" s="16">
        <v>140</v>
      </c>
      <c r="Q1143" s="16">
        <v>210</v>
      </c>
      <c r="R1143" s="16">
        <v>14</v>
      </c>
      <c r="S1143" s="18" t="s">
        <v>43</v>
      </c>
      <c r="T1143" s="18"/>
      <c r="U1143" s="17">
        <v>6000</v>
      </c>
      <c r="V1143" s="18" t="s">
        <v>44</v>
      </c>
      <c r="W1143" s="18" t="s">
        <v>69</v>
      </c>
      <c r="X1143" s="16">
        <v>10</v>
      </c>
      <c r="Y1143" s="43" t="str">
        <f>HYPERLINK("https://api-enni.alpina.ru/FilePrivilegesApproval/428","https://api-enni.alpina.ru/FilePrivilegesApproval/428")</f>
        <v>https://api-enni.alpina.ru/FilePrivilegesApproval/428</v>
      </c>
      <c r="Z1143" s="18"/>
      <c r="AS1143" s="1">
        <f>IF($A1143&lt;&gt;0,1,0)</f>
        <v>0</v>
      </c>
      <c r="AT1143" s="1">
        <f>$A1143*$B1143</f>
        <v>0</v>
      </c>
      <c r="AU1143" s="1">
        <f>$A1143*$O1143</f>
        <v>0</v>
      </c>
      <c r="AV1143" s="1">
        <f>IF($R1143=0,0,INT($A1143/$R1143))</f>
        <v>0</v>
      </c>
      <c r="AW1143" s="1">
        <f>$A1143-$AV1143*$R1143</f>
        <v>0</v>
      </c>
    </row>
    <row r="1144" ht="24.95" customHeight="1" outlineLevel="3" s="1" customFormat="1">
      <c r="A1144" s="15"/>
      <c r="B1144" s="16">
        <v>790</v>
      </c>
      <c r="C1144" s="17">
        <v>1146</v>
      </c>
      <c r="D1144" s="16">
        <v>31123</v>
      </c>
      <c r="E1144" s="18"/>
      <c r="F1144" s="18" t="s">
        <v>3748</v>
      </c>
      <c r="G1144" s="18" t="s">
        <v>3749</v>
      </c>
      <c r="H1144" s="18" t="s">
        <v>86</v>
      </c>
      <c r="I1144" s="18" t="s">
        <v>74</v>
      </c>
      <c r="J1144" s="16">
        <v>2025</v>
      </c>
      <c r="K1144" s="18" t="s">
        <v>3750</v>
      </c>
      <c r="L1144" s="16">
        <v>9785961497656</v>
      </c>
      <c r="M1144" s="18" t="s">
        <v>3751</v>
      </c>
      <c r="N1144" s="16">
        <v>584</v>
      </c>
      <c r="O1144" s="19">
        <v>0.39</v>
      </c>
      <c r="P1144" s="16">
        <v>150</v>
      </c>
      <c r="Q1144" s="16">
        <v>220</v>
      </c>
      <c r="R1144" s="16">
        <v>5</v>
      </c>
      <c r="S1144" s="18" t="s">
        <v>43</v>
      </c>
      <c r="T1144" s="18"/>
      <c r="U1144" s="17">
        <v>1000</v>
      </c>
      <c r="V1144" s="18" t="s">
        <v>77</v>
      </c>
      <c r="W1144" s="18" t="s">
        <v>45</v>
      </c>
      <c r="X1144" s="16">
        <v>10</v>
      </c>
      <c r="Y1144" s="43" t="str">
        <f>HYPERLINK("https://api-enni.alpina.ru/FilePrivilegesApproval/873","https://api-enni.alpina.ru/FilePrivilegesApproval/873")</f>
        <v>https://api-enni.alpina.ru/FilePrivilegesApproval/873</v>
      </c>
      <c r="Z1144" s="18"/>
      <c r="AS1144" s="1">
        <f>IF($A1144&lt;&gt;0,1,0)</f>
        <v>0</v>
      </c>
      <c r="AT1144" s="1">
        <f>$A1144*$B1144</f>
        <v>0</v>
      </c>
      <c r="AU1144" s="1">
        <f>$A1144*$O1144</f>
        <v>0</v>
      </c>
      <c r="AV1144" s="1">
        <f>IF($R1144=0,0,INT($A1144/$R1144))</f>
        <v>0</v>
      </c>
      <c r="AW1144" s="1">
        <f>$A1144-$AV1144*$R1144</f>
        <v>0</v>
      </c>
    </row>
    <row r="1145" ht="24.95" customHeight="1" outlineLevel="3" s="1" customFormat="1">
      <c r="A1145" s="15"/>
      <c r="B1145" s="16">
        <v>650</v>
      </c>
      <c r="C1145" s="16">
        <v>975</v>
      </c>
      <c r="D1145" s="16">
        <v>36103</v>
      </c>
      <c r="E1145" s="18"/>
      <c r="F1145" s="18" t="s">
        <v>356</v>
      </c>
      <c r="G1145" s="18" t="s">
        <v>357</v>
      </c>
      <c r="H1145" s="18" t="s">
        <v>73</v>
      </c>
      <c r="I1145" s="18" t="s">
        <v>74</v>
      </c>
      <c r="J1145" s="16">
        <v>2026</v>
      </c>
      <c r="K1145" s="18" t="s">
        <v>358</v>
      </c>
      <c r="L1145" s="16">
        <v>9785002238316</v>
      </c>
      <c r="M1145" s="18" t="s">
        <v>359</v>
      </c>
      <c r="N1145" s="16">
        <v>208</v>
      </c>
      <c r="O1145" s="19">
        <v>0.27</v>
      </c>
      <c r="P1145" s="16">
        <v>130</v>
      </c>
      <c r="Q1145" s="16">
        <v>210</v>
      </c>
      <c r="R1145" s="16">
        <v>14</v>
      </c>
      <c r="S1145" s="18" t="s">
        <v>90</v>
      </c>
      <c r="T1145" s="18" t="s">
        <v>360</v>
      </c>
      <c r="U1145" s="17">
        <v>2000</v>
      </c>
      <c r="V1145" s="18" t="s">
        <v>77</v>
      </c>
      <c r="W1145" s="18" t="s">
        <v>69</v>
      </c>
      <c r="X1145" s="16">
        <v>10</v>
      </c>
      <c r="Y1145" s="43" t="str">
        <f>HYPERLINK("https://api-enni.alpina.ru/FilePrivilegesApproval/1191","https://api-enni.alpina.ru/FilePrivilegesApproval/1191")</f>
        <v>https://api-enni.alpina.ru/FilePrivilegesApproval/1191</v>
      </c>
      <c r="Z1145" s="18" t="s">
        <v>108</v>
      </c>
      <c r="AS1145" s="1">
        <f>IF($A1145&lt;&gt;0,1,0)</f>
        <v>0</v>
      </c>
      <c r="AT1145" s="1">
        <f>$A1145*$B1145</f>
        <v>0</v>
      </c>
      <c r="AU1145" s="1">
        <f>$A1145*$O1145</f>
        <v>0</v>
      </c>
      <c r="AV1145" s="1">
        <f>IF($R1145=0,0,INT($A1145/$R1145))</f>
        <v>0</v>
      </c>
      <c r="AW1145" s="1">
        <f>$A1145-$AV1145*$R1145</f>
        <v>0</v>
      </c>
    </row>
    <row r="1146" ht="24.95" customHeight="1" outlineLevel="3" s="1" customFormat="1">
      <c r="A1146" s="15"/>
      <c r="B1146" s="16">
        <v>940</v>
      </c>
      <c r="C1146" s="17">
        <v>1316</v>
      </c>
      <c r="D1146" s="16">
        <v>31222</v>
      </c>
      <c r="E1146" s="18"/>
      <c r="F1146" s="18" t="s">
        <v>3752</v>
      </c>
      <c r="G1146" s="18" t="s">
        <v>3753</v>
      </c>
      <c r="H1146" s="18" t="s">
        <v>73</v>
      </c>
      <c r="I1146" s="18"/>
      <c r="J1146" s="16">
        <v>2025</v>
      </c>
      <c r="K1146" s="18" t="s">
        <v>3754</v>
      </c>
      <c r="L1146" s="16">
        <v>9785002233557</v>
      </c>
      <c r="M1146" s="18" t="s">
        <v>3755</v>
      </c>
      <c r="N1146" s="16">
        <v>640</v>
      </c>
      <c r="O1146" s="19">
        <v>0.84</v>
      </c>
      <c r="P1146" s="16">
        <v>150</v>
      </c>
      <c r="Q1146" s="16">
        <v>220</v>
      </c>
      <c r="R1146" s="16">
        <v>3</v>
      </c>
      <c r="S1146" s="18" t="s">
        <v>43</v>
      </c>
      <c r="T1146" s="18"/>
      <c r="U1146" s="17">
        <v>1500</v>
      </c>
      <c r="V1146" s="18" t="s">
        <v>77</v>
      </c>
      <c r="W1146" s="18" t="s">
        <v>69</v>
      </c>
      <c r="X1146" s="16">
        <v>10</v>
      </c>
      <c r="Y1146" s="43" t="str">
        <f>HYPERLINK("https://api-enni.alpina.ru/FilePrivilegesApproval/763","https://api-enni.alpina.ru/FilePrivilegesApproval/763")</f>
        <v>https://api-enni.alpina.ru/FilePrivilegesApproval/763</v>
      </c>
      <c r="Z1146" s="18"/>
      <c r="AS1146" s="1">
        <f>IF($A1146&lt;&gt;0,1,0)</f>
        <v>0</v>
      </c>
      <c r="AT1146" s="1">
        <f>$A1146*$B1146</f>
        <v>0</v>
      </c>
      <c r="AU1146" s="1">
        <f>$A1146*$O1146</f>
        <v>0</v>
      </c>
      <c r="AV1146" s="1">
        <f>IF($R1146=0,0,INT($A1146/$R1146))</f>
        <v>0</v>
      </c>
      <c r="AW1146" s="1">
        <f>$A1146-$AV1146*$R1146</f>
        <v>0</v>
      </c>
    </row>
    <row r="1147" ht="24.95" customHeight="1" outlineLevel="3" s="1" customFormat="1">
      <c r="A1147" s="15"/>
      <c r="B1147" s="16">
        <v>890</v>
      </c>
      <c r="C1147" s="17">
        <v>1246</v>
      </c>
      <c r="D1147" s="16">
        <v>30414</v>
      </c>
      <c r="E1147" s="18"/>
      <c r="F1147" s="18" t="s">
        <v>3702</v>
      </c>
      <c r="G1147" s="18" t="s">
        <v>3756</v>
      </c>
      <c r="H1147" s="18" t="s">
        <v>73</v>
      </c>
      <c r="I1147" s="18" t="s">
        <v>74</v>
      </c>
      <c r="J1147" s="16">
        <v>2025</v>
      </c>
      <c r="K1147" s="18" t="s">
        <v>3757</v>
      </c>
      <c r="L1147" s="16">
        <v>9785002232536</v>
      </c>
      <c r="M1147" s="18" t="s">
        <v>3758</v>
      </c>
      <c r="N1147" s="16">
        <v>280</v>
      </c>
      <c r="O1147" s="19">
        <v>0.43</v>
      </c>
      <c r="P1147" s="16">
        <v>150</v>
      </c>
      <c r="Q1147" s="16">
        <v>220</v>
      </c>
      <c r="R1147" s="16">
        <v>14</v>
      </c>
      <c r="S1147" s="18" t="s">
        <v>43</v>
      </c>
      <c r="T1147" s="18"/>
      <c r="U1147" s="17">
        <v>2000</v>
      </c>
      <c r="V1147" s="18" t="s">
        <v>77</v>
      </c>
      <c r="W1147" s="18" t="s">
        <v>91</v>
      </c>
      <c r="X1147" s="16">
        <v>10</v>
      </c>
      <c r="Y1147" s="43" t="str">
        <f>HYPERLINK("https://api-enni.alpina.ru/FilePrivilegesApproval/788","https://api-enni.alpina.ru/FilePrivilegesApproval/788")</f>
        <v>https://api-enni.alpina.ru/FilePrivilegesApproval/788</v>
      </c>
      <c r="Z1147" s="18"/>
      <c r="AS1147" s="1">
        <f>IF($A1147&lt;&gt;0,1,0)</f>
        <v>0</v>
      </c>
      <c r="AT1147" s="1">
        <f>$A1147*$B1147</f>
        <v>0</v>
      </c>
      <c r="AU1147" s="1">
        <f>$A1147*$O1147</f>
        <v>0</v>
      </c>
      <c r="AV1147" s="1">
        <f>IF($R1147=0,0,INT($A1147/$R1147))</f>
        <v>0</v>
      </c>
      <c r="AW1147" s="1">
        <f>$A1147-$AV1147*$R1147</f>
        <v>0</v>
      </c>
    </row>
    <row r="1148" ht="24.95" customHeight="1" outlineLevel="3" s="1" customFormat="1">
      <c r="A1148" s="15"/>
      <c r="B1148" s="16">
        <v>990</v>
      </c>
      <c r="C1148" s="17">
        <v>1386</v>
      </c>
      <c r="D1148" s="16">
        <v>31949</v>
      </c>
      <c r="E1148" s="18"/>
      <c r="F1148" s="18" t="s">
        <v>3759</v>
      </c>
      <c r="G1148" s="18" t="s">
        <v>3760</v>
      </c>
      <c r="H1148" s="18" t="s">
        <v>73</v>
      </c>
      <c r="I1148" s="18"/>
      <c r="J1148" s="16">
        <v>2026</v>
      </c>
      <c r="K1148" s="18" t="s">
        <v>3761</v>
      </c>
      <c r="L1148" s="16">
        <v>9785002234554</v>
      </c>
      <c r="M1148" s="18" t="s">
        <v>3762</v>
      </c>
      <c r="N1148" s="16">
        <v>576</v>
      </c>
      <c r="O1148" s="19">
        <v>0.61</v>
      </c>
      <c r="P1148" s="16">
        <v>150</v>
      </c>
      <c r="Q1148" s="16">
        <v>220</v>
      </c>
      <c r="R1148" s="16">
        <v>8</v>
      </c>
      <c r="S1148" s="18" t="s">
        <v>43</v>
      </c>
      <c r="T1148" s="18" t="s">
        <v>134</v>
      </c>
      <c r="U1148" s="17">
        <v>2000</v>
      </c>
      <c r="V1148" s="18" t="s">
        <v>77</v>
      </c>
      <c r="W1148" s="18" t="s">
        <v>91</v>
      </c>
      <c r="X1148" s="16">
        <v>10</v>
      </c>
      <c r="Y1148" s="43" t="str">
        <f>HYPERLINK("https://api-enni.alpina.ru/FilePrivilegesApproval/955","https://api-enni.alpina.ru/FilePrivilegesApproval/955")</f>
        <v>https://api-enni.alpina.ru/FilePrivilegesApproval/955</v>
      </c>
      <c r="Z1148" s="18"/>
      <c r="AS1148" s="1">
        <f>IF($A1148&lt;&gt;0,1,0)</f>
        <v>0</v>
      </c>
      <c r="AT1148" s="1">
        <f>$A1148*$B1148</f>
        <v>0</v>
      </c>
      <c r="AU1148" s="1">
        <f>$A1148*$O1148</f>
        <v>0</v>
      </c>
      <c r="AV1148" s="1">
        <f>IF($R1148=0,0,INT($A1148/$R1148))</f>
        <v>0</v>
      </c>
      <c r="AW1148" s="1">
        <f>$A1148-$AV1148*$R1148</f>
        <v>0</v>
      </c>
    </row>
    <row r="1149" ht="24.95" customHeight="1" outlineLevel="3" s="1" customFormat="1">
      <c r="A1149" s="15"/>
      <c r="B1149" s="16">
        <v>790</v>
      </c>
      <c r="C1149" s="17">
        <v>1146</v>
      </c>
      <c r="D1149" s="16">
        <v>23412</v>
      </c>
      <c r="E1149" s="18"/>
      <c r="F1149" s="18" t="s">
        <v>3763</v>
      </c>
      <c r="G1149" s="18" t="s">
        <v>3764</v>
      </c>
      <c r="H1149" s="18" t="s">
        <v>86</v>
      </c>
      <c r="I1149" s="18" t="s">
        <v>74</v>
      </c>
      <c r="J1149" s="16">
        <v>2026</v>
      </c>
      <c r="K1149" s="18" t="s">
        <v>3765</v>
      </c>
      <c r="L1149" s="16">
        <v>9785961486537</v>
      </c>
      <c r="M1149" s="18" t="s">
        <v>3766</v>
      </c>
      <c r="N1149" s="16">
        <v>453</v>
      </c>
      <c r="O1149" s="19">
        <v>0.63</v>
      </c>
      <c r="P1149" s="16">
        <v>150</v>
      </c>
      <c r="Q1149" s="16">
        <v>220</v>
      </c>
      <c r="R1149" s="16">
        <v>8</v>
      </c>
      <c r="S1149" s="18" t="s">
        <v>43</v>
      </c>
      <c r="T1149" s="18"/>
      <c r="U1149" s="17">
        <v>3000</v>
      </c>
      <c r="V1149" s="18" t="s">
        <v>77</v>
      </c>
      <c r="W1149" s="18" t="s">
        <v>69</v>
      </c>
      <c r="X1149" s="16">
        <v>10</v>
      </c>
      <c r="Y1149" s="43" t="str">
        <f>HYPERLINK("https://api-enni.alpina.ru/FilePrivilegesApproval/210","https://api-enni.alpina.ru/FilePrivilegesApproval/210")</f>
        <v>https://api-enni.alpina.ru/FilePrivilegesApproval/210</v>
      </c>
      <c r="Z1149" s="18"/>
      <c r="AS1149" s="1">
        <f>IF($A1149&lt;&gt;0,1,0)</f>
        <v>0</v>
      </c>
      <c r="AT1149" s="1">
        <f>$A1149*$B1149</f>
        <v>0</v>
      </c>
      <c r="AU1149" s="1">
        <f>$A1149*$O1149</f>
        <v>0</v>
      </c>
      <c r="AV1149" s="1">
        <f>IF($R1149=0,0,INT($A1149/$R1149))</f>
        <v>0</v>
      </c>
      <c r="AW1149" s="1">
        <f>$A1149-$AV1149*$R1149</f>
        <v>0</v>
      </c>
    </row>
    <row r="1150" ht="24.95" customHeight="1" outlineLevel="3" s="1" customFormat="1">
      <c r="A1150" s="15"/>
      <c r="B1150" s="16">
        <v>990</v>
      </c>
      <c r="C1150" s="17">
        <v>1386</v>
      </c>
      <c r="D1150" s="16">
        <v>32705</v>
      </c>
      <c r="E1150" s="18"/>
      <c r="F1150" s="18" t="s">
        <v>3767</v>
      </c>
      <c r="G1150" s="18" t="s">
        <v>3768</v>
      </c>
      <c r="H1150" s="18" t="s">
        <v>73</v>
      </c>
      <c r="I1150" s="18" t="s">
        <v>74</v>
      </c>
      <c r="J1150" s="16">
        <v>2026</v>
      </c>
      <c r="K1150" s="18" t="s">
        <v>3769</v>
      </c>
      <c r="L1150" s="16">
        <v>9785916719680</v>
      </c>
      <c r="M1150" s="18" t="s">
        <v>3770</v>
      </c>
      <c r="N1150" s="16">
        <v>474</v>
      </c>
      <c r="O1150" s="19">
        <v>0.58</v>
      </c>
      <c r="P1150" s="16">
        <v>150</v>
      </c>
      <c r="Q1150" s="16">
        <v>220</v>
      </c>
      <c r="R1150" s="16">
        <v>8</v>
      </c>
      <c r="S1150" s="18" t="s">
        <v>43</v>
      </c>
      <c r="T1150" s="18"/>
      <c r="U1150" s="17">
        <v>2000</v>
      </c>
      <c r="V1150" s="18" t="s">
        <v>77</v>
      </c>
      <c r="W1150" s="18" t="s">
        <v>69</v>
      </c>
      <c r="X1150" s="16">
        <v>10</v>
      </c>
      <c r="Y1150" s="43" t="str">
        <f>HYPERLINK("https://api-enni.alpina.ru/FilePrivilegesApproval/1135","https://api-enni.alpina.ru/FilePrivilegesApproval/1135")</f>
        <v>https://api-enni.alpina.ru/FilePrivilegesApproval/1135</v>
      </c>
      <c r="Z1150" s="18"/>
      <c r="AS1150" s="1">
        <f>IF($A1150&lt;&gt;0,1,0)</f>
        <v>0</v>
      </c>
      <c r="AT1150" s="1">
        <f>$A1150*$B1150</f>
        <v>0</v>
      </c>
      <c r="AU1150" s="1">
        <f>$A1150*$O1150</f>
        <v>0</v>
      </c>
      <c r="AV1150" s="1">
        <f>IF($R1150=0,0,INT($A1150/$R1150))</f>
        <v>0</v>
      </c>
      <c r="AW1150" s="1">
        <f>$A1150-$AV1150*$R1150</f>
        <v>0</v>
      </c>
    </row>
    <row r="1151" ht="24.95" customHeight="1" outlineLevel="3" s="1" customFormat="1">
      <c r="A1151" s="15"/>
      <c r="B1151" s="16">
        <v>790</v>
      </c>
      <c r="C1151" s="17">
        <v>1146</v>
      </c>
      <c r="D1151" s="16">
        <v>33135</v>
      </c>
      <c r="E1151" s="18"/>
      <c r="F1151" s="18" t="s">
        <v>3771</v>
      </c>
      <c r="G1151" s="18" t="s">
        <v>3772</v>
      </c>
      <c r="H1151" s="18" t="s">
        <v>73</v>
      </c>
      <c r="I1151" s="18"/>
      <c r="J1151" s="16">
        <v>2026</v>
      </c>
      <c r="K1151" s="18" t="s">
        <v>3773</v>
      </c>
      <c r="L1151" s="16">
        <v>9785002235551</v>
      </c>
      <c r="M1151" s="18" t="s">
        <v>3774</v>
      </c>
      <c r="N1151" s="16">
        <v>460</v>
      </c>
      <c r="O1151" s="19">
        <v>0.4</v>
      </c>
      <c r="P1151" s="16">
        <v>140</v>
      </c>
      <c r="Q1151" s="16">
        <v>210</v>
      </c>
      <c r="R1151" s="16">
        <v>8</v>
      </c>
      <c r="S1151" s="18" t="s">
        <v>43</v>
      </c>
      <c r="T1151" s="18" t="s">
        <v>3477</v>
      </c>
      <c r="U1151" s="17">
        <v>2000</v>
      </c>
      <c r="V1151" s="18" t="s">
        <v>44</v>
      </c>
      <c r="W1151" s="18" t="s">
        <v>91</v>
      </c>
      <c r="X1151" s="16">
        <v>10</v>
      </c>
      <c r="Y1151" s="43" t="str">
        <f>HYPERLINK("https://api-enni.alpina.ru/FilePrivilegesApproval/127","https://api-enni.alpina.ru/FilePrivilegesApproval/127")</f>
        <v>https://api-enni.alpina.ru/FilePrivilegesApproval/127</v>
      </c>
      <c r="Z1151" s="18"/>
      <c r="AS1151" s="1">
        <f>IF($A1151&lt;&gt;0,1,0)</f>
        <v>0</v>
      </c>
      <c r="AT1151" s="1">
        <f>$A1151*$B1151</f>
        <v>0</v>
      </c>
      <c r="AU1151" s="1">
        <f>$A1151*$O1151</f>
        <v>0</v>
      </c>
      <c r="AV1151" s="1">
        <f>IF($R1151=0,0,INT($A1151/$R1151))</f>
        <v>0</v>
      </c>
      <c r="AW1151" s="1">
        <f>$A1151-$AV1151*$R1151</f>
        <v>0</v>
      </c>
    </row>
    <row r="1152" ht="24.95" customHeight="1" outlineLevel="3" s="1" customFormat="1">
      <c r="A1152" s="15"/>
      <c r="B1152" s="16">
        <v>990</v>
      </c>
      <c r="C1152" s="17">
        <v>1386</v>
      </c>
      <c r="D1152" s="16">
        <v>25428</v>
      </c>
      <c r="E1152" s="18"/>
      <c r="F1152" s="18" t="s">
        <v>412</v>
      </c>
      <c r="G1152" s="18" t="s">
        <v>3775</v>
      </c>
      <c r="H1152" s="18" t="s">
        <v>73</v>
      </c>
      <c r="I1152" s="18"/>
      <c r="J1152" s="16">
        <v>2026</v>
      </c>
      <c r="K1152" s="18" t="s">
        <v>3776</v>
      </c>
      <c r="L1152" s="16">
        <v>9785001397052</v>
      </c>
      <c r="M1152" s="18" t="s">
        <v>3777</v>
      </c>
      <c r="N1152" s="16">
        <v>220</v>
      </c>
      <c r="O1152" s="19">
        <v>0.4</v>
      </c>
      <c r="P1152" s="16">
        <v>170</v>
      </c>
      <c r="Q1152" s="16">
        <v>230</v>
      </c>
      <c r="R1152" s="16">
        <v>8</v>
      </c>
      <c r="S1152" s="18" t="s">
        <v>52</v>
      </c>
      <c r="T1152" s="18"/>
      <c r="U1152" s="17">
        <v>1000</v>
      </c>
      <c r="V1152" s="18" t="s">
        <v>77</v>
      </c>
      <c r="W1152" s="18" t="s">
        <v>69</v>
      </c>
      <c r="X1152" s="16">
        <v>10</v>
      </c>
      <c r="Y1152" s="43" t="str">
        <f>HYPERLINK("https://api-enni.alpina.ru/FilePrivilegesApproval/145","https://api-enni.alpina.ru/FilePrivilegesApproval/145")</f>
        <v>https://api-enni.alpina.ru/FilePrivilegesApproval/145</v>
      </c>
      <c r="Z1152" s="18"/>
      <c r="AS1152" s="1">
        <f>IF($A1152&lt;&gt;0,1,0)</f>
        <v>0</v>
      </c>
      <c r="AT1152" s="1">
        <f>$A1152*$B1152</f>
        <v>0</v>
      </c>
      <c r="AU1152" s="1">
        <f>$A1152*$O1152</f>
        <v>0</v>
      </c>
      <c r="AV1152" s="1">
        <f>IF($R1152=0,0,INT($A1152/$R1152))</f>
        <v>0</v>
      </c>
      <c r="AW1152" s="1">
        <f>$A1152-$AV1152*$R1152</f>
        <v>0</v>
      </c>
    </row>
    <row r="1153" ht="24.95" customHeight="1" outlineLevel="3" s="1" customFormat="1">
      <c r="A1153" s="15"/>
      <c r="B1153" s="16">
        <v>890</v>
      </c>
      <c r="C1153" s="17">
        <v>1246</v>
      </c>
      <c r="D1153" s="16">
        <v>30363</v>
      </c>
      <c r="E1153" s="18"/>
      <c r="F1153" s="18" t="s">
        <v>3778</v>
      </c>
      <c r="G1153" s="18" t="s">
        <v>3779</v>
      </c>
      <c r="H1153" s="18" t="s">
        <v>73</v>
      </c>
      <c r="I1153" s="18"/>
      <c r="J1153" s="16">
        <v>2025</v>
      </c>
      <c r="K1153" s="18" t="s">
        <v>3780</v>
      </c>
      <c r="L1153" s="16">
        <v>9785002232482</v>
      </c>
      <c r="M1153" s="18" t="s">
        <v>3781</v>
      </c>
      <c r="N1153" s="16">
        <v>332</v>
      </c>
      <c r="O1153" s="19">
        <v>0.39</v>
      </c>
      <c r="P1153" s="16">
        <v>150</v>
      </c>
      <c r="Q1153" s="16">
        <v>220</v>
      </c>
      <c r="R1153" s="16">
        <v>10</v>
      </c>
      <c r="S1153" s="18" t="s">
        <v>43</v>
      </c>
      <c r="T1153" s="18"/>
      <c r="U1153" s="17">
        <v>2000</v>
      </c>
      <c r="V1153" s="18" t="s">
        <v>77</v>
      </c>
      <c r="W1153" s="18" t="s">
        <v>69</v>
      </c>
      <c r="X1153" s="16">
        <v>10</v>
      </c>
      <c r="Y1153" s="43" t="str">
        <f>HYPERLINK("https://api-enni.alpina.ru/FilePrivilegesApproval/838","https://api-enni.alpina.ru/FilePrivilegesApproval/838")</f>
        <v>https://api-enni.alpina.ru/FilePrivilegesApproval/838</v>
      </c>
      <c r="Z1153" s="18"/>
      <c r="AS1153" s="1">
        <f>IF($A1153&lt;&gt;0,1,0)</f>
        <v>0</v>
      </c>
      <c r="AT1153" s="1">
        <f>$A1153*$B1153</f>
        <v>0</v>
      </c>
      <c r="AU1153" s="1">
        <f>$A1153*$O1153</f>
        <v>0</v>
      </c>
      <c r="AV1153" s="1">
        <f>IF($R1153=0,0,INT($A1153/$R1153))</f>
        <v>0</v>
      </c>
      <c r="AW1153" s="1">
        <f>$A1153-$AV1153*$R1153</f>
        <v>0</v>
      </c>
    </row>
    <row r="1154" ht="24.95" customHeight="1" outlineLevel="3" s="1" customFormat="1">
      <c r="A1154" s="15"/>
      <c r="B1154" s="17">
        <v>1190</v>
      </c>
      <c r="C1154" s="17">
        <v>1606</v>
      </c>
      <c r="D1154" s="16">
        <v>25242</v>
      </c>
      <c r="E1154" s="18"/>
      <c r="F1154" s="18" t="s">
        <v>3782</v>
      </c>
      <c r="G1154" s="18" t="s">
        <v>3783</v>
      </c>
      <c r="H1154" s="18" t="s">
        <v>73</v>
      </c>
      <c r="I1154" s="18" t="s">
        <v>74</v>
      </c>
      <c r="J1154" s="16">
        <v>2026</v>
      </c>
      <c r="K1154" s="18" t="s">
        <v>3784</v>
      </c>
      <c r="L1154" s="16">
        <v>9785001396536</v>
      </c>
      <c r="M1154" s="18" t="s">
        <v>3785</v>
      </c>
      <c r="N1154" s="16">
        <v>560</v>
      </c>
      <c r="O1154" s="19">
        <v>0.75</v>
      </c>
      <c r="P1154" s="16">
        <v>170</v>
      </c>
      <c r="Q1154" s="16">
        <v>240</v>
      </c>
      <c r="R1154" s="16">
        <v>5</v>
      </c>
      <c r="S1154" s="18" t="s">
        <v>123</v>
      </c>
      <c r="T1154" s="18"/>
      <c r="U1154" s="17">
        <v>2000</v>
      </c>
      <c r="V1154" s="18" t="s">
        <v>77</v>
      </c>
      <c r="W1154" s="18" t="s">
        <v>91</v>
      </c>
      <c r="X1154" s="16">
        <v>10</v>
      </c>
      <c r="Y1154" s="43" t="str">
        <f>HYPERLINK("https://api-enni.alpina.ru/FilePrivilegesApproval/377","https://api-enni.alpina.ru/FilePrivilegesApproval/377")</f>
        <v>https://api-enni.alpina.ru/FilePrivilegesApproval/377</v>
      </c>
      <c r="Z1154" s="18" t="s">
        <v>251</v>
      </c>
      <c r="AS1154" s="1">
        <f>IF($A1154&lt;&gt;0,1,0)</f>
        <v>0</v>
      </c>
      <c r="AT1154" s="1">
        <f>$A1154*$B1154</f>
        <v>0</v>
      </c>
      <c r="AU1154" s="1">
        <f>$A1154*$O1154</f>
        <v>0</v>
      </c>
      <c r="AV1154" s="1">
        <f>IF($R1154=0,0,INT($A1154/$R1154))</f>
        <v>0</v>
      </c>
      <c r="AW1154" s="1">
        <f>$A1154-$AV1154*$R1154</f>
        <v>0</v>
      </c>
    </row>
    <row r="1155" ht="24.95" customHeight="1" outlineLevel="3" s="1" customFormat="1">
      <c r="A1155" s="15"/>
      <c r="B1155" s="16">
        <v>990</v>
      </c>
      <c r="C1155" s="17">
        <v>1386</v>
      </c>
      <c r="D1155" s="16">
        <v>12297</v>
      </c>
      <c r="E1155" s="18"/>
      <c r="F1155" s="18" t="s">
        <v>3786</v>
      </c>
      <c r="G1155" s="18" t="s">
        <v>3787</v>
      </c>
      <c r="H1155" s="18" t="s">
        <v>73</v>
      </c>
      <c r="I1155" s="18" t="s">
        <v>74</v>
      </c>
      <c r="J1155" s="16">
        <v>2025</v>
      </c>
      <c r="K1155" s="18" t="s">
        <v>3788</v>
      </c>
      <c r="L1155" s="16">
        <v>9785002234363</v>
      </c>
      <c r="M1155" s="18" t="s">
        <v>3789</v>
      </c>
      <c r="N1155" s="16">
        <v>640</v>
      </c>
      <c r="O1155" s="19">
        <v>0.66</v>
      </c>
      <c r="P1155" s="16">
        <v>150</v>
      </c>
      <c r="Q1155" s="16">
        <v>220</v>
      </c>
      <c r="R1155" s="16">
        <v>8</v>
      </c>
      <c r="S1155" s="18" t="s">
        <v>43</v>
      </c>
      <c r="T1155" s="18"/>
      <c r="U1155" s="17">
        <v>1500</v>
      </c>
      <c r="V1155" s="18" t="s">
        <v>77</v>
      </c>
      <c r="W1155" s="18" t="s">
        <v>91</v>
      </c>
      <c r="X1155" s="16">
        <v>10</v>
      </c>
      <c r="Y1155" s="43" t="str">
        <f>HYPERLINK("https://api-enni.alpina.ru/FilePrivilegesApproval/788","https://api-enni.alpina.ru/FilePrivilegesApproval/788")</f>
        <v>https://api-enni.alpina.ru/FilePrivilegesApproval/788</v>
      </c>
      <c r="Z1155" s="18"/>
      <c r="AS1155" s="1">
        <f>IF($A1155&lt;&gt;0,1,0)</f>
        <v>0</v>
      </c>
      <c r="AT1155" s="1">
        <f>$A1155*$B1155</f>
        <v>0</v>
      </c>
      <c r="AU1155" s="1">
        <f>$A1155*$O1155</f>
        <v>0</v>
      </c>
      <c r="AV1155" s="1">
        <f>IF($R1155=0,0,INT($A1155/$R1155))</f>
        <v>0</v>
      </c>
      <c r="AW1155" s="1">
        <f>$A1155-$AV1155*$R1155</f>
        <v>0</v>
      </c>
    </row>
    <row r="1156" ht="21.95" customHeight="1" outlineLevel="3" s="1" customFormat="1">
      <c r="A1156" s="15"/>
      <c r="B1156" s="16">
        <v>850</v>
      </c>
      <c r="C1156" s="17">
        <v>1232</v>
      </c>
      <c r="D1156" s="16">
        <v>34380</v>
      </c>
      <c r="E1156" s="18"/>
      <c r="F1156" s="18" t="s">
        <v>394</v>
      </c>
      <c r="G1156" s="18" t="s">
        <v>395</v>
      </c>
      <c r="H1156" s="18" t="s">
        <v>73</v>
      </c>
      <c r="I1156" s="18" t="s">
        <v>74</v>
      </c>
      <c r="J1156" s="16">
        <v>2026</v>
      </c>
      <c r="K1156" s="18" t="s">
        <v>396</v>
      </c>
      <c r="L1156" s="16">
        <v>9785002236633</v>
      </c>
      <c r="M1156" s="18" t="s">
        <v>397</v>
      </c>
      <c r="N1156" s="16">
        <v>344</v>
      </c>
      <c r="O1156" s="19">
        <v>0.52</v>
      </c>
      <c r="P1156" s="16">
        <v>150</v>
      </c>
      <c r="Q1156" s="16">
        <v>220</v>
      </c>
      <c r="R1156" s="16">
        <v>12</v>
      </c>
      <c r="S1156" s="18" t="s">
        <v>43</v>
      </c>
      <c r="T1156" s="18"/>
      <c r="U1156" s="17">
        <v>3000</v>
      </c>
      <c r="V1156" s="18" t="s">
        <v>77</v>
      </c>
      <c r="W1156" s="18" t="s">
        <v>45</v>
      </c>
      <c r="X1156" s="16">
        <v>22</v>
      </c>
      <c r="Y1156" s="43" t="str">
        <f>HYPERLINK("","")</f>
      </c>
      <c r="Z1156" s="18" t="s">
        <v>246</v>
      </c>
      <c r="AS1156" s="1">
        <f>IF($A1156&lt;&gt;0,1,0)</f>
        <v>0</v>
      </c>
      <c r="AT1156" s="1">
        <f>$A1156*$B1156</f>
        <v>0</v>
      </c>
      <c r="AU1156" s="1">
        <f>$A1156*$O1156</f>
        <v>0</v>
      </c>
      <c r="AV1156" s="1">
        <f>IF($R1156=0,0,INT($A1156/$R1156))</f>
        <v>0</v>
      </c>
      <c r="AW1156" s="1">
        <f>$A1156-$AV1156*$R1156</f>
        <v>0</v>
      </c>
    </row>
    <row r="1157" ht="24.95" customHeight="1" outlineLevel="3" s="1" customFormat="1">
      <c r="A1157" s="15"/>
      <c r="B1157" s="17">
        <v>1190</v>
      </c>
      <c r="C1157" s="17">
        <v>1606</v>
      </c>
      <c r="D1157" s="16">
        <v>11162</v>
      </c>
      <c r="E1157" s="18"/>
      <c r="F1157" s="18" t="s">
        <v>3790</v>
      </c>
      <c r="G1157" s="18" t="s">
        <v>3791</v>
      </c>
      <c r="H1157" s="18" t="s">
        <v>73</v>
      </c>
      <c r="I1157" s="18" t="s">
        <v>74</v>
      </c>
      <c r="J1157" s="16">
        <v>2026</v>
      </c>
      <c r="K1157" s="18" t="s">
        <v>3792</v>
      </c>
      <c r="L1157" s="16">
        <v>9785001393344</v>
      </c>
      <c r="M1157" s="18" t="s">
        <v>3793</v>
      </c>
      <c r="N1157" s="16">
        <v>588</v>
      </c>
      <c r="O1157" s="19">
        <v>0.8</v>
      </c>
      <c r="P1157" s="16">
        <v>168</v>
      </c>
      <c r="Q1157" s="16">
        <v>241</v>
      </c>
      <c r="R1157" s="16">
        <v>3</v>
      </c>
      <c r="S1157" s="18" t="s">
        <v>123</v>
      </c>
      <c r="T1157" s="18"/>
      <c r="U1157" s="17">
        <v>2000</v>
      </c>
      <c r="V1157" s="18" t="s">
        <v>77</v>
      </c>
      <c r="W1157" s="18" t="s">
        <v>91</v>
      </c>
      <c r="X1157" s="16">
        <v>10</v>
      </c>
      <c r="Y1157" s="43" t="str">
        <f>HYPERLINK("https://api-enni.alpina.ru/FilePrivilegesApproval/127","https://api-enni.alpina.ru/FilePrivilegesApproval/127")</f>
        <v>https://api-enni.alpina.ru/FilePrivilegesApproval/127</v>
      </c>
      <c r="Z1157" s="18"/>
      <c r="AS1157" s="1">
        <f>IF($A1157&lt;&gt;0,1,0)</f>
        <v>0</v>
      </c>
      <c r="AT1157" s="1">
        <f>$A1157*$B1157</f>
        <v>0</v>
      </c>
      <c r="AU1157" s="1">
        <f>$A1157*$O1157</f>
        <v>0</v>
      </c>
      <c r="AV1157" s="1">
        <f>IF($R1157=0,0,INT($A1157/$R1157))</f>
        <v>0</v>
      </c>
      <c r="AW1157" s="1">
        <f>$A1157-$AV1157*$R1157</f>
        <v>0</v>
      </c>
    </row>
    <row r="1158" ht="11.1" customHeight="1" outlineLevel="2">
      <c r="A1158" s="41" t="s">
        <v>3794</v>
      </c>
      <c r="B1158" s="41"/>
      <c r="C1158" s="41"/>
      <c r="D1158" s="41"/>
      <c r="E1158" s="41"/>
      <c r="F1158" s="41"/>
      <c r="G1158" s="41"/>
      <c r="H1158" s="41"/>
      <c r="I1158" s="41"/>
      <c r="J1158" s="41"/>
      <c r="K1158" s="41"/>
      <c r="L1158" s="41"/>
      <c r="M1158" s="41"/>
      <c r="N1158" s="41"/>
      <c r="O1158" s="41"/>
      <c r="P1158" s="41"/>
      <c r="Q1158" s="41"/>
      <c r="R1158" s="41"/>
      <c r="S1158" s="41"/>
      <c r="T1158" s="41"/>
      <c r="U1158" s="41"/>
      <c r="V1158" s="41"/>
      <c r="W1158" s="41"/>
      <c r="X1158" s="41"/>
      <c r="Y1158" s="41"/>
      <c r="Z1158" s="24"/>
    </row>
    <row r="1159" ht="24.95" customHeight="1" outlineLevel="3" s="1" customFormat="1">
      <c r="A1159" s="15"/>
      <c r="B1159" s="16">
        <v>803</v>
      </c>
      <c r="C1159" s="17">
        <v>1164</v>
      </c>
      <c r="D1159" s="16">
        <v>33950</v>
      </c>
      <c r="E1159" s="18"/>
      <c r="F1159" s="18" t="s">
        <v>3795</v>
      </c>
      <c r="G1159" s="18" t="s">
        <v>3796</v>
      </c>
      <c r="H1159" s="18" t="s">
        <v>73</v>
      </c>
      <c r="I1159" s="18"/>
      <c r="J1159" s="16">
        <v>2026</v>
      </c>
      <c r="K1159" s="18" t="s">
        <v>3797</v>
      </c>
      <c r="L1159" s="16">
        <v>9785002236046</v>
      </c>
      <c r="M1159" s="18" t="s">
        <v>3798</v>
      </c>
      <c r="N1159" s="16">
        <v>476</v>
      </c>
      <c r="O1159" s="19">
        <v>0.56</v>
      </c>
      <c r="P1159" s="16">
        <v>130</v>
      </c>
      <c r="Q1159" s="16">
        <v>210</v>
      </c>
      <c r="R1159" s="16">
        <v>8</v>
      </c>
      <c r="S1159" s="18" t="s">
        <v>90</v>
      </c>
      <c r="T1159" s="18"/>
      <c r="U1159" s="17">
        <v>1500</v>
      </c>
      <c r="V1159" s="18" t="s">
        <v>77</v>
      </c>
      <c r="W1159" s="18" t="s">
        <v>45</v>
      </c>
      <c r="X1159" s="16">
        <v>22</v>
      </c>
      <c r="Y1159" s="43" t="str">
        <f>HYPERLINK("https://api-enni.alpina.ru/FilePrivilegesApproval/1107","https://api-enni.alpina.ru/FilePrivilegesApproval/1107")</f>
        <v>https://api-enni.alpina.ru/FilePrivilegesApproval/1107</v>
      </c>
      <c r="Z1159" s="18"/>
      <c r="AS1159" s="1">
        <f>IF($A1159&lt;&gt;0,1,0)</f>
        <v>0</v>
      </c>
      <c r="AT1159" s="1">
        <f>$A1159*$B1159</f>
        <v>0</v>
      </c>
      <c r="AU1159" s="1">
        <f>$A1159*$O1159</f>
        <v>0</v>
      </c>
      <c r="AV1159" s="1">
        <f>IF($R1159=0,0,INT($A1159/$R1159))</f>
        <v>0</v>
      </c>
      <c r="AW1159" s="1">
        <f>$A1159-$AV1159*$R1159</f>
        <v>0</v>
      </c>
    </row>
    <row r="1160" ht="24.95" customHeight="1" outlineLevel="3" s="1" customFormat="1">
      <c r="A1160" s="15"/>
      <c r="B1160" s="16">
        <v>790</v>
      </c>
      <c r="C1160" s="17">
        <v>1146</v>
      </c>
      <c r="D1160" s="16">
        <v>23921</v>
      </c>
      <c r="E1160" s="18"/>
      <c r="F1160" s="18" t="s">
        <v>3799</v>
      </c>
      <c r="G1160" s="18" t="s">
        <v>3800</v>
      </c>
      <c r="H1160" s="18" t="s">
        <v>73</v>
      </c>
      <c r="I1160" s="18" t="s">
        <v>74</v>
      </c>
      <c r="J1160" s="16">
        <v>2022</v>
      </c>
      <c r="K1160" s="18" t="s">
        <v>3801</v>
      </c>
      <c r="L1160" s="16">
        <v>9785001396079</v>
      </c>
      <c r="M1160" s="18" t="s">
        <v>3802</v>
      </c>
      <c r="N1160" s="16">
        <v>424</v>
      </c>
      <c r="O1160" s="19">
        <v>0.5</v>
      </c>
      <c r="P1160" s="16">
        <v>141</v>
      </c>
      <c r="Q1160" s="16">
        <v>210</v>
      </c>
      <c r="R1160" s="16">
        <v>10</v>
      </c>
      <c r="S1160" s="18" t="s">
        <v>43</v>
      </c>
      <c r="T1160" s="18"/>
      <c r="U1160" s="17">
        <v>3000</v>
      </c>
      <c r="V1160" s="18" t="s">
        <v>44</v>
      </c>
      <c r="W1160" s="18" t="s">
        <v>69</v>
      </c>
      <c r="X1160" s="16">
        <v>10</v>
      </c>
      <c r="Y1160" s="43" t="str">
        <f>HYPERLINK("https://api-enni.alpina.ru/FilePrivilegesApproval/197","https://api-enni.alpina.ru/FilePrivilegesApproval/197")</f>
        <v>https://api-enni.alpina.ru/FilePrivilegesApproval/197</v>
      </c>
      <c r="Z1160" s="18"/>
      <c r="AS1160" s="1">
        <f>IF($A1160&lt;&gt;0,1,0)</f>
        <v>0</v>
      </c>
      <c r="AT1160" s="1">
        <f>$A1160*$B1160</f>
        <v>0</v>
      </c>
      <c r="AU1160" s="1">
        <f>$A1160*$O1160</f>
        <v>0</v>
      </c>
      <c r="AV1160" s="1">
        <f>IF($R1160=0,0,INT($A1160/$R1160))</f>
        <v>0</v>
      </c>
      <c r="AW1160" s="1">
        <f>$A1160-$AV1160*$R1160</f>
        <v>0</v>
      </c>
    </row>
    <row r="1161" ht="24.95" customHeight="1" outlineLevel="3" s="1" customFormat="1">
      <c r="A1161" s="15"/>
      <c r="B1161" s="16">
        <v>590</v>
      </c>
      <c r="C1161" s="16">
        <v>885</v>
      </c>
      <c r="D1161" s="16">
        <v>18067</v>
      </c>
      <c r="E1161" s="18"/>
      <c r="F1161" s="18" t="s">
        <v>412</v>
      </c>
      <c r="G1161" s="18" t="s">
        <v>3803</v>
      </c>
      <c r="H1161" s="18" t="s">
        <v>73</v>
      </c>
      <c r="I1161" s="18"/>
      <c r="J1161" s="16">
        <v>2020</v>
      </c>
      <c r="K1161" s="18" t="s">
        <v>3804</v>
      </c>
      <c r="L1161" s="16">
        <v>9785001392538</v>
      </c>
      <c r="M1161" s="18" t="s">
        <v>3805</v>
      </c>
      <c r="N1161" s="16">
        <v>336</v>
      </c>
      <c r="O1161" s="19">
        <v>0.6</v>
      </c>
      <c r="P1161" s="16">
        <v>168</v>
      </c>
      <c r="Q1161" s="16">
        <v>221</v>
      </c>
      <c r="R1161" s="16">
        <v>6</v>
      </c>
      <c r="S1161" s="18" t="s">
        <v>52</v>
      </c>
      <c r="T1161" s="18"/>
      <c r="U1161" s="17">
        <v>7000</v>
      </c>
      <c r="V1161" s="18" t="s">
        <v>77</v>
      </c>
      <c r="W1161" s="18" t="s">
        <v>69</v>
      </c>
      <c r="X1161" s="16">
        <v>10</v>
      </c>
      <c r="Y1161" s="43" t="str">
        <f>HYPERLINK("https://api-enni.alpina.ru/FilePrivilegesApproval/262","https://api-enni.alpina.ru/FilePrivilegesApproval/262")</f>
        <v>https://api-enni.alpina.ru/FilePrivilegesApproval/262</v>
      </c>
      <c r="Z1161" s="18"/>
      <c r="AS1161" s="1">
        <f>IF($A1161&lt;&gt;0,1,0)</f>
        <v>0</v>
      </c>
      <c r="AT1161" s="1">
        <f>$A1161*$B1161</f>
        <v>0</v>
      </c>
      <c r="AU1161" s="1">
        <f>$A1161*$O1161</f>
        <v>0</v>
      </c>
      <c r="AV1161" s="1">
        <f>IF($R1161=0,0,INT($A1161/$R1161))</f>
        <v>0</v>
      </c>
      <c r="AW1161" s="1">
        <f>$A1161-$AV1161*$R1161</f>
        <v>0</v>
      </c>
    </row>
    <row r="1162" ht="24.95" customHeight="1" outlineLevel="3" s="1" customFormat="1">
      <c r="A1162" s="15"/>
      <c r="B1162" s="16">
        <v>590</v>
      </c>
      <c r="C1162" s="16">
        <v>885</v>
      </c>
      <c r="D1162" s="16">
        <v>33403</v>
      </c>
      <c r="E1162" s="18"/>
      <c r="F1162" s="18" t="s">
        <v>713</v>
      </c>
      <c r="G1162" s="18" t="s">
        <v>3806</v>
      </c>
      <c r="H1162" s="18" t="s">
        <v>86</v>
      </c>
      <c r="I1162" s="18"/>
      <c r="J1162" s="16">
        <v>2025</v>
      </c>
      <c r="K1162" s="18" t="s">
        <v>3807</v>
      </c>
      <c r="L1162" s="16">
        <v>9785006304635</v>
      </c>
      <c r="M1162" s="18" t="s">
        <v>3808</v>
      </c>
      <c r="N1162" s="16">
        <v>264</v>
      </c>
      <c r="O1162" s="19">
        <v>0.42</v>
      </c>
      <c r="P1162" s="16">
        <v>150</v>
      </c>
      <c r="Q1162" s="16">
        <v>220</v>
      </c>
      <c r="R1162" s="16">
        <v>14</v>
      </c>
      <c r="S1162" s="18" t="s">
        <v>43</v>
      </c>
      <c r="T1162" s="18"/>
      <c r="U1162" s="17">
        <v>2000</v>
      </c>
      <c r="V1162" s="18" t="s">
        <v>77</v>
      </c>
      <c r="W1162" s="18" t="s">
        <v>69</v>
      </c>
      <c r="X1162" s="16">
        <v>10</v>
      </c>
      <c r="Y1162" s="43" t="str">
        <f>HYPERLINK("https://api-enni.alpina.ru/FilePrivilegesApproval/1062","https://api-enni.alpina.ru/FilePrivilegesApproval/1062")</f>
        <v>https://api-enni.alpina.ru/FilePrivilegesApproval/1062</v>
      </c>
      <c r="Z1162" s="18"/>
      <c r="AS1162" s="1">
        <f>IF($A1162&lt;&gt;0,1,0)</f>
        <v>0</v>
      </c>
      <c r="AT1162" s="1">
        <f>$A1162*$B1162</f>
        <v>0</v>
      </c>
      <c r="AU1162" s="1">
        <f>$A1162*$O1162</f>
        <v>0</v>
      </c>
      <c r="AV1162" s="1">
        <f>IF($R1162=0,0,INT($A1162/$R1162))</f>
        <v>0</v>
      </c>
      <c r="AW1162" s="1">
        <f>$A1162-$AV1162*$R1162</f>
        <v>0</v>
      </c>
    </row>
    <row r="1163" ht="21.95" customHeight="1" outlineLevel="3" s="1" customFormat="1">
      <c r="A1163" s="15"/>
      <c r="B1163" s="16">
        <v>790</v>
      </c>
      <c r="C1163" s="16">
        <v>890</v>
      </c>
      <c r="D1163" s="16">
        <v>37270</v>
      </c>
      <c r="E1163" s="18"/>
      <c r="F1163" s="18" t="s">
        <v>3809</v>
      </c>
      <c r="G1163" s="18" t="s">
        <v>3810</v>
      </c>
      <c r="H1163" s="18" t="s">
        <v>73</v>
      </c>
      <c r="I1163" s="18"/>
      <c r="J1163" s="16">
        <v>2026</v>
      </c>
      <c r="K1163" s="18" t="s">
        <v>3811</v>
      </c>
      <c r="L1163" s="16">
        <v>9785002239528</v>
      </c>
      <c r="M1163" s="18" t="s">
        <v>3812</v>
      </c>
      <c r="N1163" s="16">
        <v>176</v>
      </c>
      <c r="O1163" s="19">
        <v>0.15</v>
      </c>
      <c r="P1163" s="16">
        <v>110</v>
      </c>
      <c r="Q1163" s="16">
        <v>180</v>
      </c>
      <c r="R1163" s="16">
        <v>12</v>
      </c>
      <c r="S1163" s="18" t="s">
        <v>873</v>
      </c>
      <c r="T1163" s="18" t="s">
        <v>3438</v>
      </c>
      <c r="U1163" s="17">
        <v>3000</v>
      </c>
      <c r="V1163" s="18" t="s">
        <v>44</v>
      </c>
      <c r="W1163" s="18" t="s">
        <v>69</v>
      </c>
      <c r="X1163" s="16">
        <v>22</v>
      </c>
      <c r="Y1163" s="43" t="str">
        <f>HYPERLINK("","")</f>
      </c>
      <c r="Z1163" s="18" t="s">
        <v>874</v>
      </c>
      <c r="AS1163" s="1">
        <f>IF($A1163&lt;&gt;0,1,0)</f>
        <v>0</v>
      </c>
      <c r="AT1163" s="1">
        <f>$A1163*$B1163</f>
        <v>0</v>
      </c>
      <c r="AU1163" s="1">
        <f>$A1163*$O1163</f>
        <v>0</v>
      </c>
      <c r="AV1163" s="1">
        <f>IF($R1163=0,0,INT($A1163/$R1163))</f>
        <v>0</v>
      </c>
      <c r="AW1163" s="1">
        <f>$A1163-$AV1163*$R1163</f>
        <v>0</v>
      </c>
    </row>
    <row r="1164" ht="24.95" customHeight="1" outlineLevel="3" s="1" customFormat="1">
      <c r="A1164" s="15"/>
      <c r="B1164" s="17">
        <v>1090</v>
      </c>
      <c r="C1164" s="17">
        <v>1472</v>
      </c>
      <c r="D1164" s="16">
        <v>35462</v>
      </c>
      <c r="E1164" s="18"/>
      <c r="F1164" s="18" t="s">
        <v>3813</v>
      </c>
      <c r="G1164" s="18" t="s">
        <v>3814</v>
      </c>
      <c r="H1164" s="18" t="s">
        <v>73</v>
      </c>
      <c r="I1164" s="18"/>
      <c r="J1164" s="16">
        <v>2026</v>
      </c>
      <c r="K1164" s="18" t="s">
        <v>3815</v>
      </c>
      <c r="L1164" s="16">
        <v>9785002237715</v>
      </c>
      <c r="M1164" s="18" t="s">
        <v>3816</v>
      </c>
      <c r="N1164" s="16">
        <v>444</v>
      </c>
      <c r="O1164" s="19">
        <v>0.69</v>
      </c>
      <c r="P1164" s="16">
        <v>170</v>
      </c>
      <c r="Q1164" s="16">
        <v>240</v>
      </c>
      <c r="R1164" s="16">
        <v>6</v>
      </c>
      <c r="S1164" s="18" t="s">
        <v>123</v>
      </c>
      <c r="T1164" s="18"/>
      <c r="U1164" s="17">
        <v>4000</v>
      </c>
      <c r="V1164" s="18" t="s">
        <v>77</v>
      </c>
      <c r="W1164" s="18" t="s">
        <v>69</v>
      </c>
      <c r="X1164" s="16">
        <v>10</v>
      </c>
      <c r="Y1164" s="43" t="str">
        <f>HYPERLINK("https://api-enni.alpina.ru/FilePrivilegesApproval/1117","https://api-enni.alpina.ru/FilePrivilegesApproval/1117")</f>
        <v>https://api-enni.alpina.ru/FilePrivilegesApproval/1117</v>
      </c>
      <c r="Z1164" s="18" t="s">
        <v>753</v>
      </c>
      <c r="AS1164" s="1">
        <f>IF($A1164&lt;&gt;0,1,0)</f>
        <v>0</v>
      </c>
      <c r="AT1164" s="1">
        <f>$A1164*$B1164</f>
        <v>0</v>
      </c>
      <c r="AU1164" s="1">
        <f>$A1164*$O1164</f>
        <v>0</v>
      </c>
      <c r="AV1164" s="1">
        <f>IF($R1164=0,0,INT($A1164/$R1164))</f>
        <v>0</v>
      </c>
      <c r="AW1164" s="1">
        <f>$A1164-$AV1164*$R1164</f>
        <v>0</v>
      </c>
    </row>
    <row r="1165" ht="24.95" customHeight="1" outlineLevel="3" s="1" customFormat="1">
      <c r="A1165" s="15"/>
      <c r="B1165" s="16">
        <v>740</v>
      </c>
      <c r="C1165" s="17">
        <v>1073</v>
      </c>
      <c r="D1165" s="16">
        <v>28796</v>
      </c>
      <c r="E1165" s="18"/>
      <c r="F1165" s="18" t="s">
        <v>3817</v>
      </c>
      <c r="G1165" s="18" t="s">
        <v>3818</v>
      </c>
      <c r="H1165" s="18" t="s">
        <v>86</v>
      </c>
      <c r="I1165" s="18"/>
      <c r="J1165" s="16">
        <v>2025</v>
      </c>
      <c r="K1165" s="18" t="s">
        <v>3819</v>
      </c>
      <c r="L1165" s="16">
        <v>9785961490145</v>
      </c>
      <c r="M1165" s="18" t="s">
        <v>3820</v>
      </c>
      <c r="N1165" s="16">
        <v>446</v>
      </c>
      <c r="O1165" s="19">
        <v>0.54</v>
      </c>
      <c r="P1165" s="16">
        <v>140</v>
      </c>
      <c r="Q1165" s="16">
        <v>210</v>
      </c>
      <c r="R1165" s="16">
        <v>10</v>
      </c>
      <c r="S1165" s="18" t="s">
        <v>43</v>
      </c>
      <c r="T1165" s="18"/>
      <c r="U1165" s="17">
        <v>2000</v>
      </c>
      <c r="V1165" s="18" t="s">
        <v>44</v>
      </c>
      <c r="W1165" s="18" t="s">
        <v>45</v>
      </c>
      <c r="X1165" s="16">
        <v>10</v>
      </c>
      <c r="Y1165" s="43" t="str">
        <f>HYPERLINK("https://api-enni.alpina.ru/FilePrivilegesApproval/156","https://api-enni.alpina.ru/FilePrivilegesApproval/156")</f>
        <v>https://api-enni.alpina.ru/FilePrivilegesApproval/156</v>
      </c>
      <c r="Z1165" s="18"/>
      <c r="AS1165" s="1">
        <f>IF($A1165&lt;&gt;0,1,0)</f>
        <v>0</v>
      </c>
      <c r="AT1165" s="1">
        <f>$A1165*$B1165</f>
        <v>0</v>
      </c>
      <c r="AU1165" s="1">
        <f>$A1165*$O1165</f>
        <v>0</v>
      </c>
      <c r="AV1165" s="1">
        <f>IF($R1165=0,0,INT($A1165/$R1165))</f>
        <v>0</v>
      </c>
      <c r="AW1165" s="1">
        <f>$A1165-$AV1165*$R1165</f>
        <v>0</v>
      </c>
    </row>
    <row r="1166" ht="24.95" customHeight="1" outlineLevel="3" s="1" customFormat="1">
      <c r="A1166" s="15"/>
      <c r="B1166" s="16">
        <v>590</v>
      </c>
      <c r="C1166" s="16">
        <v>885</v>
      </c>
      <c r="D1166" s="16">
        <v>28310</v>
      </c>
      <c r="E1166" s="18"/>
      <c r="F1166" s="18" t="s">
        <v>3821</v>
      </c>
      <c r="G1166" s="18" t="s">
        <v>3822</v>
      </c>
      <c r="H1166" s="18" t="s">
        <v>86</v>
      </c>
      <c r="I1166" s="18" t="s">
        <v>65</v>
      </c>
      <c r="J1166" s="16">
        <v>2024</v>
      </c>
      <c r="K1166" s="18" t="s">
        <v>3823</v>
      </c>
      <c r="L1166" s="16">
        <v>9785961487817</v>
      </c>
      <c r="M1166" s="18" t="s">
        <v>3824</v>
      </c>
      <c r="N1166" s="16">
        <v>224</v>
      </c>
      <c r="O1166" s="19">
        <v>0.38</v>
      </c>
      <c r="P1166" s="16">
        <v>140</v>
      </c>
      <c r="Q1166" s="16">
        <v>220</v>
      </c>
      <c r="R1166" s="16">
        <v>16</v>
      </c>
      <c r="S1166" s="18" t="s">
        <v>43</v>
      </c>
      <c r="T1166" s="18"/>
      <c r="U1166" s="17">
        <v>1500</v>
      </c>
      <c r="V1166" s="18" t="s">
        <v>77</v>
      </c>
      <c r="W1166" s="18" t="s">
        <v>69</v>
      </c>
      <c r="X1166" s="16">
        <v>10</v>
      </c>
      <c r="Y1166" s="43" t="str">
        <f>HYPERLINK("https://api-enni.alpina.ru/FilePrivilegesApproval/315","https://api-enni.alpina.ru/FilePrivilegesApproval/315")</f>
        <v>https://api-enni.alpina.ru/FilePrivilegesApproval/315</v>
      </c>
      <c r="Z1166" s="18"/>
      <c r="AS1166" s="1">
        <f>IF($A1166&lt;&gt;0,1,0)</f>
        <v>0</v>
      </c>
      <c r="AT1166" s="1">
        <f>$A1166*$B1166</f>
        <v>0</v>
      </c>
      <c r="AU1166" s="1">
        <f>$A1166*$O1166</f>
        <v>0</v>
      </c>
      <c r="AV1166" s="1">
        <f>IF($R1166=0,0,INT($A1166/$R1166))</f>
        <v>0</v>
      </c>
      <c r="AW1166" s="1">
        <f>$A1166-$AV1166*$R1166</f>
        <v>0</v>
      </c>
    </row>
    <row r="1167" ht="24.95" customHeight="1" outlineLevel="3" s="1" customFormat="1">
      <c r="A1167" s="15"/>
      <c r="B1167" s="16">
        <v>990</v>
      </c>
      <c r="C1167" s="17">
        <v>1386</v>
      </c>
      <c r="D1167" s="16">
        <v>28610</v>
      </c>
      <c r="E1167" s="18"/>
      <c r="F1167" s="18" t="s">
        <v>3825</v>
      </c>
      <c r="G1167" s="18" t="s">
        <v>3826</v>
      </c>
      <c r="H1167" s="18" t="s">
        <v>95</v>
      </c>
      <c r="I1167" s="18"/>
      <c r="J1167" s="16">
        <v>2023</v>
      </c>
      <c r="K1167" s="18" t="s">
        <v>3827</v>
      </c>
      <c r="L1167" s="16">
        <v>9785206002188</v>
      </c>
      <c r="M1167" s="18" t="s">
        <v>3828</v>
      </c>
      <c r="N1167" s="16">
        <v>312</v>
      </c>
      <c r="O1167" s="19">
        <v>0.6</v>
      </c>
      <c r="P1167" s="16">
        <v>170</v>
      </c>
      <c r="Q1167" s="16">
        <v>230</v>
      </c>
      <c r="R1167" s="16">
        <v>6</v>
      </c>
      <c r="S1167" s="18" t="s">
        <v>52</v>
      </c>
      <c r="T1167" s="18"/>
      <c r="U1167" s="17">
        <v>2005</v>
      </c>
      <c r="V1167" s="18" t="s">
        <v>54</v>
      </c>
      <c r="W1167" s="18" t="s">
        <v>91</v>
      </c>
      <c r="X1167" s="16">
        <v>10</v>
      </c>
      <c r="Y1167" s="43" t="str">
        <f>HYPERLINK("https://api-enni.alpina.ru/FilePrivilegesApproval/341","https://api-enni.alpina.ru/FilePrivilegesApproval/341")</f>
        <v>https://api-enni.alpina.ru/FilePrivilegesApproval/341</v>
      </c>
      <c r="Z1167" s="18"/>
      <c r="AS1167" s="1">
        <f>IF($A1167&lt;&gt;0,1,0)</f>
        <v>0</v>
      </c>
      <c r="AT1167" s="1">
        <f>$A1167*$B1167</f>
        <v>0</v>
      </c>
      <c r="AU1167" s="1">
        <f>$A1167*$O1167</f>
        <v>0</v>
      </c>
      <c r="AV1167" s="1">
        <f>IF($R1167=0,0,INT($A1167/$R1167))</f>
        <v>0</v>
      </c>
      <c r="AW1167" s="1">
        <f>$A1167-$AV1167*$R1167</f>
        <v>0</v>
      </c>
    </row>
    <row r="1168" ht="24.95" customHeight="1" outlineLevel="3" s="1" customFormat="1">
      <c r="A1168" s="15"/>
      <c r="B1168" s="16">
        <v>990</v>
      </c>
      <c r="C1168" s="17">
        <v>1386</v>
      </c>
      <c r="D1168" s="16">
        <v>26924</v>
      </c>
      <c r="E1168" s="18"/>
      <c r="F1168" s="18" t="s">
        <v>3829</v>
      </c>
      <c r="G1168" s="18" t="s">
        <v>3830</v>
      </c>
      <c r="H1168" s="18" t="s">
        <v>86</v>
      </c>
      <c r="I1168" s="18" t="s">
        <v>74</v>
      </c>
      <c r="J1168" s="16">
        <v>2025</v>
      </c>
      <c r="K1168" s="18" t="s">
        <v>3831</v>
      </c>
      <c r="L1168" s="16">
        <v>9785961483338</v>
      </c>
      <c r="M1168" s="18" t="s">
        <v>3832</v>
      </c>
      <c r="N1168" s="16">
        <v>766</v>
      </c>
      <c r="O1168" s="19">
        <v>0.78</v>
      </c>
      <c r="P1168" s="16">
        <v>150</v>
      </c>
      <c r="Q1168" s="16">
        <v>220</v>
      </c>
      <c r="R1168" s="16">
        <v>6</v>
      </c>
      <c r="S1168" s="18" t="s">
        <v>43</v>
      </c>
      <c r="T1168" s="18"/>
      <c r="U1168" s="17">
        <v>3000</v>
      </c>
      <c r="V1168" s="18" t="s">
        <v>77</v>
      </c>
      <c r="W1168" s="18" t="s">
        <v>45</v>
      </c>
      <c r="X1168" s="16">
        <v>10</v>
      </c>
      <c r="Y1168" s="43" t="str">
        <f>HYPERLINK("https://api-enni.alpina.ru/FilePrivilegesApproval/649","https://api-enni.alpina.ru/FilePrivilegesApproval/649")</f>
        <v>https://api-enni.alpina.ru/FilePrivilegesApproval/649</v>
      </c>
      <c r="Z1168" s="18"/>
      <c r="AS1168" s="1">
        <f>IF($A1168&lt;&gt;0,1,0)</f>
        <v>0</v>
      </c>
      <c r="AT1168" s="1">
        <f>$A1168*$B1168</f>
        <v>0</v>
      </c>
      <c r="AU1168" s="1">
        <f>$A1168*$O1168</f>
        <v>0</v>
      </c>
      <c r="AV1168" s="1">
        <f>IF($R1168=0,0,INT($A1168/$R1168))</f>
        <v>0</v>
      </c>
      <c r="AW1168" s="1">
        <f>$A1168-$AV1168*$R1168</f>
        <v>0</v>
      </c>
    </row>
    <row r="1169" ht="24.95" customHeight="1" outlineLevel="3" s="1" customFormat="1">
      <c r="A1169" s="15"/>
      <c r="B1169" s="16">
        <v>690</v>
      </c>
      <c r="C1169" s="17">
        <v>1035</v>
      </c>
      <c r="D1169" s="16">
        <v>29401</v>
      </c>
      <c r="E1169" s="18"/>
      <c r="F1169" s="18" t="s">
        <v>3833</v>
      </c>
      <c r="G1169" s="18" t="s">
        <v>3834</v>
      </c>
      <c r="H1169" s="18" t="s">
        <v>86</v>
      </c>
      <c r="I1169" s="18" t="s">
        <v>74</v>
      </c>
      <c r="J1169" s="16">
        <v>2024</v>
      </c>
      <c r="K1169" s="18" t="s">
        <v>3835</v>
      </c>
      <c r="L1169" s="16">
        <v>9785961492422</v>
      </c>
      <c r="M1169" s="18" t="s">
        <v>3836</v>
      </c>
      <c r="N1169" s="16">
        <v>240</v>
      </c>
      <c r="O1169" s="19">
        <v>0.39</v>
      </c>
      <c r="P1169" s="16">
        <v>150</v>
      </c>
      <c r="Q1169" s="16">
        <v>220</v>
      </c>
      <c r="R1169" s="16">
        <v>16</v>
      </c>
      <c r="S1169" s="18" t="s">
        <v>43</v>
      </c>
      <c r="T1169" s="18"/>
      <c r="U1169" s="17">
        <v>2000</v>
      </c>
      <c r="V1169" s="18" t="s">
        <v>77</v>
      </c>
      <c r="W1169" s="18" t="s">
        <v>69</v>
      </c>
      <c r="X1169" s="16">
        <v>10</v>
      </c>
      <c r="Y1169" s="43" t="str">
        <f>HYPERLINK("https://api-enni.alpina.ru/FilePrivilegesApproval/571","https://api-enni.alpina.ru/FilePrivilegesApproval/571")</f>
        <v>https://api-enni.alpina.ru/FilePrivilegesApproval/571</v>
      </c>
      <c r="Z1169" s="18"/>
      <c r="AS1169" s="1">
        <f>IF($A1169&lt;&gt;0,1,0)</f>
        <v>0</v>
      </c>
      <c r="AT1169" s="1">
        <f>$A1169*$B1169</f>
        <v>0</v>
      </c>
      <c r="AU1169" s="1">
        <f>$A1169*$O1169</f>
        <v>0</v>
      </c>
      <c r="AV1169" s="1">
        <f>IF($R1169=0,0,INT($A1169/$R1169))</f>
        <v>0</v>
      </c>
      <c r="AW1169" s="1">
        <f>$A1169-$AV1169*$R1169</f>
        <v>0</v>
      </c>
    </row>
    <row r="1170" ht="24.95" customHeight="1" outlineLevel="3" s="1" customFormat="1">
      <c r="A1170" s="15"/>
      <c r="B1170" s="16">
        <v>890</v>
      </c>
      <c r="C1170" s="17">
        <v>1246</v>
      </c>
      <c r="D1170" s="16">
        <v>31422</v>
      </c>
      <c r="E1170" s="18"/>
      <c r="F1170" s="18" t="s">
        <v>3837</v>
      </c>
      <c r="G1170" s="18" t="s">
        <v>3838</v>
      </c>
      <c r="H1170" s="18" t="s">
        <v>86</v>
      </c>
      <c r="I1170" s="18" t="s">
        <v>74</v>
      </c>
      <c r="J1170" s="16">
        <v>2026</v>
      </c>
      <c r="K1170" s="18" t="s">
        <v>3839</v>
      </c>
      <c r="L1170" s="16">
        <v>9785961498646</v>
      </c>
      <c r="M1170" s="18" t="s">
        <v>3840</v>
      </c>
      <c r="N1170" s="16">
        <v>504</v>
      </c>
      <c r="O1170" s="19">
        <v>0.7</v>
      </c>
      <c r="P1170" s="16">
        <v>150</v>
      </c>
      <c r="Q1170" s="16">
        <v>220</v>
      </c>
      <c r="R1170" s="16">
        <v>8</v>
      </c>
      <c r="S1170" s="18" t="s">
        <v>43</v>
      </c>
      <c r="T1170" s="18"/>
      <c r="U1170" s="17">
        <v>2000</v>
      </c>
      <c r="V1170" s="18" t="s">
        <v>77</v>
      </c>
      <c r="W1170" s="18" t="s">
        <v>69</v>
      </c>
      <c r="X1170" s="16">
        <v>10</v>
      </c>
      <c r="Y1170" s="43" t="str">
        <f>HYPERLINK("https://api-enni.alpina.ru/FilePrivilegesApproval/1018","https://api-enni.alpina.ru/FilePrivilegesApproval/1018")</f>
        <v>https://api-enni.alpina.ru/FilePrivilegesApproval/1018</v>
      </c>
      <c r="Z1170" s="18"/>
      <c r="AS1170" s="1">
        <f>IF($A1170&lt;&gt;0,1,0)</f>
        <v>0</v>
      </c>
      <c r="AT1170" s="1">
        <f>$A1170*$B1170</f>
        <v>0</v>
      </c>
      <c r="AU1170" s="1">
        <f>$A1170*$O1170</f>
        <v>0</v>
      </c>
      <c r="AV1170" s="1">
        <f>IF($R1170=0,0,INT($A1170/$R1170))</f>
        <v>0</v>
      </c>
      <c r="AW1170" s="1">
        <f>$A1170-$AV1170*$R1170</f>
        <v>0</v>
      </c>
    </row>
    <row r="1171" ht="21.95" customHeight="1" outlineLevel="3" s="1" customFormat="1">
      <c r="A1171" s="15"/>
      <c r="B1171" s="16">
        <v>600</v>
      </c>
      <c r="C1171" s="16">
        <v>900</v>
      </c>
      <c r="D1171" s="16">
        <v>29725</v>
      </c>
      <c r="E1171" s="18"/>
      <c r="F1171" s="18" t="s">
        <v>3841</v>
      </c>
      <c r="G1171" s="18" t="s">
        <v>3842</v>
      </c>
      <c r="H1171" s="18" t="s">
        <v>86</v>
      </c>
      <c r="I1171" s="18"/>
      <c r="J1171" s="16">
        <v>2025</v>
      </c>
      <c r="K1171" s="18" t="s">
        <v>3843</v>
      </c>
      <c r="L1171" s="16">
        <v>9785961493610</v>
      </c>
      <c r="M1171" s="18" t="s">
        <v>3844</v>
      </c>
      <c r="N1171" s="16">
        <v>485</v>
      </c>
      <c r="O1171" s="19">
        <v>0.69</v>
      </c>
      <c r="P1171" s="16">
        <v>150</v>
      </c>
      <c r="Q1171" s="16">
        <v>220</v>
      </c>
      <c r="R1171" s="16">
        <v>6</v>
      </c>
      <c r="S1171" s="18" t="s">
        <v>43</v>
      </c>
      <c r="T1171" s="18"/>
      <c r="U1171" s="17">
        <v>3000</v>
      </c>
      <c r="V1171" s="18" t="s">
        <v>77</v>
      </c>
      <c r="W1171" s="18" t="s">
        <v>45</v>
      </c>
      <c r="X1171" s="16">
        <v>22</v>
      </c>
      <c r="Y1171" s="43" t="str">
        <f>HYPERLINK("","")</f>
      </c>
      <c r="Z1171" s="18"/>
      <c r="AS1171" s="1">
        <f>IF($A1171&lt;&gt;0,1,0)</f>
        <v>0</v>
      </c>
      <c r="AT1171" s="1">
        <f>$A1171*$B1171</f>
        <v>0</v>
      </c>
      <c r="AU1171" s="1">
        <f>$A1171*$O1171</f>
        <v>0</v>
      </c>
      <c r="AV1171" s="1">
        <f>IF($R1171=0,0,INT($A1171/$R1171))</f>
        <v>0</v>
      </c>
      <c r="AW1171" s="1">
        <f>$A1171-$AV1171*$R1171</f>
        <v>0</v>
      </c>
    </row>
    <row r="1172" ht="24.95" customHeight="1" outlineLevel="3" s="1" customFormat="1">
      <c r="A1172" s="15"/>
      <c r="B1172" s="16">
        <v>930</v>
      </c>
      <c r="C1172" s="17">
        <v>1302</v>
      </c>
      <c r="D1172" s="16">
        <v>30105</v>
      </c>
      <c r="E1172" s="18"/>
      <c r="F1172" s="18" t="s">
        <v>3845</v>
      </c>
      <c r="G1172" s="18" t="s">
        <v>3846</v>
      </c>
      <c r="H1172" s="18" t="s">
        <v>73</v>
      </c>
      <c r="I1172" s="18" t="s">
        <v>74</v>
      </c>
      <c r="J1172" s="16">
        <v>2026</v>
      </c>
      <c r="K1172" s="18" t="s">
        <v>3847</v>
      </c>
      <c r="L1172" s="16">
        <v>9785002232277</v>
      </c>
      <c r="M1172" s="18" t="s">
        <v>3848</v>
      </c>
      <c r="N1172" s="16">
        <v>472</v>
      </c>
      <c r="O1172" s="19">
        <v>0.65</v>
      </c>
      <c r="P1172" s="16">
        <v>150</v>
      </c>
      <c r="Q1172" s="16">
        <v>220</v>
      </c>
      <c r="R1172" s="16">
        <v>8</v>
      </c>
      <c r="S1172" s="18" t="s">
        <v>43</v>
      </c>
      <c r="T1172" s="18"/>
      <c r="U1172" s="17">
        <v>3000</v>
      </c>
      <c r="V1172" s="18" t="s">
        <v>77</v>
      </c>
      <c r="W1172" s="18" t="s">
        <v>45</v>
      </c>
      <c r="X1172" s="16">
        <v>10</v>
      </c>
      <c r="Y1172" s="43" t="str">
        <f>HYPERLINK("https://api-enni.alpina.ru/FilePrivilegesApproval/1082","https://api-enni.alpina.ru/FilePrivilegesApproval/1082")</f>
        <v>https://api-enni.alpina.ru/FilePrivilegesApproval/1082</v>
      </c>
      <c r="Z1172" s="18"/>
      <c r="AS1172" s="1">
        <f>IF($A1172&lt;&gt;0,1,0)</f>
        <v>0</v>
      </c>
      <c r="AT1172" s="1">
        <f>$A1172*$B1172</f>
        <v>0</v>
      </c>
      <c r="AU1172" s="1">
        <f>$A1172*$O1172</f>
        <v>0</v>
      </c>
      <c r="AV1172" s="1">
        <f>IF($R1172=0,0,INT($A1172/$R1172))</f>
        <v>0</v>
      </c>
      <c r="AW1172" s="1">
        <f>$A1172-$AV1172*$R1172</f>
        <v>0</v>
      </c>
    </row>
    <row r="1173" ht="24.95" customHeight="1" outlineLevel="3" s="1" customFormat="1">
      <c r="A1173" s="15"/>
      <c r="B1173" s="16">
        <v>790</v>
      </c>
      <c r="C1173" s="17">
        <v>1146</v>
      </c>
      <c r="D1173" s="16">
        <v>37486</v>
      </c>
      <c r="E1173" s="18"/>
      <c r="F1173" s="18" t="s">
        <v>3845</v>
      </c>
      <c r="G1173" s="18" t="s">
        <v>3849</v>
      </c>
      <c r="H1173" s="18" t="s">
        <v>73</v>
      </c>
      <c r="I1173" s="18" t="s">
        <v>74</v>
      </c>
      <c r="J1173" s="16">
        <v>2026</v>
      </c>
      <c r="K1173" s="18" t="s">
        <v>3850</v>
      </c>
      <c r="L1173" s="16">
        <v>9785002239818</v>
      </c>
      <c r="M1173" s="18" t="s">
        <v>3851</v>
      </c>
      <c r="N1173" s="16">
        <v>472</v>
      </c>
      <c r="O1173" s="19">
        <v>0.57</v>
      </c>
      <c r="P1173" s="16">
        <v>140</v>
      </c>
      <c r="Q1173" s="16">
        <v>210</v>
      </c>
      <c r="R1173" s="16">
        <v>10</v>
      </c>
      <c r="S1173" s="18" t="s">
        <v>43</v>
      </c>
      <c r="T1173" s="18"/>
      <c r="U1173" s="17">
        <v>3000</v>
      </c>
      <c r="V1173" s="18" t="s">
        <v>44</v>
      </c>
      <c r="W1173" s="18" t="s">
        <v>45</v>
      </c>
      <c r="X1173" s="16">
        <v>10</v>
      </c>
      <c r="Y1173" s="43" t="str">
        <f>HYPERLINK("https://api-enni.alpina.ru/FilePrivilegesApproval/1202","https://api-enni.alpina.ru/FilePrivilegesApproval/1202")</f>
        <v>https://api-enni.alpina.ru/FilePrivilegesApproval/1202</v>
      </c>
      <c r="Z1173" s="18" t="s">
        <v>144</v>
      </c>
      <c r="AS1173" s="1">
        <f>IF($A1173&lt;&gt;0,1,0)</f>
        <v>0</v>
      </c>
      <c r="AT1173" s="1">
        <f>$A1173*$B1173</f>
        <v>0</v>
      </c>
      <c r="AU1173" s="1">
        <f>$A1173*$O1173</f>
        <v>0</v>
      </c>
      <c r="AV1173" s="1">
        <f>IF($R1173=0,0,INT($A1173/$R1173))</f>
        <v>0</v>
      </c>
      <c r="AW1173" s="1">
        <f>$A1173-$AV1173*$R1173</f>
        <v>0</v>
      </c>
    </row>
    <row r="1174" ht="24.95" customHeight="1" outlineLevel="3" s="1" customFormat="1">
      <c r="A1174" s="15"/>
      <c r="B1174" s="16">
        <v>690</v>
      </c>
      <c r="C1174" s="17">
        <v>1035</v>
      </c>
      <c r="D1174" s="16">
        <v>19437</v>
      </c>
      <c r="E1174" s="18"/>
      <c r="F1174" s="18" t="s">
        <v>3852</v>
      </c>
      <c r="G1174" s="18" t="s">
        <v>3853</v>
      </c>
      <c r="H1174" s="18" t="s">
        <v>86</v>
      </c>
      <c r="I1174" s="18" t="s">
        <v>74</v>
      </c>
      <c r="J1174" s="16">
        <v>2022</v>
      </c>
      <c r="K1174" s="18" t="s">
        <v>3854</v>
      </c>
      <c r="L1174" s="16">
        <v>9785961477108</v>
      </c>
      <c r="M1174" s="18" t="s">
        <v>3855</v>
      </c>
      <c r="N1174" s="16">
        <v>394</v>
      </c>
      <c r="O1174" s="19">
        <v>0.56</v>
      </c>
      <c r="P1174" s="16">
        <v>146</v>
      </c>
      <c r="Q1174" s="16">
        <v>216</v>
      </c>
      <c r="R1174" s="16">
        <v>10</v>
      </c>
      <c r="S1174" s="18" t="s">
        <v>43</v>
      </c>
      <c r="T1174" s="18"/>
      <c r="U1174" s="17">
        <v>1500</v>
      </c>
      <c r="V1174" s="18" t="s">
        <v>77</v>
      </c>
      <c r="W1174" s="18" t="s">
        <v>45</v>
      </c>
      <c r="X1174" s="16">
        <v>10</v>
      </c>
      <c r="Y1174" s="43" t="str">
        <f>HYPERLINK("https://api-enni.alpina.ru/FilePrivilegesApproval/135","https://api-enni.alpina.ru/FilePrivilegesApproval/135")</f>
        <v>https://api-enni.alpina.ru/FilePrivilegesApproval/135</v>
      </c>
      <c r="Z1174" s="18"/>
      <c r="AS1174" s="1">
        <f>IF($A1174&lt;&gt;0,1,0)</f>
        <v>0</v>
      </c>
      <c r="AT1174" s="1">
        <f>$A1174*$B1174</f>
        <v>0</v>
      </c>
      <c r="AU1174" s="1">
        <f>$A1174*$O1174</f>
        <v>0</v>
      </c>
      <c r="AV1174" s="1">
        <f>IF($R1174=0,0,INT($A1174/$R1174))</f>
        <v>0</v>
      </c>
      <c r="AW1174" s="1">
        <f>$A1174-$AV1174*$R1174</f>
        <v>0</v>
      </c>
    </row>
    <row r="1175" ht="24.95" customHeight="1" outlineLevel="3" s="1" customFormat="1">
      <c r="A1175" s="25"/>
      <c r="B1175" s="26">
        <v>640</v>
      </c>
      <c r="C1175" s="26">
        <v>960</v>
      </c>
      <c r="D1175" s="26">
        <v>17054</v>
      </c>
      <c r="E1175" s="27"/>
      <c r="F1175" s="27" t="s">
        <v>3856</v>
      </c>
      <c r="G1175" s="27" t="s">
        <v>3857</v>
      </c>
      <c r="H1175" s="27" t="s">
        <v>86</v>
      </c>
      <c r="I1175" s="27" t="s">
        <v>74</v>
      </c>
      <c r="J1175" s="26">
        <v>2026</v>
      </c>
      <c r="K1175" s="27" t="s">
        <v>3858</v>
      </c>
      <c r="L1175" s="26">
        <v>9785961475821</v>
      </c>
      <c r="M1175" s="27" t="s">
        <v>3859</v>
      </c>
      <c r="N1175" s="26">
        <v>272</v>
      </c>
      <c r="O1175" s="28">
        <v>0.36</v>
      </c>
      <c r="P1175" s="26">
        <v>150</v>
      </c>
      <c r="Q1175" s="26">
        <v>220</v>
      </c>
      <c r="R1175" s="26">
        <v>10</v>
      </c>
      <c r="S1175" s="27" t="s">
        <v>43</v>
      </c>
      <c r="T1175" s="27"/>
      <c r="U1175" s="29">
        <v>1000</v>
      </c>
      <c r="V1175" s="27" t="s">
        <v>77</v>
      </c>
      <c r="W1175" s="27" t="s">
        <v>69</v>
      </c>
      <c r="X1175" s="26">
        <v>10</v>
      </c>
      <c r="Y1175" s="45" t="str">
        <f>HYPERLINK("https://api-enni.alpina.ru/FilePrivilegesApproval/156","https://api-enni.alpina.ru/FilePrivilegesApproval/156")</f>
        <v>https://api-enni.alpina.ru/FilePrivilegesApproval/156</v>
      </c>
      <c r="Z1175" s="27"/>
      <c r="AS1175" s="1">
        <f>IF($A1175&lt;&gt;0,1,0)</f>
        <v>0</v>
      </c>
      <c r="AT1175" s="1">
        <f>$A1175*$B1175</f>
        <v>0</v>
      </c>
      <c r="AU1175" s="1">
        <f>$A1175*$O1175</f>
        <v>0</v>
      </c>
      <c r="AV1175" s="1">
        <f>IF($R1175=0,0,INT($A1175/$R1175))</f>
        <v>0</v>
      </c>
      <c r="AW1175" s="1">
        <f>$A1175-$AV1175*$R1175</f>
        <v>0</v>
      </c>
    </row>
    <row r="1176" ht="24.95" customHeight="1" outlineLevel="3" s="1" customFormat="1">
      <c r="A1176" s="15"/>
      <c r="B1176" s="16">
        <v>840</v>
      </c>
      <c r="C1176" s="17">
        <v>1218</v>
      </c>
      <c r="D1176" s="16">
        <v>31031</v>
      </c>
      <c r="E1176" s="18"/>
      <c r="F1176" s="18" t="s">
        <v>3860</v>
      </c>
      <c r="G1176" s="18" t="s">
        <v>3861</v>
      </c>
      <c r="H1176" s="18" t="s">
        <v>73</v>
      </c>
      <c r="I1176" s="18"/>
      <c r="J1176" s="16">
        <v>2025</v>
      </c>
      <c r="K1176" s="18" t="s">
        <v>3862</v>
      </c>
      <c r="L1176" s="16">
        <v>9785002233212</v>
      </c>
      <c r="M1176" s="18" t="s">
        <v>3863</v>
      </c>
      <c r="N1176" s="16">
        <v>440</v>
      </c>
      <c r="O1176" s="19">
        <v>0.62</v>
      </c>
      <c r="P1176" s="16">
        <v>150</v>
      </c>
      <c r="Q1176" s="16">
        <v>220</v>
      </c>
      <c r="R1176" s="16">
        <v>10</v>
      </c>
      <c r="S1176" s="18" t="s">
        <v>43</v>
      </c>
      <c r="T1176" s="18"/>
      <c r="U1176" s="17">
        <v>2000</v>
      </c>
      <c r="V1176" s="18" t="s">
        <v>77</v>
      </c>
      <c r="W1176" s="18" t="s">
        <v>69</v>
      </c>
      <c r="X1176" s="16">
        <v>10</v>
      </c>
      <c r="Y1176" s="43" t="str">
        <f>HYPERLINK("https://api-enni.alpina.ru/FilePrivilegesApproval/929","https://api-enni.alpina.ru/FilePrivilegesApproval/929")</f>
        <v>https://api-enni.alpina.ru/FilePrivilegesApproval/929</v>
      </c>
      <c r="Z1176" s="18"/>
      <c r="AS1176" s="1">
        <f>IF($A1176&lt;&gt;0,1,0)</f>
        <v>0</v>
      </c>
      <c r="AT1176" s="1">
        <f>$A1176*$B1176</f>
        <v>0</v>
      </c>
      <c r="AU1176" s="1">
        <f>$A1176*$O1176</f>
        <v>0</v>
      </c>
      <c r="AV1176" s="1">
        <f>IF($R1176=0,0,INT($A1176/$R1176))</f>
        <v>0</v>
      </c>
      <c r="AW1176" s="1">
        <f>$A1176-$AV1176*$R1176</f>
        <v>0</v>
      </c>
    </row>
    <row r="1177" ht="21.95" customHeight="1" outlineLevel="3" s="1" customFormat="1">
      <c r="A1177" s="15"/>
      <c r="B1177" s="17">
        <v>1180</v>
      </c>
      <c r="C1177" s="17">
        <v>1593</v>
      </c>
      <c r="D1177" s="16">
        <v>34967</v>
      </c>
      <c r="E1177" s="18"/>
      <c r="F1177" s="18" t="s">
        <v>668</v>
      </c>
      <c r="G1177" s="18" t="s">
        <v>669</v>
      </c>
      <c r="H1177" s="18" t="s">
        <v>73</v>
      </c>
      <c r="I1177" s="18"/>
      <c r="J1177" s="16">
        <v>2026</v>
      </c>
      <c r="K1177" s="18" t="s">
        <v>670</v>
      </c>
      <c r="L1177" s="16">
        <v>9785002237227</v>
      </c>
      <c r="M1177" s="18" t="s">
        <v>671</v>
      </c>
      <c r="N1177" s="16">
        <v>664</v>
      </c>
      <c r="O1177" s="19">
        <v>1.16</v>
      </c>
      <c r="P1177" s="16">
        <v>170</v>
      </c>
      <c r="Q1177" s="16">
        <v>240</v>
      </c>
      <c r="R1177" s="16">
        <v>4</v>
      </c>
      <c r="S1177" s="18" t="s">
        <v>123</v>
      </c>
      <c r="T1177" s="18"/>
      <c r="U1177" s="17">
        <v>15000</v>
      </c>
      <c r="V1177" s="18" t="s">
        <v>77</v>
      </c>
      <c r="W1177" s="18" t="s">
        <v>45</v>
      </c>
      <c r="X1177" s="16">
        <v>22</v>
      </c>
      <c r="Y1177" s="43" t="str">
        <f>HYPERLINK("","")</f>
      </c>
      <c r="Z1177" s="18" t="s">
        <v>211</v>
      </c>
      <c r="AS1177" s="1">
        <f>IF($A1177&lt;&gt;0,1,0)</f>
        <v>0</v>
      </c>
      <c r="AT1177" s="1">
        <f>$A1177*$B1177</f>
        <v>0</v>
      </c>
      <c r="AU1177" s="1">
        <f>$A1177*$O1177</f>
        <v>0</v>
      </c>
      <c r="AV1177" s="1">
        <f>IF($R1177=0,0,INT($A1177/$R1177))</f>
        <v>0</v>
      </c>
      <c r="AW1177" s="1">
        <f>$A1177-$AV1177*$R1177</f>
        <v>0</v>
      </c>
    </row>
    <row r="1178" ht="24.95" customHeight="1" outlineLevel="3" s="1" customFormat="1">
      <c r="A1178" s="15"/>
      <c r="B1178" s="16">
        <v>830</v>
      </c>
      <c r="C1178" s="17">
        <v>1204</v>
      </c>
      <c r="D1178" s="16">
        <v>33308</v>
      </c>
      <c r="E1178" s="18"/>
      <c r="F1178" s="18" t="s">
        <v>3864</v>
      </c>
      <c r="G1178" s="18" t="s">
        <v>3865</v>
      </c>
      <c r="H1178" s="18" t="s">
        <v>73</v>
      </c>
      <c r="I1178" s="18"/>
      <c r="J1178" s="16">
        <v>2026</v>
      </c>
      <c r="K1178" s="18" t="s">
        <v>3866</v>
      </c>
      <c r="L1178" s="16">
        <v>9785002235582</v>
      </c>
      <c r="M1178" s="18" t="s">
        <v>3867</v>
      </c>
      <c r="N1178" s="16">
        <v>352</v>
      </c>
      <c r="O1178" s="19">
        <v>0.52</v>
      </c>
      <c r="P1178" s="16">
        <v>150</v>
      </c>
      <c r="Q1178" s="16">
        <v>220</v>
      </c>
      <c r="R1178" s="16">
        <v>12</v>
      </c>
      <c r="S1178" s="18" t="s">
        <v>43</v>
      </c>
      <c r="T1178" s="18"/>
      <c r="U1178" s="17">
        <v>2000</v>
      </c>
      <c r="V1178" s="18" t="s">
        <v>77</v>
      </c>
      <c r="W1178" s="18" t="s">
        <v>69</v>
      </c>
      <c r="X1178" s="16">
        <v>10</v>
      </c>
      <c r="Y1178" s="43" t="str">
        <f>HYPERLINK("https://api-enni.alpina.ru/FilePrivilegesApproval/1107","https://api-enni.alpina.ru/FilePrivilegesApproval/1107")</f>
        <v>https://api-enni.alpina.ru/FilePrivilegesApproval/1107</v>
      </c>
      <c r="Z1178" s="18" t="s">
        <v>1958</v>
      </c>
      <c r="AS1178" s="1">
        <f>IF($A1178&lt;&gt;0,1,0)</f>
        <v>0</v>
      </c>
      <c r="AT1178" s="1">
        <f>$A1178*$B1178</f>
        <v>0</v>
      </c>
      <c r="AU1178" s="1">
        <f>$A1178*$O1178</f>
        <v>0</v>
      </c>
      <c r="AV1178" s="1">
        <f>IF($R1178=0,0,INT($A1178/$R1178))</f>
        <v>0</v>
      </c>
      <c r="AW1178" s="1">
        <f>$A1178-$AV1178*$R1178</f>
        <v>0</v>
      </c>
    </row>
    <row r="1179" ht="24.95" customHeight="1" outlineLevel="3" s="1" customFormat="1">
      <c r="A1179" s="15"/>
      <c r="B1179" s="16">
        <v>890</v>
      </c>
      <c r="C1179" s="17">
        <v>1246</v>
      </c>
      <c r="D1179" s="16">
        <v>27724</v>
      </c>
      <c r="E1179" s="18"/>
      <c r="F1179" s="18" t="s">
        <v>3868</v>
      </c>
      <c r="G1179" s="18" t="s">
        <v>3869</v>
      </c>
      <c r="H1179" s="18" t="s">
        <v>73</v>
      </c>
      <c r="I1179" s="18" t="s">
        <v>74</v>
      </c>
      <c r="J1179" s="16">
        <v>2025</v>
      </c>
      <c r="K1179" s="18" t="s">
        <v>3870</v>
      </c>
      <c r="L1179" s="16">
        <v>9785001399506</v>
      </c>
      <c r="M1179" s="18" t="s">
        <v>3871</v>
      </c>
      <c r="N1179" s="16">
        <v>404</v>
      </c>
      <c r="O1179" s="19">
        <v>0.44</v>
      </c>
      <c r="P1179" s="16">
        <v>150</v>
      </c>
      <c r="Q1179" s="16">
        <v>220</v>
      </c>
      <c r="R1179" s="16">
        <v>10</v>
      </c>
      <c r="S1179" s="18" t="s">
        <v>43</v>
      </c>
      <c r="T1179" s="18"/>
      <c r="U1179" s="17">
        <v>1500</v>
      </c>
      <c r="V1179" s="18" t="s">
        <v>77</v>
      </c>
      <c r="W1179" s="18" t="s">
        <v>69</v>
      </c>
      <c r="X1179" s="16">
        <v>10</v>
      </c>
      <c r="Y1179" s="43" t="str">
        <f>HYPERLINK("https://api-enni.alpina.ru/FilePrivilegesApproval/752","https://api-enni.alpina.ru/FilePrivilegesApproval/752")</f>
        <v>https://api-enni.alpina.ru/FilePrivilegesApproval/752</v>
      </c>
      <c r="Z1179" s="18"/>
      <c r="AS1179" s="1">
        <f>IF($A1179&lt;&gt;0,1,0)</f>
        <v>0</v>
      </c>
      <c r="AT1179" s="1">
        <f>$A1179*$B1179</f>
        <v>0</v>
      </c>
      <c r="AU1179" s="1">
        <f>$A1179*$O1179</f>
        <v>0</v>
      </c>
      <c r="AV1179" s="1">
        <f>IF($R1179=0,0,INT($A1179/$R1179))</f>
        <v>0</v>
      </c>
      <c r="AW1179" s="1">
        <f>$A1179-$AV1179*$R1179</f>
        <v>0</v>
      </c>
    </row>
    <row r="1180" ht="24.95" customHeight="1" outlineLevel="3" s="1" customFormat="1">
      <c r="A1180" s="15"/>
      <c r="B1180" s="16">
        <v>690</v>
      </c>
      <c r="C1180" s="17">
        <v>1035</v>
      </c>
      <c r="D1180" s="16">
        <v>20785</v>
      </c>
      <c r="E1180" s="18"/>
      <c r="F1180" s="18" t="s">
        <v>3872</v>
      </c>
      <c r="G1180" s="18" t="s">
        <v>3873</v>
      </c>
      <c r="H1180" s="18" t="s">
        <v>95</v>
      </c>
      <c r="I1180" s="18" t="s">
        <v>74</v>
      </c>
      <c r="J1180" s="16">
        <v>2021</v>
      </c>
      <c r="K1180" s="18" t="s">
        <v>3874</v>
      </c>
      <c r="L1180" s="16">
        <v>9785907394810</v>
      </c>
      <c r="M1180" s="18" t="s">
        <v>3875</v>
      </c>
      <c r="N1180" s="16">
        <v>182</v>
      </c>
      <c r="O1180" s="19">
        <v>0.32</v>
      </c>
      <c r="P1180" s="16">
        <v>150</v>
      </c>
      <c r="Q1180" s="16">
        <v>220</v>
      </c>
      <c r="R1180" s="16">
        <v>14</v>
      </c>
      <c r="S1180" s="18" t="s">
        <v>43</v>
      </c>
      <c r="T1180" s="18"/>
      <c r="U1180" s="17">
        <v>3000</v>
      </c>
      <c r="V1180" s="18" t="s">
        <v>77</v>
      </c>
      <c r="W1180" s="18" t="s">
        <v>91</v>
      </c>
      <c r="X1180" s="16">
        <v>10</v>
      </c>
      <c r="Y1180" s="43" t="str">
        <f>HYPERLINK("https://api-enni.alpina.ru/FilePrivilegesApproval/116","https://api-enni.alpina.ru/FilePrivilegesApproval/116")</f>
        <v>https://api-enni.alpina.ru/FilePrivilegesApproval/116</v>
      </c>
      <c r="Z1180" s="18"/>
      <c r="AS1180" s="1">
        <f>IF($A1180&lt;&gt;0,1,0)</f>
        <v>0</v>
      </c>
      <c r="AT1180" s="1">
        <f>$A1180*$B1180</f>
        <v>0</v>
      </c>
      <c r="AU1180" s="1">
        <f>$A1180*$O1180</f>
        <v>0</v>
      </c>
      <c r="AV1180" s="1">
        <f>IF($R1180=0,0,INT($A1180/$R1180))</f>
        <v>0</v>
      </c>
      <c r="AW1180" s="1">
        <f>$A1180-$AV1180*$R1180</f>
        <v>0</v>
      </c>
    </row>
    <row r="1181" ht="24.95" customHeight="1" outlineLevel="3" s="1" customFormat="1">
      <c r="A1181" s="15"/>
      <c r="B1181" s="17">
        <v>1290</v>
      </c>
      <c r="C1181" s="17">
        <v>1742</v>
      </c>
      <c r="D1181" s="16">
        <v>34815</v>
      </c>
      <c r="E1181" s="18"/>
      <c r="F1181" s="18" t="s">
        <v>3813</v>
      </c>
      <c r="G1181" s="18" t="s">
        <v>3876</v>
      </c>
      <c r="H1181" s="18" t="s">
        <v>73</v>
      </c>
      <c r="I1181" s="18"/>
      <c r="J1181" s="16">
        <v>2026</v>
      </c>
      <c r="K1181" s="18" t="s">
        <v>3877</v>
      </c>
      <c r="L1181" s="16">
        <v>9785002236961</v>
      </c>
      <c r="M1181" s="18" t="s">
        <v>3878</v>
      </c>
      <c r="N1181" s="16">
        <v>832</v>
      </c>
      <c r="O1181" s="19">
        <v>1.17</v>
      </c>
      <c r="P1181" s="16">
        <v>170</v>
      </c>
      <c r="Q1181" s="16">
        <v>240</v>
      </c>
      <c r="R1181" s="16">
        <v>3</v>
      </c>
      <c r="S1181" s="18" t="s">
        <v>123</v>
      </c>
      <c r="T1181" s="18"/>
      <c r="U1181" s="17">
        <v>4000</v>
      </c>
      <c r="V1181" s="18" t="s">
        <v>77</v>
      </c>
      <c r="W1181" s="18" t="s">
        <v>69</v>
      </c>
      <c r="X1181" s="16">
        <v>10</v>
      </c>
      <c r="Y1181" s="43" t="str">
        <f>HYPERLINK("https://api-enni.alpina.ru/FilePrivilegesApproval/1015","https://api-enni.alpina.ru/FilePrivilegesApproval/1015")</f>
        <v>https://api-enni.alpina.ru/FilePrivilegesApproval/1015</v>
      </c>
      <c r="Z1181" s="18"/>
      <c r="AS1181" s="1">
        <f>IF($A1181&lt;&gt;0,1,0)</f>
        <v>0</v>
      </c>
      <c r="AT1181" s="1">
        <f>$A1181*$B1181</f>
        <v>0</v>
      </c>
      <c r="AU1181" s="1">
        <f>$A1181*$O1181</f>
        <v>0</v>
      </c>
      <c r="AV1181" s="1">
        <f>IF($R1181=0,0,INT($A1181/$R1181))</f>
        <v>0</v>
      </c>
      <c r="AW1181" s="1">
        <f>$A1181-$AV1181*$R1181</f>
        <v>0</v>
      </c>
    </row>
    <row r="1182" ht="24.95" customHeight="1" outlineLevel="3" s="1" customFormat="1">
      <c r="A1182" s="15"/>
      <c r="B1182" s="16">
        <v>590</v>
      </c>
      <c r="C1182" s="16">
        <v>885</v>
      </c>
      <c r="D1182" s="16">
        <v>34292</v>
      </c>
      <c r="E1182" s="18"/>
      <c r="F1182" s="18" t="s">
        <v>3044</v>
      </c>
      <c r="G1182" s="18" t="s">
        <v>3879</v>
      </c>
      <c r="H1182" s="18" t="s">
        <v>86</v>
      </c>
      <c r="I1182" s="18"/>
      <c r="J1182" s="16">
        <v>2025</v>
      </c>
      <c r="K1182" s="18" t="s">
        <v>3880</v>
      </c>
      <c r="L1182" s="16">
        <v>9785006307094</v>
      </c>
      <c r="M1182" s="18" t="s">
        <v>3881</v>
      </c>
      <c r="N1182" s="16">
        <v>232</v>
      </c>
      <c r="O1182" s="19">
        <v>0.38</v>
      </c>
      <c r="P1182" s="16">
        <v>150</v>
      </c>
      <c r="Q1182" s="16">
        <v>220</v>
      </c>
      <c r="R1182" s="16">
        <v>16</v>
      </c>
      <c r="S1182" s="18" t="s">
        <v>43</v>
      </c>
      <c r="T1182" s="18"/>
      <c r="U1182" s="17">
        <v>2000</v>
      </c>
      <c r="V1182" s="18" t="s">
        <v>77</v>
      </c>
      <c r="W1182" s="18" t="s">
        <v>45</v>
      </c>
      <c r="X1182" s="16">
        <v>10</v>
      </c>
      <c r="Y1182" s="43" t="str">
        <f>HYPERLINK("https://api-enni.alpina.ru/FilePrivilegesApproval/945","https://api-enni.alpina.ru/FilePrivilegesApproval/945")</f>
        <v>https://api-enni.alpina.ru/FilePrivilegesApproval/945</v>
      </c>
      <c r="Z1182" s="18"/>
      <c r="AS1182" s="1">
        <f>IF($A1182&lt;&gt;0,1,0)</f>
        <v>0</v>
      </c>
      <c r="AT1182" s="1">
        <f>$A1182*$B1182</f>
        <v>0</v>
      </c>
      <c r="AU1182" s="1">
        <f>$A1182*$O1182</f>
        <v>0</v>
      </c>
      <c r="AV1182" s="1">
        <f>IF($R1182=0,0,INT($A1182/$R1182))</f>
        <v>0</v>
      </c>
      <c r="AW1182" s="1">
        <f>$A1182-$AV1182*$R1182</f>
        <v>0</v>
      </c>
    </row>
    <row r="1183" ht="24.95" customHeight="1" outlineLevel="3" s="1" customFormat="1">
      <c r="A1183" s="15"/>
      <c r="B1183" s="16">
        <v>690</v>
      </c>
      <c r="C1183" s="17">
        <v>1035</v>
      </c>
      <c r="D1183" s="16">
        <v>27039</v>
      </c>
      <c r="E1183" s="18"/>
      <c r="F1183" s="18" t="s">
        <v>3882</v>
      </c>
      <c r="G1183" s="18" t="s">
        <v>3883</v>
      </c>
      <c r="H1183" s="18" t="s">
        <v>86</v>
      </c>
      <c r="I1183" s="18" t="s">
        <v>87</v>
      </c>
      <c r="J1183" s="16">
        <v>2026</v>
      </c>
      <c r="K1183" s="18" t="s">
        <v>3884</v>
      </c>
      <c r="L1183" s="16">
        <v>9785961483253</v>
      </c>
      <c r="M1183" s="18" t="s">
        <v>3885</v>
      </c>
      <c r="N1183" s="16">
        <v>260</v>
      </c>
      <c r="O1183" s="19">
        <v>0.42</v>
      </c>
      <c r="P1183" s="16">
        <v>150</v>
      </c>
      <c r="Q1183" s="16">
        <v>220</v>
      </c>
      <c r="R1183" s="16">
        <v>10</v>
      </c>
      <c r="S1183" s="18" t="s">
        <v>43</v>
      </c>
      <c r="T1183" s="18"/>
      <c r="U1183" s="17">
        <v>1000</v>
      </c>
      <c r="V1183" s="18" t="s">
        <v>77</v>
      </c>
      <c r="W1183" s="18" t="s">
        <v>45</v>
      </c>
      <c r="X1183" s="16">
        <v>10</v>
      </c>
      <c r="Y1183" s="43" t="str">
        <f>HYPERLINK("https://api-enni.alpina.ru/FilePrivilegesApproval/287","https://api-enni.alpina.ru/FilePrivilegesApproval/287")</f>
        <v>https://api-enni.alpina.ru/FilePrivilegesApproval/287</v>
      </c>
      <c r="Z1183" s="18" t="s">
        <v>629</v>
      </c>
      <c r="AS1183" s="1">
        <f>IF($A1183&lt;&gt;0,1,0)</f>
        <v>0</v>
      </c>
      <c r="AT1183" s="1">
        <f>$A1183*$B1183</f>
        <v>0</v>
      </c>
      <c r="AU1183" s="1">
        <f>$A1183*$O1183</f>
        <v>0</v>
      </c>
      <c r="AV1183" s="1">
        <f>IF($R1183=0,0,INT($A1183/$R1183))</f>
        <v>0</v>
      </c>
      <c r="AW1183" s="1">
        <f>$A1183-$AV1183*$R1183</f>
        <v>0</v>
      </c>
    </row>
    <row r="1184" ht="24.95" customHeight="1" outlineLevel="3" s="1" customFormat="1">
      <c r="A1184" s="15"/>
      <c r="B1184" s="16">
        <v>540</v>
      </c>
      <c r="C1184" s="16">
        <v>837</v>
      </c>
      <c r="D1184" s="16">
        <v>31981</v>
      </c>
      <c r="E1184" s="18"/>
      <c r="F1184" s="18" t="s">
        <v>713</v>
      </c>
      <c r="G1184" s="18" t="s">
        <v>3886</v>
      </c>
      <c r="H1184" s="18" t="s">
        <v>86</v>
      </c>
      <c r="I1184" s="18"/>
      <c r="J1184" s="16">
        <v>2025</v>
      </c>
      <c r="K1184" s="18" t="s">
        <v>3887</v>
      </c>
      <c r="L1184" s="16">
        <v>9785006300798</v>
      </c>
      <c r="M1184" s="18" t="s">
        <v>3888</v>
      </c>
      <c r="N1184" s="16">
        <v>252</v>
      </c>
      <c r="O1184" s="19">
        <v>0.41</v>
      </c>
      <c r="P1184" s="16">
        <v>150</v>
      </c>
      <c r="Q1184" s="16">
        <v>220</v>
      </c>
      <c r="R1184" s="16">
        <v>16</v>
      </c>
      <c r="S1184" s="18" t="s">
        <v>43</v>
      </c>
      <c r="T1184" s="18"/>
      <c r="U1184" s="17">
        <v>3000</v>
      </c>
      <c r="V1184" s="18" t="s">
        <v>77</v>
      </c>
      <c r="W1184" s="18" t="s">
        <v>69</v>
      </c>
      <c r="X1184" s="16">
        <v>10</v>
      </c>
      <c r="Y1184" s="43" t="str">
        <f>HYPERLINK("https://api-enni.alpina.ru/FilePrivilegesApproval/831","https://api-enni.alpina.ru/FilePrivilegesApproval/831")</f>
        <v>https://api-enni.alpina.ru/FilePrivilegesApproval/831</v>
      </c>
      <c r="Z1184" s="18"/>
      <c r="AS1184" s="1">
        <f>IF($A1184&lt;&gt;0,1,0)</f>
        <v>0</v>
      </c>
      <c r="AT1184" s="1">
        <f>$A1184*$B1184</f>
        <v>0</v>
      </c>
      <c r="AU1184" s="1">
        <f>$A1184*$O1184</f>
        <v>0</v>
      </c>
      <c r="AV1184" s="1">
        <f>IF($R1184=0,0,INT($A1184/$R1184))</f>
        <v>0</v>
      </c>
      <c r="AW1184" s="1">
        <f>$A1184-$AV1184*$R1184</f>
        <v>0</v>
      </c>
    </row>
    <row r="1185" ht="24.95" customHeight="1" outlineLevel="3" s="1" customFormat="1">
      <c r="A1185" s="15"/>
      <c r="B1185" s="16">
        <v>750</v>
      </c>
      <c r="C1185" s="17">
        <v>1088</v>
      </c>
      <c r="D1185" s="16">
        <v>26564</v>
      </c>
      <c r="E1185" s="18"/>
      <c r="F1185" s="18" t="s">
        <v>3889</v>
      </c>
      <c r="G1185" s="18" t="s">
        <v>3890</v>
      </c>
      <c r="H1185" s="18" t="s">
        <v>95</v>
      </c>
      <c r="I1185" s="18"/>
      <c r="J1185" s="16">
        <v>2023</v>
      </c>
      <c r="K1185" s="18" t="s">
        <v>3891</v>
      </c>
      <c r="L1185" s="16">
        <v>9785206000900</v>
      </c>
      <c r="M1185" s="18" t="s">
        <v>3892</v>
      </c>
      <c r="N1185" s="16">
        <v>312</v>
      </c>
      <c r="O1185" s="19">
        <v>0.5</v>
      </c>
      <c r="P1185" s="16">
        <v>160</v>
      </c>
      <c r="Q1185" s="16">
        <v>220</v>
      </c>
      <c r="R1185" s="16">
        <v>8</v>
      </c>
      <c r="S1185" s="18" t="s">
        <v>43</v>
      </c>
      <c r="T1185" s="18"/>
      <c r="U1185" s="17">
        <v>3000</v>
      </c>
      <c r="V1185" s="18" t="s">
        <v>77</v>
      </c>
      <c r="W1185" s="18" t="s">
        <v>45</v>
      </c>
      <c r="X1185" s="16">
        <v>10</v>
      </c>
      <c r="Y1185" s="43" t="str">
        <f>HYPERLINK("https://api-enni.alpina.ru/FilePrivilegesApproval/168","https://api-enni.alpina.ru/FilePrivilegesApproval/168")</f>
        <v>https://api-enni.alpina.ru/FilePrivilegesApproval/168</v>
      </c>
      <c r="Z1185" s="18"/>
      <c r="AS1185" s="1">
        <f>IF($A1185&lt;&gt;0,1,0)</f>
        <v>0</v>
      </c>
      <c r="AT1185" s="1">
        <f>$A1185*$B1185</f>
        <v>0</v>
      </c>
      <c r="AU1185" s="1">
        <f>$A1185*$O1185</f>
        <v>0</v>
      </c>
      <c r="AV1185" s="1">
        <f>IF($R1185=0,0,INT($A1185/$R1185))</f>
        <v>0</v>
      </c>
      <c r="AW1185" s="1">
        <f>$A1185-$AV1185*$R1185</f>
        <v>0</v>
      </c>
    </row>
    <row r="1186" ht="24.95" customHeight="1" outlineLevel="3" s="1" customFormat="1">
      <c r="A1186" s="15"/>
      <c r="B1186" s="17">
        <v>1890</v>
      </c>
      <c r="C1186" s="17">
        <v>2457</v>
      </c>
      <c r="D1186" s="16">
        <v>11478</v>
      </c>
      <c r="E1186" s="18"/>
      <c r="F1186" s="18" t="s">
        <v>3893</v>
      </c>
      <c r="G1186" s="18" t="s">
        <v>3894</v>
      </c>
      <c r="H1186" s="18" t="s">
        <v>73</v>
      </c>
      <c r="I1186" s="18" t="s">
        <v>74</v>
      </c>
      <c r="J1186" s="16">
        <v>2023</v>
      </c>
      <c r="K1186" s="18" t="s">
        <v>3895</v>
      </c>
      <c r="L1186" s="16">
        <v>9785001399650</v>
      </c>
      <c r="M1186" s="18" t="s">
        <v>3896</v>
      </c>
      <c r="N1186" s="16">
        <v>944</v>
      </c>
      <c r="O1186" s="19">
        <v>1.3</v>
      </c>
      <c r="P1186" s="16">
        <v>170</v>
      </c>
      <c r="Q1186" s="16">
        <v>250</v>
      </c>
      <c r="R1186" s="16">
        <v>3</v>
      </c>
      <c r="S1186" s="18" t="s">
        <v>123</v>
      </c>
      <c r="T1186" s="18"/>
      <c r="U1186" s="17">
        <v>2000</v>
      </c>
      <c r="V1186" s="18" t="s">
        <v>77</v>
      </c>
      <c r="W1186" s="18" t="s">
        <v>69</v>
      </c>
      <c r="X1186" s="16">
        <v>10</v>
      </c>
      <c r="Y1186" s="43" t="str">
        <f>HYPERLINK("https://api-enni.alpina.ru/FilePrivilegesApproval/225","https://api-enni.alpina.ru/FilePrivilegesApproval/225")</f>
        <v>https://api-enni.alpina.ru/FilePrivilegesApproval/225</v>
      </c>
      <c r="Z1186" s="18"/>
      <c r="AS1186" s="1">
        <f>IF($A1186&lt;&gt;0,1,0)</f>
        <v>0</v>
      </c>
      <c r="AT1186" s="1">
        <f>$A1186*$B1186</f>
        <v>0</v>
      </c>
      <c r="AU1186" s="1">
        <f>$A1186*$O1186</f>
        <v>0</v>
      </c>
      <c r="AV1186" s="1">
        <f>IF($R1186=0,0,INT($A1186/$R1186))</f>
        <v>0</v>
      </c>
      <c r="AW1186" s="1">
        <f>$A1186-$AV1186*$R1186</f>
        <v>0</v>
      </c>
    </row>
    <row r="1187" ht="21.95" customHeight="1" outlineLevel="3" s="1" customFormat="1">
      <c r="A1187" s="15"/>
      <c r="B1187" s="16">
        <v>890</v>
      </c>
      <c r="C1187" s="17">
        <v>1246</v>
      </c>
      <c r="D1187" s="16">
        <v>34622</v>
      </c>
      <c r="E1187" s="18"/>
      <c r="F1187" s="18" t="s">
        <v>247</v>
      </c>
      <c r="G1187" s="18" t="s">
        <v>248</v>
      </c>
      <c r="H1187" s="18" t="s">
        <v>86</v>
      </c>
      <c r="I1187" s="18" t="s">
        <v>160</v>
      </c>
      <c r="J1187" s="16">
        <v>2026</v>
      </c>
      <c r="K1187" s="18" t="s">
        <v>249</v>
      </c>
      <c r="L1187" s="16">
        <v>9785006308336</v>
      </c>
      <c r="M1187" s="18" t="s">
        <v>250</v>
      </c>
      <c r="N1187" s="16">
        <v>212</v>
      </c>
      <c r="O1187" s="19">
        <v>0.37</v>
      </c>
      <c r="P1187" s="16">
        <v>150</v>
      </c>
      <c r="Q1187" s="16">
        <v>220</v>
      </c>
      <c r="R1187" s="16">
        <v>14</v>
      </c>
      <c r="S1187" s="18" t="s">
        <v>43</v>
      </c>
      <c r="T1187" s="18"/>
      <c r="U1187" s="17">
        <v>3000</v>
      </c>
      <c r="V1187" s="18" t="s">
        <v>77</v>
      </c>
      <c r="W1187" s="18" t="s">
        <v>45</v>
      </c>
      <c r="X1187" s="16">
        <v>10</v>
      </c>
      <c r="Y1187" s="43" t="str">
        <f>HYPERLINK("","")</f>
      </c>
      <c r="Z1187" s="18" t="s">
        <v>251</v>
      </c>
      <c r="AS1187" s="1">
        <f>IF($A1187&lt;&gt;0,1,0)</f>
        <v>0</v>
      </c>
      <c r="AT1187" s="1">
        <f>$A1187*$B1187</f>
        <v>0</v>
      </c>
      <c r="AU1187" s="1">
        <f>$A1187*$O1187</f>
        <v>0</v>
      </c>
      <c r="AV1187" s="1">
        <f>IF($R1187=0,0,INT($A1187/$R1187))</f>
        <v>0</v>
      </c>
      <c r="AW1187" s="1">
        <f>$A1187-$AV1187*$R1187</f>
        <v>0</v>
      </c>
    </row>
    <row r="1188" ht="24.95" customHeight="1" outlineLevel="3" s="1" customFormat="1">
      <c r="A1188" s="15"/>
      <c r="B1188" s="16">
        <v>890</v>
      </c>
      <c r="C1188" s="17">
        <v>1246</v>
      </c>
      <c r="D1188" s="16">
        <v>31663</v>
      </c>
      <c r="E1188" s="18"/>
      <c r="F1188" s="18" t="s">
        <v>3897</v>
      </c>
      <c r="G1188" s="18" t="s">
        <v>3898</v>
      </c>
      <c r="H1188" s="18" t="s">
        <v>86</v>
      </c>
      <c r="I1188" s="18"/>
      <c r="J1188" s="16">
        <v>2025</v>
      </c>
      <c r="K1188" s="18" t="s">
        <v>3899</v>
      </c>
      <c r="L1188" s="16">
        <v>9785961499797</v>
      </c>
      <c r="M1188" s="18" t="s">
        <v>3900</v>
      </c>
      <c r="N1188" s="16">
        <v>496</v>
      </c>
      <c r="O1188" s="19">
        <v>0.68</v>
      </c>
      <c r="P1188" s="16">
        <v>150</v>
      </c>
      <c r="Q1188" s="16">
        <v>220</v>
      </c>
      <c r="R1188" s="16">
        <v>5</v>
      </c>
      <c r="S1188" s="18" t="s">
        <v>43</v>
      </c>
      <c r="T1188" s="18"/>
      <c r="U1188" s="17">
        <v>1000</v>
      </c>
      <c r="V1188" s="18" t="s">
        <v>77</v>
      </c>
      <c r="W1188" s="18" t="s">
        <v>69</v>
      </c>
      <c r="X1188" s="16">
        <v>10</v>
      </c>
      <c r="Y1188" s="43" t="str">
        <f>HYPERLINK("https://api-enni.alpina.ru/FilePrivilegesApproval/724","https://api-enni.alpina.ru/FilePrivilegesApproval/724")</f>
        <v>https://api-enni.alpina.ru/FilePrivilegesApproval/724</v>
      </c>
      <c r="Z1188" s="18"/>
      <c r="AS1188" s="1">
        <f>IF($A1188&lt;&gt;0,1,0)</f>
        <v>0</v>
      </c>
      <c r="AT1188" s="1">
        <f>$A1188*$B1188</f>
        <v>0</v>
      </c>
      <c r="AU1188" s="1">
        <f>$A1188*$O1188</f>
        <v>0</v>
      </c>
      <c r="AV1188" s="1">
        <f>IF($R1188=0,0,INT($A1188/$R1188))</f>
        <v>0</v>
      </c>
      <c r="AW1188" s="1">
        <f>$A1188-$AV1188*$R1188</f>
        <v>0</v>
      </c>
    </row>
    <row r="1189" ht="24.95" customHeight="1" outlineLevel="3" s="1" customFormat="1">
      <c r="A1189" s="15"/>
      <c r="B1189" s="17">
        <v>1290</v>
      </c>
      <c r="C1189" s="17">
        <v>1742</v>
      </c>
      <c r="D1189" s="16">
        <v>2914</v>
      </c>
      <c r="E1189" s="18"/>
      <c r="F1189" s="18" t="s">
        <v>3473</v>
      </c>
      <c r="G1189" s="18" t="s">
        <v>3901</v>
      </c>
      <c r="H1189" s="18" t="s">
        <v>73</v>
      </c>
      <c r="I1189" s="18" t="s">
        <v>74</v>
      </c>
      <c r="J1189" s="16">
        <v>2023</v>
      </c>
      <c r="K1189" s="18" t="s">
        <v>3902</v>
      </c>
      <c r="L1189" s="16">
        <v>9785001394518</v>
      </c>
      <c r="M1189" s="18" t="s">
        <v>3903</v>
      </c>
      <c r="N1189" s="16">
        <v>660</v>
      </c>
      <c r="O1189" s="19">
        <v>0.74</v>
      </c>
      <c r="P1189" s="16">
        <v>146</v>
      </c>
      <c r="Q1189" s="16">
        <v>216</v>
      </c>
      <c r="R1189" s="16">
        <v>4</v>
      </c>
      <c r="S1189" s="18" t="s">
        <v>43</v>
      </c>
      <c r="T1189" s="18"/>
      <c r="U1189" s="17">
        <v>1000</v>
      </c>
      <c r="V1189" s="18" t="s">
        <v>77</v>
      </c>
      <c r="W1189" s="18" t="s">
        <v>91</v>
      </c>
      <c r="X1189" s="16">
        <v>10</v>
      </c>
      <c r="Y1189" s="43" t="str">
        <f>HYPERLINK("https://api-enni.alpina.ru/FilePrivilegesApproval/260","https://api-enni.alpina.ru/FilePrivilegesApproval/260")</f>
        <v>https://api-enni.alpina.ru/FilePrivilegesApproval/260</v>
      </c>
      <c r="Z1189" s="18"/>
      <c r="AS1189" s="1">
        <f>IF($A1189&lt;&gt;0,1,0)</f>
        <v>0</v>
      </c>
      <c r="AT1189" s="1">
        <f>$A1189*$B1189</f>
        <v>0</v>
      </c>
      <c r="AU1189" s="1">
        <f>$A1189*$O1189</f>
        <v>0</v>
      </c>
      <c r="AV1189" s="1">
        <f>IF($R1189=0,0,INT($A1189/$R1189))</f>
        <v>0</v>
      </c>
      <c r="AW1189" s="1">
        <f>$A1189-$AV1189*$R1189</f>
        <v>0</v>
      </c>
    </row>
    <row r="1190" ht="24.95" customHeight="1" outlineLevel="3" s="1" customFormat="1">
      <c r="A1190" s="15"/>
      <c r="B1190" s="16">
        <v>390</v>
      </c>
      <c r="C1190" s="16">
        <v>624</v>
      </c>
      <c r="D1190" s="16">
        <v>29052</v>
      </c>
      <c r="E1190" s="18"/>
      <c r="F1190" s="18" t="s">
        <v>3904</v>
      </c>
      <c r="G1190" s="18" t="s">
        <v>3905</v>
      </c>
      <c r="H1190" s="18" t="s">
        <v>86</v>
      </c>
      <c r="I1190" s="18" t="s">
        <v>74</v>
      </c>
      <c r="J1190" s="16">
        <v>2023</v>
      </c>
      <c r="K1190" s="18" t="s">
        <v>3906</v>
      </c>
      <c r="L1190" s="16">
        <v>9785961491234</v>
      </c>
      <c r="M1190" s="18" t="s">
        <v>3907</v>
      </c>
      <c r="N1190" s="16">
        <v>542</v>
      </c>
      <c r="O1190" s="19">
        <v>0.36</v>
      </c>
      <c r="P1190" s="16">
        <v>120</v>
      </c>
      <c r="Q1190" s="16">
        <v>170</v>
      </c>
      <c r="R1190" s="16">
        <v>8</v>
      </c>
      <c r="S1190" s="18" t="s">
        <v>190</v>
      </c>
      <c r="T1190" s="18" t="s">
        <v>491</v>
      </c>
      <c r="U1190" s="17">
        <v>2000</v>
      </c>
      <c r="V1190" s="18" t="s">
        <v>44</v>
      </c>
      <c r="W1190" s="18" t="s">
        <v>184</v>
      </c>
      <c r="X1190" s="16">
        <v>10</v>
      </c>
      <c r="Y1190" s="43" t="str">
        <f>HYPERLINK("https://api-enni.alpina.ru/FilePrivilegesApproval/315","https://api-enni.alpina.ru/FilePrivilegesApproval/315")</f>
        <v>https://api-enni.alpina.ru/FilePrivilegesApproval/315</v>
      </c>
      <c r="Z1190" s="18"/>
      <c r="AS1190" s="1">
        <f>IF($A1190&lt;&gt;0,1,0)</f>
        <v>0</v>
      </c>
      <c r="AT1190" s="1">
        <f>$A1190*$B1190</f>
        <v>0</v>
      </c>
      <c r="AU1190" s="1">
        <f>$A1190*$O1190</f>
        <v>0</v>
      </c>
      <c r="AV1190" s="1">
        <f>IF($R1190=0,0,INT($A1190/$R1190))</f>
        <v>0</v>
      </c>
      <c r="AW1190" s="1">
        <f>$A1190-$AV1190*$R1190</f>
        <v>0</v>
      </c>
    </row>
    <row r="1191" ht="24.95" customHeight="1" outlineLevel="3" s="1" customFormat="1">
      <c r="A1191" s="15"/>
      <c r="B1191" s="17">
        <v>1370</v>
      </c>
      <c r="C1191" s="17">
        <v>1850</v>
      </c>
      <c r="D1191" s="16">
        <v>36657</v>
      </c>
      <c r="E1191" s="18"/>
      <c r="F1191" s="18" t="s">
        <v>3813</v>
      </c>
      <c r="G1191" s="18" t="s">
        <v>3908</v>
      </c>
      <c r="H1191" s="18" t="s">
        <v>73</v>
      </c>
      <c r="I1191" s="18"/>
      <c r="J1191" s="16">
        <v>2026</v>
      </c>
      <c r="K1191" s="18" t="s">
        <v>3909</v>
      </c>
      <c r="L1191" s="16">
        <v>9785002239139</v>
      </c>
      <c r="M1191" s="18" t="s">
        <v>3910</v>
      </c>
      <c r="N1191" s="16">
        <v>584</v>
      </c>
      <c r="O1191" s="19">
        <v>1.03</v>
      </c>
      <c r="P1191" s="16">
        <v>170</v>
      </c>
      <c r="Q1191" s="16">
        <v>240</v>
      </c>
      <c r="R1191" s="16">
        <v>4</v>
      </c>
      <c r="S1191" s="18" t="s">
        <v>123</v>
      </c>
      <c r="T1191" s="18"/>
      <c r="U1191" s="17">
        <v>10000</v>
      </c>
      <c r="V1191" s="18" t="s">
        <v>77</v>
      </c>
      <c r="W1191" s="18" t="s">
        <v>69</v>
      </c>
      <c r="X1191" s="16">
        <v>10</v>
      </c>
      <c r="Y1191" s="43" t="str">
        <f>HYPERLINK("https://api-enni.alpina.ru/FilePrivilegesApproval/1145","https://api-enni.alpina.ru/FilePrivilegesApproval/1145")</f>
        <v>https://api-enni.alpina.ru/FilePrivilegesApproval/1145</v>
      </c>
      <c r="Z1191" s="18" t="s">
        <v>773</v>
      </c>
      <c r="AS1191" s="1">
        <f>IF($A1191&lt;&gt;0,1,0)</f>
        <v>0</v>
      </c>
      <c r="AT1191" s="1">
        <f>$A1191*$B1191</f>
        <v>0</v>
      </c>
      <c r="AU1191" s="1">
        <f>$A1191*$O1191</f>
        <v>0</v>
      </c>
      <c r="AV1191" s="1">
        <f>IF($R1191=0,0,INT($A1191/$R1191))</f>
        <v>0</v>
      </c>
      <c r="AW1191" s="1">
        <f>$A1191-$AV1191*$R1191</f>
        <v>0</v>
      </c>
    </row>
    <row r="1192" ht="24.95" customHeight="1" outlineLevel="3" s="1" customFormat="1">
      <c r="A1192" s="25"/>
      <c r="B1192" s="29">
        <v>1490</v>
      </c>
      <c r="C1192" s="29">
        <v>2012</v>
      </c>
      <c r="D1192" s="26">
        <v>19212</v>
      </c>
      <c r="E1192" s="27"/>
      <c r="F1192" s="27" t="s">
        <v>3911</v>
      </c>
      <c r="G1192" s="27" t="s">
        <v>3912</v>
      </c>
      <c r="H1192" s="27" t="s">
        <v>73</v>
      </c>
      <c r="I1192" s="27"/>
      <c r="J1192" s="26">
        <v>2026</v>
      </c>
      <c r="K1192" s="27" t="s">
        <v>3913</v>
      </c>
      <c r="L1192" s="26">
        <v>9785001395669</v>
      </c>
      <c r="M1192" s="27" t="s">
        <v>3914</v>
      </c>
      <c r="N1192" s="26">
        <v>680</v>
      </c>
      <c r="O1192" s="28">
        <v>1.15</v>
      </c>
      <c r="P1192" s="26">
        <v>170</v>
      </c>
      <c r="Q1192" s="26">
        <v>250</v>
      </c>
      <c r="R1192" s="26">
        <v>5</v>
      </c>
      <c r="S1192" s="27" t="s">
        <v>123</v>
      </c>
      <c r="T1192" s="27"/>
      <c r="U1192" s="29">
        <v>1000</v>
      </c>
      <c r="V1192" s="27" t="s">
        <v>77</v>
      </c>
      <c r="W1192" s="27" t="s">
        <v>91</v>
      </c>
      <c r="X1192" s="26">
        <v>10</v>
      </c>
      <c r="Y1192" s="45" t="str">
        <f>HYPERLINK("https://api-enni.alpina.ru/FilePrivilegesApproval/217","https://api-enni.alpina.ru/FilePrivilegesApproval/217")</f>
        <v>https://api-enni.alpina.ru/FilePrivilegesApproval/217</v>
      </c>
      <c r="Z1192" s="27" t="s">
        <v>695</v>
      </c>
      <c r="AS1192" s="1">
        <f>IF($A1192&lt;&gt;0,1,0)</f>
        <v>0</v>
      </c>
      <c r="AT1192" s="1">
        <f>$A1192*$B1192</f>
        <v>0</v>
      </c>
      <c r="AU1192" s="1">
        <f>$A1192*$O1192</f>
        <v>0</v>
      </c>
      <c r="AV1192" s="1">
        <f>IF($R1192=0,0,INT($A1192/$R1192))</f>
        <v>0</v>
      </c>
      <c r="AW1192" s="1">
        <f>$A1192-$AV1192*$R1192</f>
        <v>0</v>
      </c>
    </row>
    <row r="1193" ht="24.95" customHeight="1" outlineLevel="3" s="1" customFormat="1">
      <c r="A1193" s="15"/>
      <c r="B1193" s="16">
        <v>540</v>
      </c>
      <c r="C1193" s="16">
        <v>837</v>
      </c>
      <c r="D1193" s="16">
        <v>5557</v>
      </c>
      <c r="E1193" s="18"/>
      <c r="F1193" s="18" t="s">
        <v>3915</v>
      </c>
      <c r="G1193" s="18" t="s">
        <v>3916</v>
      </c>
      <c r="H1193" s="18" t="s">
        <v>86</v>
      </c>
      <c r="I1193" s="18"/>
      <c r="J1193" s="16">
        <v>2025</v>
      </c>
      <c r="K1193" s="18" t="s">
        <v>3917</v>
      </c>
      <c r="L1193" s="16">
        <v>9785961470307</v>
      </c>
      <c r="M1193" s="18" t="s">
        <v>3918</v>
      </c>
      <c r="N1193" s="16">
        <v>288</v>
      </c>
      <c r="O1193" s="19">
        <v>0.26</v>
      </c>
      <c r="P1193" s="16">
        <v>115</v>
      </c>
      <c r="Q1193" s="16">
        <v>201</v>
      </c>
      <c r="R1193" s="16">
        <v>16</v>
      </c>
      <c r="S1193" s="18" t="s">
        <v>90</v>
      </c>
      <c r="T1193" s="18"/>
      <c r="U1193" s="17">
        <v>3000</v>
      </c>
      <c r="V1193" s="18" t="s">
        <v>77</v>
      </c>
      <c r="W1193" s="18" t="s">
        <v>184</v>
      </c>
      <c r="X1193" s="16">
        <v>10</v>
      </c>
      <c r="Y1193" s="43" t="str">
        <f>HYPERLINK("https://api-enni.alpina.ru/FilePrivilegesApproval/152","https://api-enni.alpina.ru/FilePrivilegesApproval/152")</f>
        <v>https://api-enni.alpina.ru/FilePrivilegesApproval/152</v>
      </c>
      <c r="Z1193" s="18"/>
      <c r="AS1193" s="1">
        <f>IF($A1193&lt;&gt;0,1,0)</f>
        <v>0</v>
      </c>
      <c r="AT1193" s="1">
        <f>$A1193*$B1193</f>
        <v>0</v>
      </c>
      <c r="AU1193" s="1">
        <f>$A1193*$O1193</f>
        <v>0</v>
      </c>
      <c r="AV1193" s="1">
        <f>IF($R1193=0,0,INT($A1193/$R1193))</f>
        <v>0</v>
      </c>
      <c r="AW1193" s="1">
        <f>$A1193-$AV1193*$R1193</f>
        <v>0</v>
      </c>
    </row>
    <row r="1194" ht="24.95" customHeight="1" outlineLevel="3" s="1" customFormat="1">
      <c r="A1194" s="15"/>
      <c r="B1194" s="16">
        <v>890</v>
      </c>
      <c r="C1194" s="17">
        <v>1246</v>
      </c>
      <c r="D1194" s="16">
        <v>33080</v>
      </c>
      <c r="E1194" s="18"/>
      <c r="F1194" s="18" t="s">
        <v>3919</v>
      </c>
      <c r="G1194" s="18" t="s">
        <v>3920</v>
      </c>
      <c r="H1194" s="18" t="s">
        <v>73</v>
      </c>
      <c r="I1194" s="18" t="s">
        <v>74</v>
      </c>
      <c r="J1194" s="16">
        <v>2026</v>
      </c>
      <c r="K1194" s="18" t="s">
        <v>3921</v>
      </c>
      <c r="L1194" s="16">
        <v>9785002235353</v>
      </c>
      <c r="M1194" s="18" t="s">
        <v>3922</v>
      </c>
      <c r="N1194" s="16">
        <v>280</v>
      </c>
      <c r="O1194" s="19">
        <v>0.36</v>
      </c>
      <c r="P1194" s="16">
        <v>150</v>
      </c>
      <c r="Q1194" s="16">
        <v>220</v>
      </c>
      <c r="R1194" s="16">
        <v>10</v>
      </c>
      <c r="S1194" s="18" t="s">
        <v>43</v>
      </c>
      <c r="T1194" s="18"/>
      <c r="U1194" s="17">
        <v>3000</v>
      </c>
      <c r="V1194" s="18" t="s">
        <v>77</v>
      </c>
      <c r="W1194" s="18" t="s">
        <v>45</v>
      </c>
      <c r="X1194" s="16">
        <v>10</v>
      </c>
      <c r="Y1194" s="43" t="str">
        <f>HYPERLINK("https://api-enni.alpina.ru/FilePrivilegesApproval/1191","https://api-enni.alpina.ru/FilePrivilegesApproval/1191")</f>
        <v>https://api-enni.alpina.ru/FilePrivilegesApproval/1191</v>
      </c>
      <c r="Z1194" s="18" t="s">
        <v>1220</v>
      </c>
      <c r="AS1194" s="1">
        <f>IF($A1194&lt;&gt;0,1,0)</f>
        <v>0</v>
      </c>
      <c r="AT1194" s="1">
        <f>$A1194*$B1194</f>
        <v>0</v>
      </c>
      <c r="AU1194" s="1">
        <f>$A1194*$O1194</f>
        <v>0</v>
      </c>
      <c r="AV1194" s="1">
        <f>IF($R1194=0,0,INT($A1194/$R1194))</f>
        <v>0</v>
      </c>
      <c r="AW1194" s="1">
        <f>$A1194-$AV1194*$R1194</f>
        <v>0</v>
      </c>
    </row>
    <row r="1195" ht="24.95" customHeight="1" outlineLevel="3" s="1" customFormat="1">
      <c r="A1195" s="25"/>
      <c r="B1195" s="29">
        <v>1249</v>
      </c>
      <c r="C1195" s="29">
        <v>1686</v>
      </c>
      <c r="D1195" s="26">
        <v>25822</v>
      </c>
      <c r="E1195" s="27"/>
      <c r="F1195" s="27" t="s">
        <v>3923</v>
      </c>
      <c r="G1195" s="27" t="s">
        <v>3924</v>
      </c>
      <c r="H1195" s="27" t="s">
        <v>95</v>
      </c>
      <c r="I1195" s="27"/>
      <c r="J1195" s="26">
        <v>2022</v>
      </c>
      <c r="K1195" s="27" t="s">
        <v>3925</v>
      </c>
      <c r="L1195" s="26">
        <v>9785206000399</v>
      </c>
      <c r="M1195" s="27" t="s">
        <v>3926</v>
      </c>
      <c r="N1195" s="26">
        <v>224</v>
      </c>
      <c r="O1195" s="28">
        <v>0.3</v>
      </c>
      <c r="P1195" s="26">
        <v>215</v>
      </c>
      <c r="Q1195" s="26">
        <v>296</v>
      </c>
      <c r="R1195" s="26">
        <v>1</v>
      </c>
      <c r="S1195" s="27" t="s">
        <v>83</v>
      </c>
      <c r="T1195" s="27"/>
      <c r="U1195" s="29">
        <v>2005</v>
      </c>
      <c r="V1195" s="27" t="s">
        <v>54</v>
      </c>
      <c r="W1195" s="27" t="s">
        <v>69</v>
      </c>
      <c r="X1195" s="26">
        <v>10</v>
      </c>
      <c r="Y1195" s="45" t="str">
        <f>HYPERLINK("https://api-enni.alpina.ru/FilePrivilegesApproval/143","https://api-enni.alpina.ru/FilePrivilegesApproval/143")</f>
        <v>https://api-enni.alpina.ru/FilePrivilegesApproval/143</v>
      </c>
      <c r="Z1195" s="27"/>
      <c r="AS1195" s="1">
        <f>IF($A1195&lt;&gt;0,1,0)</f>
        <v>0</v>
      </c>
      <c r="AT1195" s="1">
        <f>$A1195*$B1195</f>
        <v>0</v>
      </c>
      <c r="AU1195" s="1">
        <f>$A1195*$O1195</f>
        <v>0</v>
      </c>
      <c r="AV1195" s="1">
        <f>IF($R1195=0,0,INT($A1195/$R1195))</f>
        <v>0</v>
      </c>
      <c r="AW1195" s="1">
        <f>$A1195-$AV1195*$R1195</f>
        <v>0</v>
      </c>
    </row>
    <row r="1196" ht="24.95" customHeight="1" outlineLevel="3" s="1" customFormat="1">
      <c r="A1196" s="15"/>
      <c r="B1196" s="16">
        <v>690</v>
      </c>
      <c r="C1196" s="17">
        <v>1035</v>
      </c>
      <c r="D1196" s="16">
        <v>31626</v>
      </c>
      <c r="E1196" s="18"/>
      <c r="F1196" s="18" t="s">
        <v>3927</v>
      </c>
      <c r="G1196" s="18" t="s">
        <v>3928</v>
      </c>
      <c r="H1196" s="18" t="s">
        <v>86</v>
      </c>
      <c r="I1196" s="18"/>
      <c r="J1196" s="16">
        <v>2025</v>
      </c>
      <c r="K1196" s="18" t="s">
        <v>3929</v>
      </c>
      <c r="L1196" s="16">
        <v>9785961499599</v>
      </c>
      <c r="M1196" s="18" t="s">
        <v>3930</v>
      </c>
      <c r="N1196" s="16">
        <v>300</v>
      </c>
      <c r="O1196" s="19">
        <v>0.57</v>
      </c>
      <c r="P1196" s="16">
        <v>150</v>
      </c>
      <c r="Q1196" s="16">
        <v>220</v>
      </c>
      <c r="R1196" s="16">
        <v>10</v>
      </c>
      <c r="S1196" s="18" t="s">
        <v>43</v>
      </c>
      <c r="T1196" s="18"/>
      <c r="U1196" s="17">
        <v>2000</v>
      </c>
      <c r="V1196" s="18" t="s">
        <v>77</v>
      </c>
      <c r="W1196" s="18" t="s">
        <v>91</v>
      </c>
      <c r="X1196" s="16">
        <v>10</v>
      </c>
      <c r="Y1196" s="43" t="str">
        <f>HYPERLINK("https://api-enni.alpina.ru/FilePrivilegesApproval/1033","https://api-enni.alpina.ru/FilePrivilegesApproval/1033")</f>
        <v>https://api-enni.alpina.ru/FilePrivilegesApproval/1033</v>
      </c>
      <c r="Z1196" s="18"/>
      <c r="AS1196" s="1">
        <f>IF($A1196&lt;&gt;0,1,0)</f>
        <v>0</v>
      </c>
      <c r="AT1196" s="1">
        <f>$A1196*$B1196</f>
        <v>0</v>
      </c>
      <c r="AU1196" s="1">
        <f>$A1196*$O1196</f>
        <v>0</v>
      </c>
      <c r="AV1196" s="1">
        <f>IF($R1196=0,0,INT($A1196/$R1196))</f>
        <v>0</v>
      </c>
      <c r="AW1196" s="1">
        <f>$A1196-$AV1196*$R1196</f>
        <v>0</v>
      </c>
    </row>
    <row r="1197" ht="24.95" customHeight="1" outlineLevel="3" s="1" customFormat="1">
      <c r="A1197" s="15"/>
      <c r="B1197" s="16">
        <v>990</v>
      </c>
      <c r="C1197" s="17">
        <v>1386</v>
      </c>
      <c r="D1197" s="16">
        <v>26117</v>
      </c>
      <c r="E1197" s="18"/>
      <c r="F1197" s="18" t="s">
        <v>3931</v>
      </c>
      <c r="G1197" s="18" t="s">
        <v>3932</v>
      </c>
      <c r="H1197" s="18" t="s">
        <v>95</v>
      </c>
      <c r="I1197" s="18"/>
      <c r="J1197" s="16">
        <v>2023</v>
      </c>
      <c r="K1197" s="18" t="s">
        <v>3933</v>
      </c>
      <c r="L1197" s="16">
        <v>9785206000580</v>
      </c>
      <c r="M1197" s="18" t="s">
        <v>3934</v>
      </c>
      <c r="N1197" s="16">
        <v>368</v>
      </c>
      <c r="O1197" s="19">
        <v>0.7</v>
      </c>
      <c r="P1197" s="16">
        <v>170</v>
      </c>
      <c r="Q1197" s="16">
        <v>250</v>
      </c>
      <c r="R1197" s="16">
        <v>5</v>
      </c>
      <c r="S1197" s="18" t="s">
        <v>123</v>
      </c>
      <c r="T1197" s="18"/>
      <c r="U1197" s="17">
        <v>1500</v>
      </c>
      <c r="V1197" s="18" t="s">
        <v>77</v>
      </c>
      <c r="W1197" s="18" t="s">
        <v>91</v>
      </c>
      <c r="X1197" s="16">
        <v>10</v>
      </c>
      <c r="Y1197" s="43" t="str">
        <f>HYPERLINK("https://api-enni.alpina.ru/FilePrivilegesApproval/168","https://api-enni.alpina.ru/FilePrivilegesApproval/168")</f>
        <v>https://api-enni.alpina.ru/FilePrivilegesApproval/168</v>
      </c>
      <c r="Z1197" s="18"/>
      <c r="AS1197" s="1">
        <f>IF($A1197&lt;&gt;0,1,0)</f>
        <v>0</v>
      </c>
      <c r="AT1197" s="1">
        <f>$A1197*$B1197</f>
        <v>0</v>
      </c>
      <c r="AU1197" s="1">
        <f>$A1197*$O1197</f>
        <v>0</v>
      </c>
      <c r="AV1197" s="1">
        <f>IF($R1197=0,0,INT($A1197/$R1197))</f>
        <v>0</v>
      </c>
      <c r="AW1197" s="1">
        <f>$A1197-$AV1197*$R1197</f>
        <v>0</v>
      </c>
    </row>
    <row r="1198" ht="24.95" customHeight="1" outlineLevel="3" s="1" customFormat="1">
      <c r="A1198" s="15"/>
      <c r="B1198" s="16">
        <v>990</v>
      </c>
      <c r="C1198" s="17">
        <v>1386</v>
      </c>
      <c r="D1198" s="16">
        <v>36005</v>
      </c>
      <c r="E1198" s="18"/>
      <c r="F1198" s="18" t="s">
        <v>3935</v>
      </c>
      <c r="G1198" s="18" t="s">
        <v>3936</v>
      </c>
      <c r="H1198" s="18" t="s">
        <v>95</v>
      </c>
      <c r="I1198" s="18" t="s">
        <v>74</v>
      </c>
      <c r="J1198" s="16">
        <v>2026</v>
      </c>
      <c r="K1198" s="18" t="s">
        <v>3937</v>
      </c>
      <c r="L1198" s="16">
        <v>9785206006230</v>
      </c>
      <c r="M1198" s="18" t="s">
        <v>3938</v>
      </c>
      <c r="N1198" s="16">
        <v>208</v>
      </c>
      <c r="O1198" s="19">
        <v>0.34</v>
      </c>
      <c r="P1198" s="16">
        <v>150</v>
      </c>
      <c r="Q1198" s="16">
        <v>220</v>
      </c>
      <c r="R1198" s="16">
        <v>10</v>
      </c>
      <c r="S1198" s="18" t="s">
        <v>43</v>
      </c>
      <c r="T1198" s="18"/>
      <c r="U1198" s="17">
        <v>1500</v>
      </c>
      <c r="V1198" s="18" t="s">
        <v>77</v>
      </c>
      <c r="W1198" s="18" t="s">
        <v>45</v>
      </c>
      <c r="X1198" s="16">
        <v>22</v>
      </c>
      <c r="Y1198" s="43" t="str">
        <f>HYPERLINK("","")</f>
      </c>
      <c r="Z1198" s="18"/>
      <c r="AS1198" s="1">
        <f>IF($A1198&lt;&gt;0,1,0)</f>
        <v>0</v>
      </c>
      <c r="AT1198" s="1">
        <f>$A1198*$B1198</f>
        <v>0</v>
      </c>
      <c r="AU1198" s="1">
        <f>$A1198*$O1198</f>
        <v>0</v>
      </c>
      <c r="AV1198" s="1">
        <f>IF($R1198=0,0,INT($A1198/$R1198))</f>
        <v>0</v>
      </c>
      <c r="AW1198" s="1">
        <f>$A1198-$AV1198*$R1198</f>
        <v>0</v>
      </c>
    </row>
    <row r="1199" ht="21.95" customHeight="1" outlineLevel="3" s="1" customFormat="1">
      <c r="A1199" s="15"/>
      <c r="B1199" s="16">
        <v>690</v>
      </c>
      <c r="C1199" s="17">
        <v>1035</v>
      </c>
      <c r="D1199" s="16">
        <v>28477</v>
      </c>
      <c r="E1199" s="18"/>
      <c r="F1199" s="18" t="s">
        <v>3939</v>
      </c>
      <c r="G1199" s="18" t="s">
        <v>3940</v>
      </c>
      <c r="H1199" s="18" t="s">
        <v>73</v>
      </c>
      <c r="I1199" s="18"/>
      <c r="J1199" s="16">
        <v>2026</v>
      </c>
      <c r="K1199" s="18" t="s">
        <v>3941</v>
      </c>
      <c r="L1199" s="16">
        <v>9785002230136</v>
      </c>
      <c r="M1199" s="18" t="s">
        <v>3942</v>
      </c>
      <c r="N1199" s="16">
        <v>208</v>
      </c>
      <c r="O1199" s="19">
        <v>0.2</v>
      </c>
      <c r="P1199" s="16">
        <v>140</v>
      </c>
      <c r="Q1199" s="16">
        <v>210</v>
      </c>
      <c r="R1199" s="16">
        <v>10</v>
      </c>
      <c r="S1199" s="18" t="s">
        <v>43</v>
      </c>
      <c r="T1199" s="18"/>
      <c r="U1199" s="17">
        <v>1000</v>
      </c>
      <c r="V1199" s="18" t="s">
        <v>44</v>
      </c>
      <c r="W1199" s="18" t="s">
        <v>45</v>
      </c>
      <c r="X1199" s="16">
        <v>22</v>
      </c>
      <c r="Y1199" s="43" t="str">
        <f>HYPERLINK("","")</f>
      </c>
      <c r="Z1199" s="18" t="s">
        <v>410</v>
      </c>
      <c r="AS1199" s="1">
        <f>IF($A1199&lt;&gt;0,1,0)</f>
        <v>0</v>
      </c>
      <c r="AT1199" s="1">
        <f>$A1199*$B1199</f>
        <v>0</v>
      </c>
      <c r="AU1199" s="1">
        <f>$A1199*$O1199</f>
        <v>0</v>
      </c>
      <c r="AV1199" s="1">
        <f>IF($R1199=0,0,INT($A1199/$R1199))</f>
        <v>0</v>
      </c>
      <c r="AW1199" s="1">
        <f>$A1199-$AV1199*$R1199</f>
        <v>0</v>
      </c>
    </row>
    <row r="1200" ht="24.95" customHeight="1" outlineLevel="3" s="1" customFormat="1">
      <c r="A1200" s="15"/>
      <c r="B1200" s="16">
        <v>990</v>
      </c>
      <c r="C1200" s="17">
        <v>1386</v>
      </c>
      <c r="D1200" s="16">
        <v>18721</v>
      </c>
      <c r="E1200" s="18"/>
      <c r="F1200" s="18" t="s">
        <v>3457</v>
      </c>
      <c r="G1200" s="18" t="s">
        <v>3943</v>
      </c>
      <c r="H1200" s="18" t="s">
        <v>86</v>
      </c>
      <c r="I1200" s="18" t="s">
        <v>74</v>
      </c>
      <c r="J1200" s="16">
        <v>2025</v>
      </c>
      <c r="K1200" s="18" t="s">
        <v>3944</v>
      </c>
      <c r="L1200" s="16">
        <v>9785961473902</v>
      </c>
      <c r="M1200" s="18" t="s">
        <v>3945</v>
      </c>
      <c r="N1200" s="16">
        <v>816</v>
      </c>
      <c r="O1200" s="19">
        <v>0.91</v>
      </c>
      <c r="P1200" s="16">
        <v>150</v>
      </c>
      <c r="Q1200" s="16">
        <v>220</v>
      </c>
      <c r="R1200" s="16">
        <v>6</v>
      </c>
      <c r="S1200" s="18" t="s">
        <v>43</v>
      </c>
      <c r="T1200" s="18"/>
      <c r="U1200" s="17">
        <v>1500</v>
      </c>
      <c r="V1200" s="18" t="s">
        <v>77</v>
      </c>
      <c r="W1200" s="18" t="s">
        <v>184</v>
      </c>
      <c r="X1200" s="16">
        <v>10</v>
      </c>
      <c r="Y1200" s="43" t="str">
        <f>HYPERLINK("https://api-enni.alpina.ru/FilePrivilegesApproval/156","https://api-enni.alpina.ru/FilePrivilegesApproval/156")</f>
        <v>https://api-enni.alpina.ru/FilePrivilegesApproval/156</v>
      </c>
      <c r="Z1200" s="18"/>
      <c r="AS1200" s="1">
        <f>IF($A1200&lt;&gt;0,1,0)</f>
        <v>0</v>
      </c>
      <c r="AT1200" s="1">
        <f>$A1200*$B1200</f>
        <v>0</v>
      </c>
      <c r="AU1200" s="1">
        <f>$A1200*$O1200</f>
        <v>0</v>
      </c>
      <c r="AV1200" s="1">
        <f>IF($R1200=0,0,INT($A1200/$R1200))</f>
        <v>0</v>
      </c>
      <c r="AW1200" s="1">
        <f>$A1200-$AV1200*$R1200</f>
        <v>0</v>
      </c>
    </row>
    <row r="1201" ht="24.95" customHeight="1" outlineLevel="3" s="1" customFormat="1">
      <c r="A1201" s="15"/>
      <c r="B1201" s="16">
        <v>549</v>
      </c>
      <c r="C1201" s="16">
        <v>851</v>
      </c>
      <c r="D1201" s="16">
        <v>30596</v>
      </c>
      <c r="E1201" s="18"/>
      <c r="F1201" s="18" t="s">
        <v>3946</v>
      </c>
      <c r="G1201" s="18" t="s">
        <v>3947</v>
      </c>
      <c r="H1201" s="18" t="s">
        <v>3948</v>
      </c>
      <c r="I1201" s="18" t="s">
        <v>74</v>
      </c>
      <c r="J1201" s="16">
        <v>2024</v>
      </c>
      <c r="K1201" s="18" t="s">
        <v>3949</v>
      </c>
      <c r="L1201" s="16">
        <v>9785002161751</v>
      </c>
      <c r="M1201" s="18" t="s">
        <v>3950</v>
      </c>
      <c r="N1201" s="16">
        <v>416</v>
      </c>
      <c r="O1201" s="19">
        <v>0.44</v>
      </c>
      <c r="P1201" s="16">
        <v>140</v>
      </c>
      <c r="Q1201" s="16">
        <v>210</v>
      </c>
      <c r="R1201" s="16">
        <v>8</v>
      </c>
      <c r="S1201" s="18" t="s">
        <v>43</v>
      </c>
      <c r="T1201" s="18" t="s">
        <v>3951</v>
      </c>
      <c r="U1201" s="17">
        <v>3000</v>
      </c>
      <c r="V1201" s="18" t="s">
        <v>44</v>
      </c>
      <c r="W1201" s="18" t="s">
        <v>45</v>
      </c>
      <c r="X1201" s="16">
        <v>22</v>
      </c>
      <c r="Y1201" s="43" t="str">
        <f>HYPERLINK("","")</f>
      </c>
      <c r="Z1201" s="18"/>
      <c r="AS1201" s="1">
        <f>IF($A1201&lt;&gt;0,1,0)</f>
        <v>0</v>
      </c>
      <c r="AT1201" s="1">
        <f>$A1201*$B1201</f>
        <v>0</v>
      </c>
      <c r="AU1201" s="1">
        <f>$A1201*$O1201</f>
        <v>0</v>
      </c>
      <c r="AV1201" s="1">
        <f>IF($R1201=0,0,INT($A1201/$R1201))</f>
        <v>0</v>
      </c>
      <c r="AW1201" s="1">
        <f>$A1201-$AV1201*$R1201</f>
        <v>0</v>
      </c>
    </row>
    <row r="1202" ht="21.95" customHeight="1" outlineLevel="3" s="1" customFormat="1">
      <c r="A1202" s="15"/>
      <c r="B1202" s="17">
        <v>1616</v>
      </c>
      <c r="C1202" s="17">
        <v>2101</v>
      </c>
      <c r="D1202" s="16">
        <v>34284</v>
      </c>
      <c r="E1202" s="18"/>
      <c r="F1202" s="18" t="s">
        <v>3952</v>
      </c>
      <c r="G1202" s="18" t="s">
        <v>3953</v>
      </c>
      <c r="H1202" s="18" t="s">
        <v>95</v>
      </c>
      <c r="I1202" s="18" t="s">
        <v>74</v>
      </c>
      <c r="J1202" s="16">
        <v>2026</v>
      </c>
      <c r="K1202" s="18" t="s">
        <v>3954</v>
      </c>
      <c r="L1202" s="16">
        <v>9785206004922</v>
      </c>
      <c r="M1202" s="18" t="s">
        <v>3955</v>
      </c>
      <c r="N1202" s="16">
        <v>336</v>
      </c>
      <c r="O1202" s="19">
        <v>0.3</v>
      </c>
      <c r="P1202" s="16">
        <v>140</v>
      </c>
      <c r="Q1202" s="16">
        <v>210</v>
      </c>
      <c r="R1202" s="16">
        <v>5</v>
      </c>
      <c r="S1202" s="18" t="s">
        <v>43</v>
      </c>
      <c r="T1202" s="18"/>
      <c r="U1202" s="17">
        <v>3000</v>
      </c>
      <c r="V1202" s="18" t="s">
        <v>44</v>
      </c>
      <c r="W1202" s="18" t="s">
        <v>45</v>
      </c>
      <c r="X1202" s="16">
        <v>22</v>
      </c>
      <c r="Y1202" s="43" t="str">
        <f>HYPERLINK("","")</f>
      </c>
      <c r="Z1202" s="18"/>
      <c r="AS1202" s="1">
        <f>IF($A1202&lt;&gt;0,1,0)</f>
        <v>0</v>
      </c>
      <c r="AT1202" s="1">
        <f>$A1202*$B1202</f>
        <v>0</v>
      </c>
      <c r="AU1202" s="1">
        <f>$A1202*$O1202</f>
        <v>0</v>
      </c>
      <c r="AV1202" s="1">
        <f>IF($R1202=0,0,INT($A1202/$R1202))</f>
        <v>0</v>
      </c>
      <c r="AW1202" s="1">
        <f>$A1202-$AV1202*$R1202</f>
        <v>0</v>
      </c>
    </row>
    <row r="1203" ht="24.95" customHeight="1" outlineLevel="3" s="1" customFormat="1">
      <c r="A1203" s="15"/>
      <c r="B1203" s="16">
        <v>840</v>
      </c>
      <c r="C1203" s="17">
        <v>1218</v>
      </c>
      <c r="D1203" s="16">
        <v>25823</v>
      </c>
      <c r="E1203" s="18"/>
      <c r="F1203" s="18" t="s">
        <v>3956</v>
      </c>
      <c r="G1203" s="18" t="s">
        <v>3957</v>
      </c>
      <c r="H1203" s="18" t="s">
        <v>73</v>
      </c>
      <c r="I1203" s="18" t="s">
        <v>74</v>
      </c>
      <c r="J1203" s="16">
        <v>2023</v>
      </c>
      <c r="K1203" s="18" t="s">
        <v>3958</v>
      </c>
      <c r="L1203" s="16">
        <v>9785001397120</v>
      </c>
      <c r="M1203" s="18" t="s">
        <v>3959</v>
      </c>
      <c r="N1203" s="16">
        <v>590</v>
      </c>
      <c r="O1203" s="19">
        <v>0.54</v>
      </c>
      <c r="P1203" s="16">
        <v>150</v>
      </c>
      <c r="Q1203" s="16">
        <v>210</v>
      </c>
      <c r="R1203" s="16">
        <v>8</v>
      </c>
      <c r="S1203" s="18" t="s">
        <v>43</v>
      </c>
      <c r="T1203" s="18"/>
      <c r="U1203" s="17">
        <v>5000</v>
      </c>
      <c r="V1203" s="18" t="s">
        <v>44</v>
      </c>
      <c r="W1203" s="18" t="s">
        <v>91</v>
      </c>
      <c r="X1203" s="16">
        <v>10</v>
      </c>
      <c r="Y1203" s="43" t="str">
        <f>HYPERLINK("https://api-enni.alpina.ru/FilePrivilegesApproval/304","https://api-enni.alpina.ru/FilePrivilegesApproval/304")</f>
        <v>https://api-enni.alpina.ru/FilePrivilegesApproval/304</v>
      </c>
      <c r="Z1203" s="18"/>
      <c r="AS1203" s="1">
        <f>IF($A1203&lt;&gt;0,1,0)</f>
        <v>0</v>
      </c>
      <c r="AT1203" s="1">
        <f>$A1203*$B1203</f>
        <v>0</v>
      </c>
      <c r="AU1203" s="1">
        <f>$A1203*$O1203</f>
        <v>0</v>
      </c>
      <c r="AV1203" s="1">
        <f>IF($R1203=0,0,INT($A1203/$R1203))</f>
        <v>0</v>
      </c>
      <c r="AW1203" s="1">
        <f>$A1203-$AV1203*$R1203</f>
        <v>0</v>
      </c>
    </row>
    <row r="1204" ht="24.95" customHeight="1" outlineLevel="3" s="1" customFormat="1">
      <c r="A1204" s="15"/>
      <c r="B1204" s="16">
        <v>540</v>
      </c>
      <c r="C1204" s="16">
        <v>837</v>
      </c>
      <c r="D1204" s="16">
        <v>23681</v>
      </c>
      <c r="E1204" s="18"/>
      <c r="F1204" s="18" t="s">
        <v>3960</v>
      </c>
      <c r="G1204" s="18" t="s">
        <v>3961</v>
      </c>
      <c r="H1204" s="18" t="s">
        <v>86</v>
      </c>
      <c r="I1204" s="18"/>
      <c r="J1204" s="16">
        <v>2022</v>
      </c>
      <c r="K1204" s="18" t="s">
        <v>3962</v>
      </c>
      <c r="L1204" s="16">
        <v>9785961474329</v>
      </c>
      <c r="M1204" s="18" t="s">
        <v>3963</v>
      </c>
      <c r="N1204" s="16">
        <v>234</v>
      </c>
      <c r="O1204" s="19">
        <v>0.38</v>
      </c>
      <c r="P1204" s="16">
        <v>146</v>
      </c>
      <c r="Q1204" s="16">
        <v>216</v>
      </c>
      <c r="R1204" s="16">
        <v>18</v>
      </c>
      <c r="S1204" s="18" t="s">
        <v>43</v>
      </c>
      <c r="T1204" s="18"/>
      <c r="U1204" s="17">
        <v>1500</v>
      </c>
      <c r="V1204" s="18" t="s">
        <v>77</v>
      </c>
      <c r="W1204" s="18" t="s">
        <v>91</v>
      </c>
      <c r="X1204" s="16">
        <v>10</v>
      </c>
      <c r="Y1204" s="43" t="str">
        <f>HYPERLINK("https://api-enni.alpina.ru/FilePrivilegesApproval/121","https://api-enni.alpina.ru/FilePrivilegesApproval/121")</f>
        <v>https://api-enni.alpina.ru/FilePrivilegesApproval/121</v>
      </c>
      <c r="Z1204" s="18"/>
      <c r="AS1204" s="1">
        <f>IF($A1204&lt;&gt;0,1,0)</f>
        <v>0</v>
      </c>
      <c r="AT1204" s="1">
        <f>$A1204*$B1204</f>
        <v>0</v>
      </c>
      <c r="AU1204" s="1">
        <f>$A1204*$O1204</f>
        <v>0</v>
      </c>
      <c r="AV1204" s="1">
        <f>IF($R1204=0,0,INT($A1204/$R1204))</f>
        <v>0</v>
      </c>
      <c r="AW1204" s="1">
        <f>$A1204-$AV1204*$R1204</f>
        <v>0</v>
      </c>
    </row>
    <row r="1205" ht="24.95" customHeight="1" outlineLevel="3" s="1" customFormat="1">
      <c r="A1205" s="25"/>
      <c r="B1205" s="26">
        <v>590</v>
      </c>
      <c r="C1205" s="26">
        <v>885</v>
      </c>
      <c r="D1205" s="26">
        <v>9104</v>
      </c>
      <c r="E1205" s="27"/>
      <c r="F1205" s="27" t="s">
        <v>3964</v>
      </c>
      <c r="G1205" s="27" t="s">
        <v>3965</v>
      </c>
      <c r="H1205" s="27" t="s">
        <v>86</v>
      </c>
      <c r="I1205" s="27" t="s">
        <v>74</v>
      </c>
      <c r="J1205" s="26">
        <v>2020</v>
      </c>
      <c r="K1205" s="27" t="s">
        <v>3966</v>
      </c>
      <c r="L1205" s="26">
        <v>9785961433920</v>
      </c>
      <c r="M1205" s="27" t="s">
        <v>3967</v>
      </c>
      <c r="N1205" s="26">
        <v>240</v>
      </c>
      <c r="O1205" s="28">
        <v>0.41</v>
      </c>
      <c r="P1205" s="26">
        <v>150</v>
      </c>
      <c r="Q1205" s="26">
        <v>220</v>
      </c>
      <c r="R1205" s="26">
        <v>14</v>
      </c>
      <c r="S1205" s="27" t="s">
        <v>43</v>
      </c>
      <c r="T1205" s="27"/>
      <c r="U1205" s="29">
        <v>1000</v>
      </c>
      <c r="V1205" s="27" t="s">
        <v>77</v>
      </c>
      <c r="W1205" s="27" t="s">
        <v>69</v>
      </c>
      <c r="X1205" s="26">
        <v>10</v>
      </c>
      <c r="Y1205" s="45" t="str">
        <f>HYPERLINK("https://api-enni.alpina.ru/FilePrivilegesApproval/72","https://api-enni.alpina.ru/FilePrivilegesApproval/72")</f>
        <v>https://api-enni.alpina.ru/FilePrivilegesApproval/72</v>
      </c>
      <c r="Z1205" s="27"/>
      <c r="AS1205" s="1">
        <f>IF($A1205&lt;&gt;0,1,0)</f>
        <v>0</v>
      </c>
      <c r="AT1205" s="1">
        <f>$A1205*$B1205</f>
        <v>0</v>
      </c>
      <c r="AU1205" s="1">
        <f>$A1205*$O1205</f>
        <v>0</v>
      </c>
      <c r="AV1205" s="1">
        <f>IF($R1205=0,0,INT($A1205/$R1205))</f>
        <v>0</v>
      </c>
      <c r="AW1205" s="1">
        <f>$A1205-$AV1205*$R1205</f>
        <v>0</v>
      </c>
    </row>
    <row r="1206" ht="24.95" customHeight="1" outlineLevel="3" s="1" customFormat="1">
      <c r="A1206" s="15"/>
      <c r="B1206" s="16">
        <v>966</v>
      </c>
      <c r="C1206" s="17">
        <v>1352</v>
      </c>
      <c r="D1206" s="16">
        <v>34733</v>
      </c>
      <c r="E1206" s="18"/>
      <c r="F1206" s="18" t="s">
        <v>3968</v>
      </c>
      <c r="G1206" s="18" t="s">
        <v>3969</v>
      </c>
      <c r="H1206" s="18" t="s">
        <v>73</v>
      </c>
      <c r="I1206" s="18"/>
      <c r="J1206" s="16">
        <v>2026</v>
      </c>
      <c r="K1206" s="18" t="s">
        <v>3970</v>
      </c>
      <c r="L1206" s="16">
        <v>9785002236909</v>
      </c>
      <c r="M1206" s="18" t="s">
        <v>3971</v>
      </c>
      <c r="N1206" s="16">
        <v>456</v>
      </c>
      <c r="O1206" s="19">
        <v>0.64</v>
      </c>
      <c r="P1206" s="16">
        <v>150</v>
      </c>
      <c r="Q1206" s="16">
        <v>220</v>
      </c>
      <c r="R1206" s="16">
        <v>8</v>
      </c>
      <c r="S1206" s="18" t="s">
        <v>43</v>
      </c>
      <c r="T1206" s="18"/>
      <c r="U1206" s="17">
        <v>1500</v>
      </c>
      <c r="V1206" s="18" t="s">
        <v>77</v>
      </c>
      <c r="W1206" s="18" t="s">
        <v>45</v>
      </c>
      <c r="X1206" s="16">
        <v>10</v>
      </c>
      <c r="Y1206" s="43" t="str">
        <f>HYPERLINK("https://api-enni.alpina.ru/FilePrivilegesApproval/1117","https://api-enni.alpina.ru/FilePrivilegesApproval/1117")</f>
        <v>https://api-enni.alpina.ru/FilePrivilegesApproval/1117</v>
      </c>
      <c r="Z1206" s="18" t="s">
        <v>2419</v>
      </c>
      <c r="AS1206" s="1">
        <f>IF($A1206&lt;&gt;0,1,0)</f>
        <v>0</v>
      </c>
      <c r="AT1206" s="1">
        <f>$A1206*$B1206</f>
        <v>0</v>
      </c>
      <c r="AU1206" s="1">
        <f>$A1206*$O1206</f>
        <v>0</v>
      </c>
      <c r="AV1206" s="1">
        <f>IF($R1206=0,0,INT($A1206/$R1206))</f>
        <v>0</v>
      </c>
      <c r="AW1206" s="1">
        <f>$A1206-$AV1206*$R1206</f>
        <v>0</v>
      </c>
    </row>
    <row r="1207" ht="11.1" customHeight="1" outlineLevel="2">
      <c r="A1207" s="41" t="s">
        <v>3972</v>
      </c>
      <c r="B1207" s="41"/>
      <c r="C1207" s="41"/>
      <c r="D1207" s="41"/>
      <c r="E1207" s="41"/>
      <c r="F1207" s="41"/>
      <c r="G1207" s="41"/>
      <c r="H1207" s="41"/>
      <c r="I1207" s="41"/>
      <c r="J1207" s="41"/>
      <c r="K1207" s="41"/>
      <c r="L1207" s="41"/>
      <c r="M1207" s="41"/>
      <c r="N1207" s="41"/>
      <c r="O1207" s="41"/>
      <c r="P1207" s="41"/>
      <c r="Q1207" s="41"/>
      <c r="R1207" s="41"/>
      <c r="S1207" s="41"/>
      <c r="T1207" s="41"/>
      <c r="U1207" s="41"/>
      <c r="V1207" s="41"/>
      <c r="W1207" s="41"/>
      <c r="X1207" s="41"/>
      <c r="Y1207" s="41"/>
      <c r="Z1207" s="24"/>
    </row>
    <row r="1208" ht="24.95" customHeight="1" outlineLevel="3" s="1" customFormat="1">
      <c r="A1208" s="15"/>
      <c r="B1208" s="16">
        <v>890</v>
      </c>
      <c r="C1208" s="17">
        <v>1246</v>
      </c>
      <c r="D1208" s="16">
        <v>28649</v>
      </c>
      <c r="E1208" s="18"/>
      <c r="F1208" s="18" t="s">
        <v>3973</v>
      </c>
      <c r="G1208" s="18" t="s">
        <v>3974</v>
      </c>
      <c r="H1208" s="18" t="s">
        <v>73</v>
      </c>
      <c r="I1208" s="18"/>
      <c r="J1208" s="16">
        <v>2026</v>
      </c>
      <c r="K1208" s="18" t="s">
        <v>3975</v>
      </c>
      <c r="L1208" s="16">
        <v>9785002230396</v>
      </c>
      <c r="M1208" s="18" t="s">
        <v>3976</v>
      </c>
      <c r="N1208" s="16">
        <v>448</v>
      </c>
      <c r="O1208" s="19">
        <v>0.61</v>
      </c>
      <c r="P1208" s="16">
        <v>150</v>
      </c>
      <c r="Q1208" s="16">
        <v>220</v>
      </c>
      <c r="R1208" s="16">
        <v>10</v>
      </c>
      <c r="S1208" s="18" t="s">
        <v>43</v>
      </c>
      <c r="T1208" s="18"/>
      <c r="U1208" s="17">
        <v>1000</v>
      </c>
      <c r="V1208" s="18" t="s">
        <v>77</v>
      </c>
      <c r="W1208" s="18" t="s">
        <v>184</v>
      </c>
      <c r="X1208" s="16">
        <v>10</v>
      </c>
      <c r="Y1208" s="43" t="str">
        <f>HYPERLINK("https://api-enni.alpina.ru/FilePrivilegesApproval/312","https://api-enni.alpina.ru/FilePrivilegesApproval/312")</f>
        <v>https://api-enni.alpina.ru/FilePrivilegesApproval/312</v>
      </c>
      <c r="Z1208" s="18" t="s">
        <v>843</v>
      </c>
      <c r="AS1208" s="1">
        <f>IF($A1208&lt;&gt;0,1,0)</f>
        <v>0</v>
      </c>
      <c r="AT1208" s="1">
        <f>$A1208*$B1208</f>
        <v>0</v>
      </c>
      <c r="AU1208" s="1">
        <f>$A1208*$O1208</f>
        <v>0</v>
      </c>
      <c r="AV1208" s="1">
        <f>IF($R1208=0,0,INT($A1208/$R1208))</f>
        <v>0</v>
      </c>
      <c r="AW1208" s="1">
        <f>$A1208-$AV1208*$R1208</f>
        <v>0</v>
      </c>
    </row>
    <row r="1209" ht="24.95" customHeight="1" outlineLevel="3" s="1" customFormat="1">
      <c r="A1209" s="15"/>
      <c r="B1209" s="16">
        <v>790</v>
      </c>
      <c r="C1209" s="17">
        <v>1146</v>
      </c>
      <c r="D1209" s="16">
        <v>12677</v>
      </c>
      <c r="E1209" s="18"/>
      <c r="F1209" s="18" t="s">
        <v>3977</v>
      </c>
      <c r="G1209" s="18" t="s">
        <v>3978</v>
      </c>
      <c r="H1209" s="18" t="s">
        <v>73</v>
      </c>
      <c r="I1209" s="18"/>
      <c r="J1209" s="16">
        <v>2026</v>
      </c>
      <c r="K1209" s="18" t="s">
        <v>3979</v>
      </c>
      <c r="L1209" s="16">
        <v>9785001392958</v>
      </c>
      <c r="M1209" s="18" t="s">
        <v>3980</v>
      </c>
      <c r="N1209" s="16">
        <v>268</v>
      </c>
      <c r="O1209" s="19">
        <v>0.4</v>
      </c>
      <c r="P1209" s="16">
        <v>150</v>
      </c>
      <c r="Q1209" s="16">
        <v>220</v>
      </c>
      <c r="R1209" s="16">
        <v>10</v>
      </c>
      <c r="S1209" s="18" t="s">
        <v>43</v>
      </c>
      <c r="T1209" s="18" t="s">
        <v>949</v>
      </c>
      <c r="U1209" s="17">
        <v>1000</v>
      </c>
      <c r="V1209" s="18" t="s">
        <v>77</v>
      </c>
      <c r="W1209" s="18" t="s">
        <v>91</v>
      </c>
      <c r="X1209" s="16">
        <v>10</v>
      </c>
      <c r="Y1209" s="43" t="str">
        <f>HYPERLINK("https://api-enni.alpina.ru/FilePrivilegesApproval/263","https://api-enni.alpina.ru/FilePrivilegesApproval/263")</f>
        <v>https://api-enni.alpina.ru/FilePrivilegesApproval/263</v>
      </c>
      <c r="Z1209" s="18"/>
      <c r="AS1209" s="1">
        <f>IF($A1209&lt;&gt;0,1,0)</f>
        <v>0</v>
      </c>
      <c r="AT1209" s="1">
        <f>$A1209*$B1209</f>
        <v>0</v>
      </c>
      <c r="AU1209" s="1">
        <f>$A1209*$O1209</f>
        <v>0</v>
      </c>
      <c r="AV1209" s="1">
        <f>IF($R1209=0,0,INT($A1209/$R1209))</f>
        <v>0</v>
      </c>
      <c r="AW1209" s="1">
        <f>$A1209-$AV1209*$R1209</f>
        <v>0</v>
      </c>
    </row>
    <row r="1210" ht="24.95" customHeight="1" outlineLevel="3" s="1" customFormat="1">
      <c r="A1210" s="25"/>
      <c r="B1210" s="26">
        <v>740</v>
      </c>
      <c r="C1210" s="29">
        <v>1073</v>
      </c>
      <c r="D1210" s="26">
        <v>6673</v>
      </c>
      <c r="E1210" s="27"/>
      <c r="F1210" s="27" t="s">
        <v>3981</v>
      </c>
      <c r="G1210" s="27" t="s">
        <v>3982</v>
      </c>
      <c r="H1210" s="27" t="s">
        <v>95</v>
      </c>
      <c r="I1210" s="27"/>
      <c r="J1210" s="26">
        <v>2026</v>
      </c>
      <c r="K1210" s="27" t="s">
        <v>3983</v>
      </c>
      <c r="L1210" s="26">
        <v>9785907394582</v>
      </c>
      <c r="M1210" s="27" t="s">
        <v>3984</v>
      </c>
      <c r="N1210" s="26">
        <v>572</v>
      </c>
      <c r="O1210" s="28">
        <v>0.59</v>
      </c>
      <c r="P1210" s="26">
        <v>150</v>
      </c>
      <c r="Q1210" s="26">
        <v>220</v>
      </c>
      <c r="R1210" s="26">
        <v>4</v>
      </c>
      <c r="S1210" s="27" t="s">
        <v>43</v>
      </c>
      <c r="T1210" s="27"/>
      <c r="U1210" s="29">
        <v>1000</v>
      </c>
      <c r="V1210" s="27" t="s">
        <v>77</v>
      </c>
      <c r="W1210" s="27" t="s">
        <v>184</v>
      </c>
      <c r="X1210" s="26">
        <v>10</v>
      </c>
      <c r="Y1210" s="45" t="str">
        <f>HYPERLINK("https://api-enni.alpina.ru/FilePrivilegesApproval/120","https://api-enni.alpina.ru/FilePrivilegesApproval/120")</f>
        <v>https://api-enni.alpina.ru/FilePrivilegesApproval/120</v>
      </c>
      <c r="Z1210" s="27"/>
      <c r="AS1210" s="1">
        <f>IF($A1210&lt;&gt;0,1,0)</f>
        <v>0</v>
      </c>
      <c r="AT1210" s="1">
        <f>$A1210*$B1210</f>
        <v>0</v>
      </c>
      <c r="AU1210" s="1">
        <f>$A1210*$O1210</f>
        <v>0</v>
      </c>
      <c r="AV1210" s="1">
        <f>IF($R1210=0,0,INT($A1210/$R1210))</f>
        <v>0</v>
      </c>
      <c r="AW1210" s="1">
        <f>$A1210-$AV1210*$R1210</f>
        <v>0</v>
      </c>
    </row>
    <row r="1211" ht="24.95" customHeight="1" outlineLevel="3" s="1" customFormat="1">
      <c r="A1211" s="15"/>
      <c r="B1211" s="16">
        <v>820</v>
      </c>
      <c r="C1211" s="17">
        <v>1189</v>
      </c>
      <c r="D1211" s="16">
        <v>31068</v>
      </c>
      <c r="E1211" s="18"/>
      <c r="F1211" s="18" t="s">
        <v>3985</v>
      </c>
      <c r="G1211" s="18" t="s">
        <v>3986</v>
      </c>
      <c r="H1211" s="18" t="s">
        <v>73</v>
      </c>
      <c r="I1211" s="18"/>
      <c r="J1211" s="16">
        <v>2026</v>
      </c>
      <c r="K1211" s="18" t="s">
        <v>3987</v>
      </c>
      <c r="L1211" s="16">
        <v>9785002233304</v>
      </c>
      <c r="M1211" s="18" t="s">
        <v>3988</v>
      </c>
      <c r="N1211" s="16">
        <v>340</v>
      </c>
      <c r="O1211" s="19">
        <v>0.44</v>
      </c>
      <c r="P1211" s="16">
        <v>130</v>
      </c>
      <c r="Q1211" s="16">
        <v>210</v>
      </c>
      <c r="R1211" s="16">
        <v>12</v>
      </c>
      <c r="S1211" s="18" t="s">
        <v>90</v>
      </c>
      <c r="T1211" s="18"/>
      <c r="U1211" s="17">
        <v>1500</v>
      </c>
      <c r="V1211" s="18" t="s">
        <v>77</v>
      </c>
      <c r="W1211" s="18" t="s">
        <v>91</v>
      </c>
      <c r="X1211" s="16">
        <v>10</v>
      </c>
      <c r="Y1211" s="43" t="str">
        <f>HYPERLINK("https://api-enni.alpina.ru/FilePrivilegesApproval/1107","https://api-enni.alpina.ru/FilePrivilegesApproval/1107")</f>
        <v>https://api-enni.alpina.ru/FilePrivilegesApproval/1107</v>
      </c>
      <c r="Z1211" s="18"/>
      <c r="AS1211" s="1">
        <f>IF($A1211&lt;&gt;0,1,0)</f>
        <v>0</v>
      </c>
      <c r="AT1211" s="1">
        <f>$A1211*$B1211</f>
        <v>0</v>
      </c>
      <c r="AU1211" s="1">
        <f>$A1211*$O1211</f>
        <v>0</v>
      </c>
      <c r="AV1211" s="1">
        <f>IF($R1211=0,0,INT($A1211/$R1211))</f>
        <v>0</v>
      </c>
      <c r="AW1211" s="1">
        <f>$A1211-$AV1211*$R1211</f>
        <v>0</v>
      </c>
    </row>
    <row r="1212" ht="24.95" customHeight="1" outlineLevel="3" s="1" customFormat="1">
      <c r="A1212" s="15"/>
      <c r="B1212" s="16">
        <v>690</v>
      </c>
      <c r="C1212" s="17">
        <v>1035</v>
      </c>
      <c r="D1212" s="16">
        <v>27329</v>
      </c>
      <c r="E1212" s="18"/>
      <c r="F1212" s="18" t="s">
        <v>3973</v>
      </c>
      <c r="G1212" s="18" t="s">
        <v>3989</v>
      </c>
      <c r="H1212" s="18" t="s">
        <v>73</v>
      </c>
      <c r="I1212" s="18"/>
      <c r="J1212" s="16">
        <v>2026</v>
      </c>
      <c r="K1212" s="18" t="s">
        <v>3990</v>
      </c>
      <c r="L1212" s="16">
        <v>9785001399148</v>
      </c>
      <c r="M1212" s="18" t="s">
        <v>3991</v>
      </c>
      <c r="N1212" s="16">
        <v>208</v>
      </c>
      <c r="O1212" s="19">
        <v>0.36</v>
      </c>
      <c r="P1212" s="16">
        <v>150</v>
      </c>
      <c r="Q1212" s="16">
        <v>220</v>
      </c>
      <c r="R1212" s="16">
        <v>16</v>
      </c>
      <c r="S1212" s="18" t="s">
        <v>43</v>
      </c>
      <c r="T1212" s="18"/>
      <c r="U1212" s="17">
        <v>2000</v>
      </c>
      <c r="V1212" s="18" t="s">
        <v>77</v>
      </c>
      <c r="W1212" s="18" t="s">
        <v>184</v>
      </c>
      <c r="X1212" s="16">
        <v>10</v>
      </c>
      <c r="Y1212" s="43" t="str">
        <f>HYPERLINK("https://api-enni.alpina.ru/FilePrivilegesApproval/203","https://api-enni.alpina.ru/FilePrivilegesApproval/203")</f>
        <v>https://api-enni.alpina.ru/FilePrivilegesApproval/203</v>
      </c>
      <c r="Z1212" s="18" t="s">
        <v>1220</v>
      </c>
      <c r="AS1212" s="1">
        <f>IF($A1212&lt;&gt;0,1,0)</f>
        <v>0</v>
      </c>
      <c r="AT1212" s="1">
        <f>$A1212*$B1212</f>
        <v>0</v>
      </c>
      <c r="AU1212" s="1">
        <f>$A1212*$O1212</f>
        <v>0</v>
      </c>
      <c r="AV1212" s="1">
        <f>IF($R1212=0,0,INT($A1212/$R1212))</f>
        <v>0</v>
      </c>
      <c r="AW1212" s="1">
        <f>$A1212-$AV1212*$R1212</f>
        <v>0</v>
      </c>
    </row>
    <row r="1213" ht="24.95" customHeight="1" outlineLevel="3" s="1" customFormat="1">
      <c r="A1213" s="15"/>
      <c r="B1213" s="16">
        <v>570</v>
      </c>
      <c r="C1213" s="16">
        <v>855</v>
      </c>
      <c r="D1213" s="16">
        <v>27377</v>
      </c>
      <c r="E1213" s="18"/>
      <c r="F1213" s="18" t="s">
        <v>3992</v>
      </c>
      <c r="G1213" s="18" t="s">
        <v>3993</v>
      </c>
      <c r="H1213" s="18" t="s">
        <v>73</v>
      </c>
      <c r="I1213" s="18" t="s">
        <v>74</v>
      </c>
      <c r="J1213" s="16">
        <v>2023</v>
      </c>
      <c r="K1213" s="18" t="s">
        <v>3994</v>
      </c>
      <c r="L1213" s="16">
        <v>9785001399247</v>
      </c>
      <c r="M1213" s="18" t="s">
        <v>3995</v>
      </c>
      <c r="N1213" s="16">
        <v>544</v>
      </c>
      <c r="O1213" s="19">
        <v>0.35</v>
      </c>
      <c r="P1213" s="16">
        <v>120</v>
      </c>
      <c r="Q1213" s="16">
        <v>170</v>
      </c>
      <c r="R1213" s="16">
        <v>12</v>
      </c>
      <c r="S1213" s="18" t="s">
        <v>190</v>
      </c>
      <c r="T1213" s="18" t="s">
        <v>491</v>
      </c>
      <c r="U1213" s="17">
        <v>2000</v>
      </c>
      <c r="V1213" s="18" t="s">
        <v>44</v>
      </c>
      <c r="W1213" s="18" t="s">
        <v>91</v>
      </c>
      <c r="X1213" s="16">
        <v>10</v>
      </c>
      <c r="Y1213" s="43" t="str">
        <f>HYPERLINK("https://api-enni.alpina.ru/FilePrivilegesApproval/145","https://api-enni.alpina.ru/FilePrivilegesApproval/145")</f>
        <v>https://api-enni.alpina.ru/FilePrivilegesApproval/145</v>
      </c>
      <c r="Z1213" s="18" t="s">
        <v>1945</v>
      </c>
      <c r="AS1213" s="1">
        <f>IF($A1213&lt;&gt;0,1,0)</f>
        <v>0</v>
      </c>
      <c r="AT1213" s="1">
        <f>$A1213*$B1213</f>
        <v>0</v>
      </c>
      <c r="AU1213" s="1">
        <f>$A1213*$O1213</f>
        <v>0</v>
      </c>
      <c r="AV1213" s="1">
        <f>IF($R1213=0,0,INT($A1213/$R1213))</f>
        <v>0</v>
      </c>
      <c r="AW1213" s="1">
        <f>$A1213-$AV1213*$R1213</f>
        <v>0</v>
      </c>
    </row>
    <row r="1214" ht="24.95" customHeight="1" outlineLevel="3" s="1" customFormat="1">
      <c r="A1214" s="15"/>
      <c r="B1214" s="16">
        <v>440</v>
      </c>
      <c r="C1214" s="16">
        <v>682</v>
      </c>
      <c r="D1214" s="16">
        <v>29494</v>
      </c>
      <c r="E1214" s="18"/>
      <c r="F1214" s="18" t="s">
        <v>3996</v>
      </c>
      <c r="G1214" s="18" t="s">
        <v>3997</v>
      </c>
      <c r="H1214" s="18" t="s">
        <v>73</v>
      </c>
      <c r="I1214" s="18"/>
      <c r="J1214" s="16">
        <v>2024</v>
      </c>
      <c r="K1214" s="18" t="s">
        <v>3998</v>
      </c>
      <c r="L1214" s="16">
        <v>9785002231454</v>
      </c>
      <c r="M1214" s="18" t="s">
        <v>3999</v>
      </c>
      <c r="N1214" s="16">
        <v>272</v>
      </c>
      <c r="O1214" s="19">
        <v>0.19</v>
      </c>
      <c r="P1214" s="16">
        <v>120</v>
      </c>
      <c r="Q1214" s="16">
        <v>170</v>
      </c>
      <c r="R1214" s="16">
        <v>12</v>
      </c>
      <c r="S1214" s="18" t="s">
        <v>190</v>
      </c>
      <c r="T1214" s="18" t="s">
        <v>491</v>
      </c>
      <c r="U1214" s="17">
        <v>4000</v>
      </c>
      <c r="V1214" s="18" t="s">
        <v>44</v>
      </c>
      <c r="W1214" s="18" t="s">
        <v>91</v>
      </c>
      <c r="X1214" s="16">
        <v>10</v>
      </c>
      <c r="Y1214" s="43" t="str">
        <f>HYPERLINK("https://api-enni.alpina.ru/FilePrivilegesApproval/568","https://api-enni.alpina.ru/FilePrivilegesApproval/568")</f>
        <v>https://api-enni.alpina.ru/FilePrivilegesApproval/568</v>
      </c>
      <c r="Z1214" s="18"/>
      <c r="AS1214" s="1">
        <f>IF($A1214&lt;&gt;0,1,0)</f>
        <v>0</v>
      </c>
      <c r="AT1214" s="1">
        <f>$A1214*$B1214</f>
        <v>0</v>
      </c>
      <c r="AU1214" s="1">
        <f>$A1214*$O1214</f>
        <v>0</v>
      </c>
      <c r="AV1214" s="1">
        <f>IF($R1214=0,0,INT($A1214/$R1214))</f>
        <v>0</v>
      </c>
      <c r="AW1214" s="1">
        <f>$A1214-$AV1214*$R1214</f>
        <v>0</v>
      </c>
    </row>
    <row r="1215" ht="24.95" customHeight="1" outlineLevel="3" s="1" customFormat="1">
      <c r="A1215" s="15"/>
      <c r="B1215" s="16">
        <v>890</v>
      </c>
      <c r="C1215" s="17">
        <v>1246</v>
      </c>
      <c r="D1215" s="16">
        <v>29890</v>
      </c>
      <c r="E1215" s="18"/>
      <c r="F1215" s="18" t="s">
        <v>4000</v>
      </c>
      <c r="G1215" s="18" t="s">
        <v>4001</v>
      </c>
      <c r="H1215" s="18" t="s">
        <v>73</v>
      </c>
      <c r="I1215" s="18" t="s">
        <v>74</v>
      </c>
      <c r="J1215" s="16">
        <v>2026</v>
      </c>
      <c r="K1215" s="18" t="s">
        <v>4002</v>
      </c>
      <c r="L1215" s="16">
        <v>9785002232000</v>
      </c>
      <c r="M1215" s="18" t="s">
        <v>4003</v>
      </c>
      <c r="N1215" s="16">
        <v>320</v>
      </c>
      <c r="O1215" s="19">
        <v>0.48</v>
      </c>
      <c r="P1215" s="16">
        <v>150</v>
      </c>
      <c r="Q1215" s="16">
        <v>220</v>
      </c>
      <c r="R1215" s="16">
        <v>12</v>
      </c>
      <c r="S1215" s="18" t="s">
        <v>43</v>
      </c>
      <c r="T1215" s="18"/>
      <c r="U1215" s="17">
        <v>1500</v>
      </c>
      <c r="V1215" s="18" t="s">
        <v>77</v>
      </c>
      <c r="W1215" s="18" t="s">
        <v>69</v>
      </c>
      <c r="X1215" s="16">
        <v>10</v>
      </c>
      <c r="Y1215" s="43" t="str">
        <f>HYPERLINK("https://api-enni.alpina.ru/FilePrivilegesApproval/822","https://api-enni.alpina.ru/FilePrivilegesApproval/822")</f>
        <v>https://api-enni.alpina.ru/FilePrivilegesApproval/822</v>
      </c>
      <c r="Z1215" s="18"/>
      <c r="AS1215" s="1">
        <f>IF($A1215&lt;&gt;0,1,0)</f>
        <v>0</v>
      </c>
      <c r="AT1215" s="1">
        <f>$A1215*$B1215</f>
        <v>0</v>
      </c>
      <c r="AU1215" s="1">
        <f>$A1215*$O1215</f>
        <v>0</v>
      </c>
      <c r="AV1215" s="1">
        <f>IF($R1215=0,0,INT($A1215/$R1215))</f>
        <v>0</v>
      </c>
      <c r="AW1215" s="1">
        <f>$A1215-$AV1215*$R1215</f>
        <v>0</v>
      </c>
    </row>
    <row r="1216" ht="24.95" customHeight="1" outlineLevel="3" s="1" customFormat="1">
      <c r="A1216" s="15"/>
      <c r="B1216" s="16">
        <v>640</v>
      </c>
      <c r="C1216" s="16">
        <v>960</v>
      </c>
      <c r="D1216" s="16">
        <v>25877</v>
      </c>
      <c r="E1216" s="18"/>
      <c r="F1216" s="18" t="s">
        <v>4004</v>
      </c>
      <c r="G1216" s="18" t="s">
        <v>4005</v>
      </c>
      <c r="H1216" s="18" t="s">
        <v>73</v>
      </c>
      <c r="I1216" s="18"/>
      <c r="J1216" s="16">
        <v>2024</v>
      </c>
      <c r="K1216" s="18" t="s">
        <v>4006</v>
      </c>
      <c r="L1216" s="16">
        <v>9785001397212</v>
      </c>
      <c r="M1216" s="18" t="s">
        <v>4007</v>
      </c>
      <c r="N1216" s="16">
        <v>252</v>
      </c>
      <c r="O1216" s="19">
        <v>0.34</v>
      </c>
      <c r="P1216" s="16">
        <v>130</v>
      </c>
      <c r="Q1216" s="16">
        <v>210</v>
      </c>
      <c r="R1216" s="16">
        <v>16</v>
      </c>
      <c r="S1216" s="18" t="s">
        <v>90</v>
      </c>
      <c r="T1216" s="18"/>
      <c r="U1216" s="17">
        <v>1500</v>
      </c>
      <c r="V1216" s="18" t="s">
        <v>77</v>
      </c>
      <c r="W1216" s="18" t="s">
        <v>91</v>
      </c>
      <c r="X1216" s="16">
        <v>10</v>
      </c>
      <c r="Y1216" s="43" t="str">
        <f>HYPERLINK("https://api-enni.alpina.ru/FilePrivilegesApproval/346","https://api-enni.alpina.ru/FilePrivilegesApproval/346")</f>
        <v>https://api-enni.alpina.ru/FilePrivilegesApproval/346</v>
      </c>
      <c r="Z1216" s="18"/>
      <c r="AS1216" s="1">
        <f>IF($A1216&lt;&gt;0,1,0)</f>
        <v>0</v>
      </c>
      <c r="AT1216" s="1">
        <f>$A1216*$B1216</f>
        <v>0</v>
      </c>
      <c r="AU1216" s="1">
        <f>$A1216*$O1216</f>
        <v>0</v>
      </c>
      <c r="AV1216" s="1">
        <f>IF($R1216=0,0,INT($A1216/$R1216))</f>
        <v>0</v>
      </c>
      <c r="AW1216" s="1">
        <f>$A1216-$AV1216*$R1216</f>
        <v>0</v>
      </c>
    </row>
    <row r="1217" ht="24.95" customHeight="1" outlineLevel="3" s="1" customFormat="1">
      <c r="A1217" s="15"/>
      <c r="B1217" s="16">
        <v>790</v>
      </c>
      <c r="C1217" s="17">
        <v>1146</v>
      </c>
      <c r="D1217" s="16">
        <v>12615</v>
      </c>
      <c r="E1217" s="18"/>
      <c r="F1217" s="18" t="s">
        <v>4008</v>
      </c>
      <c r="G1217" s="18" t="s">
        <v>4009</v>
      </c>
      <c r="H1217" s="18" t="s">
        <v>73</v>
      </c>
      <c r="I1217" s="18"/>
      <c r="J1217" s="16">
        <v>2026</v>
      </c>
      <c r="K1217" s="18" t="s">
        <v>4010</v>
      </c>
      <c r="L1217" s="16">
        <v>9785001391302</v>
      </c>
      <c r="M1217" s="18" t="s">
        <v>4011</v>
      </c>
      <c r="N1217" s="16">
        <v>432</v>
      </c>
      <c r="O1217" s="19">
        <v>0.6</v>
      </c>
      <c r="P1217" s="16">
        <v>150</v>
      </c>
      <c r="Q1217" s="16">
        <v>220</v>
      </c>
      <c r="R1217" s="16">
        <v>5</v>
      </c>
      <c r="S1217" s="18" t="s">
        <v>43</v>
      </c>
      <c r="T1217" s="18" t="s">
        <v>4012</v>
      </c>
      <c r="U1217" s="17">
        <v>1000</v>
      </c>
      <c r="V1217" s="18" t="s">
        <v>77</v>
      </c>
      <c r="W1217" s="18" t="s">
        <v>45</v>
      </c>
      <c r="X1217" s="16">
        <v>10</v>
      </c>
      <c r="Y1217" s="43" t="str">
        <f>HYPERLINK("https://api-enni.alpina.ru/FilePrivilegesApproval/147","https://api-enni.alpina.ru/FilePrivilegesApproval/147")</f>
        <v>https://api-enni.alpina.ru/FilePrivilegesApproval/147</v>
      </c>
      <c r="Z1217" s="18" t="s">
        <v>843</v>
      </c>
      <c r="AS1217" s="1">
        <f>IF($A1217&lt;&gt;0,1,0)</f>
        <v>0</v>
      </c>
      <c r="AT1217" s="1">
        <f>$A1217*$B1217</f>
        <v>0</v>
      </c>
      <c r="AU1217" s="1">
        <f>$A1217*$O1217</f>
        <v>0</v>
      </c>
      <c r="AV1217" s="1">
        <f>IF($R1217=0,0,INT($A1217/$R1217))</f>
        <v>0</v>
      </c>
      <c r="AW1217" s="1">
        <f>$A1217-$AV1217*$R1217</f>
        <v>0</v>
      </c>
    </row>
    <row r="1218" ht="24.95" customHeight="1" outlineLevel="3" s="1" customFormat="1">
      <c r="A1218" s="15"/>
      <c r="B1218" s="16">
        <v>790</v>
      </c>
      <c r="C1218" s="17">
        <v>1146</v>
      </c>
      <c r="D1218" s="16">
        <v>27008</v>
      </c>
      <c r="E1218" s="18"/>
      <c r="F1218" s="18" t="s">
        <v>4013</v>
      </c>
      <c r="G1218" s="18" t="s">
        <v>4014</v>
      </c>
      <c r="H1218" s="18" t="s">
        <v>86</v>
      </c>
      <c r="I1218" s="18" t="s">
        <v>74</v>
      </c>
      <c r="J1218" s="16">
        <v>2025</v>
      </c>
      <c r="K1218" s="18" t="s">
        <v>4015</v>
      </c>
      <c r="L1218" s="16">
        <v>9785961483680</v>
      </c>
      <c r="M1218" s="18" t="s">
        <v>4016</v>
      </c>
      <c r="N1218" s="16">
        <v>416</v>
      </c>
      <c r="O1218" s="19">
        <v>0.59</v>
      </c>
      <c r="P1218" s="16">
        <v>150</v>
      </c>
      <c r="Q1218" s="16">
        <v>220</v>
      </c>
      <c r="R1218" s="16">
        <v>10</v>
      </c>
      <c r="S1218" s="18" t="s">
        <v>43</v>
      </c>
      <c r="T1218" s="18"/>
      <c r="U1218" s="17">
        <v>1000</v>
      </c>
      <c r="V1218" s="18" t="s">
        <v>77</v>
      </c>
      <c r="W1218" s="18" t="s">
        <v>91</v>
      </c>
      <c r="X1218" s="16">
        <v>10</v>
      </c>
      <c r="Y1218" s="43" t="str">
        <f>HYPERLINK("https://api-enni.alpina.ru/FilePrivilegesApproval/292","https://api-enni.alpina.ru/FilePrivilegesApproval/292")</f>
        <v>https://api-enni.alpina.ru/FilePrivilegesApproval/292</v>
      </c>
      <c r="Z1218" s="18"/>
      <c r="AS1218" s="1">
        <f>IF($A1218&lt;&gt;0,1,0)</f>
        <v>0</v>
      </c>
      <c r="AT1218" s="1">
        <f>$A1218*$B1218</f>
        <v>0</v>
      </c>
      <c r="AU1218" s="1">
        <f>$A1218*$O1218</f>
        <v>0</v>
      </c>
      <c r="AV1218" s="1">
        <f>IF($R1218=0,0,INT($A1218/$R1218))</f>
        <v>0</v>
      </c>
      <c r="AW1218" s="1">
        <f>$A1218-$AV1218*$R1218</f>
        <v>0</v>
      </c>
    </row>
    <row r="1219" ht="24.95" customHeight="1" outlineLevel="3" s="1" customFormat="1">
      <c r="A1219" s="15"/>
      <c r="B1219" s="17">
        <v>1290</v>
      </c>
      <c r="C1219" s="17">
        <v>1742</v>
      </c>
      <c r="D1219" s="16">
        <v>18031</v>
      </c>
      <c r="E1219" s="18"/>
      <c r="F1219" s="18" t="s">
        <v>2860</v>
      </c>
      <c r="G1219" s="18" t="s">
        <v>4017</v>
      </c>
      <c r="H1219" s="18" t="s">
        <v>73</v>
      </c>
      <c r="I1219" s="18" t="s">
        <v>74</v>
      </c>
      <c r="J1219" s="16">
        <v>2023</v>
      </c>
      <c r="K1219" s="18" t="s">
        <v>4018</v>
      </c>
      <c r="L1219" s="16">
        <v>9785001392507</v>
      </c>
      <c r="M1219" s="18" t="s">
        <v>4019</v>
      </c>
      <c r="N1219" s="16">
        <v>562</v>
      </c>
      <c r="O1219" s="19">
        <v>0.85</v>
      </c>
      <c r="P1219" s="16">
        <v>170</v>
      </c>
      <c r="Q1219" s="16">
        <v>240</v>
      </c>
      <c r="R1219" s="16">
        <v>5</v>
      </c>
      <c r="S1219" s="18" t="s">
        <v>123</v>
      </c>
      <c r="T1219" s="18"/>
      <c r="U1219" s="17">
        <v>3000</v>
      </c>
      <c r="V1219" s="18" t="s">
        <v>77</v>
      </c>
      <c r="W1219" s="18" t="s">
        <v>69</v>
      </c>
      <c r="X1219" s="16">
        <v>10</v>
      </c>
      <c r="Y1219" s="43" t="str">
        <f>HYPERLINK("https://api-enni.alpina.ru/FilePrivilegesApproval/323","https://api-enni.alpina.ru/FilePrivilegesApproval/323")</f>
        <v>https://api-enni.alpina.ru/FilePrivilegesApproval/323</v>
      </c>
      <c r="Z1219" s="18"/>
      <c r="AS1219" s="1">
        <f>IF($A1219&lt;&gt;0,1,0)</f>
        <v>0</v>
      </c>
      <c r="AT1219" s="1">
        <f>$A1219*$B1219</f>
        <v>0</v>
      </c>
      <c r="AU1219" s="1">
        <f>$A1219*$O1219</f>
        <v>0</v>
      </c>
      <c r="AV1219" s="1">
        <f>IF($R1219=0,0,INT($A1219/$R1219))</f>
        <v>0</v>
      </c>
      <c r="AW1219" s="1">
        <f>$A1219-$AV1219*$R1219</f>
        <v>0</v>
      </c>
    </row>
    <row r="1220" ht="11.1" customHeight="1" outlineLevel="2">
      <c r="A1220" s="41" t="s">
        <v>4020</v>
      </c>
      <c r="B1220" s="41"/>
      <c r="C1220" s="41"/>
      <c r="D1220" s="41"/>
      <c r="E1220" s="41"/>
      <c r="F1220" s="41"/>
      <c r="G1220" s="41"/>
      <c r="H1220" s="41"/>
      <c r="I1220" s="41"/>
      <c r="J1220" s="41"/>
      <c r="K1220" s="41"/>
      <c r="L1220" s="41"/>
      <c r="M1220" s="41"/>
      <c r="N1220" s="41"/>
      <c r="O1220" s="41"/>
      <c r="P1220" s="41"/>
      <c r="Q1220" s="41"/>
      <c r="R1220" s="41"/>
      <c r="S1220" s="41"/>
      <c r="T1220" s="41"/>
      <c r="U1220" s="41"/>
      <c r="V1220" s="41"/>
      <c r="W1220" s="41"/>
      <c r="X1220" s="41"/>
      <c r="Y1220" s="41"/>
      <c r="Z1220" s="24"/>
    </row>
    <row r="1221" ht="24.95" customHeight="1" outlineLevel="3" s="1" customFormat="1">
      <c r="A1221" s="25"/>
      <c r="B1221" s="26">
        <v>740</v>
      </c>
      <c r="C1221" s="29">
        <v>1073</v>
      </c>
      <c r="D1221" s="26">
        <v>26023</v>
      </c>
      <c r="E1221" s="27"/>
      <c r="F1221" s="27" t="s">
        <v>3194</v>
      </c>
      <c r="G1221" s="27" t="s">
        <v>4021</v>
      </c>
      <c r="H1221" s="27" t="s">
        <v>95</v>
      </c>
      <c r="I1221" s="27"/>
      <c r="J1221" s="26">
        <v>2022</v>
      </c>
      <c r="K1221" s="27" t="s">
        <v>4022</v>
      </c>
      <c r="L1221" s="26">
        <v>9785206000504</v>
      </c>
      <c r="M1221" s="27" t="s">
        <v>4023</v>
      </c>
      <c r="N1221" s="26">
        <v>320</v>
      </c>
      <c r="O1221" s="28">
        <v>0.67</v>
      </c>
      <c r="P1221" s="26">
        <v>146</v>
      </c>
      <c r="Q1221" s="26">
        <v>216</v>
      </c>
      <c r="R1221" s="26">
        <v>6</v>
      </c>
      <c r="S1221" s="27" t="s">
        <v>43</v>
      </c>
      <c r="T1221" s="27"/>
      <c r="U1221" s="29">
        <v>1000</v>
      </c>
      <c r="V1221" s="27" t="s">
        <v>77</v>
      </c>
      <c r="W1221" s="27" t="s">
        <v>91</v>
      </c>
      <c r="X1221" s="26">
        <v>10</v>
      </c>
      <c r="Y1221" s="45" t="str">
        <f>HYPERLINK("https://api-enni.alpina.ru/FilePrivilegesApproval/167","https://api-enni.alpina.ru/FilePrivilegesApproval/167")</f>
        <v>https://api-enni.alpina.ru/FilePrivilegesApproval/167</v>
      </c>
      <c r="Z1221" s="27"/>
      <c r="AS1221" s="1">
        <f>IF($A1221&lt;&gt;0,1,0)</f>
        <v>0</v>
      </c>
      <c r="AT1221" s="1">
        <f>$A1221*$B1221</f>
        <v>0</v>
      </c>
      <c r="AU1221" s="1">
        <f>$A1221*$O1221</f>
        <v>0</v>
      </c>
      <c r="AV1221" s="1">
        <f>IF($R1221=0,0,INT($A1221/$R1221))</f>
        <v>0</v>
      </c>
      <c r="AW1221" s="1">
        <f>$A1221-$AV1221*$R1221</f>
        <v>0</v>
      </c>
    </row>
    <row r="1222" ht="24.95" customHeight="1" outlineLevel="3" s="1" customFormat="1">
      <c r="A1222" s="15"/>
      <c r="B1222" s="16">
        <v>690</v>
      </c>
      <c r="C1222" s="17">
        <v>1035</v>
      </c>
      <c r="D1222" s="16">
        <v>23293</v>
      </c>
      <c r="E1222" s="18"/>
      <c r="F1222" s="18" t="s">
        <v>4024</v>
      </c>
      <c r="G1222" s="18" t="s">
        <v>4025</v>
      </c>
      <c r="H1222" s="18" t="s">
        <v>86</v>
      </c>
      <c r="I1222" s="18"/>
      <c r="J1222" s="16">
        <v>2021</v>
      </c>
      <c r="K1222" s="18" t="s">
        <v>4026</v>
      </c>
      <c r="L1222" s="16">
        <v>9785961474121</v>
      </c>
      <c r="M1222" s="18" t="s">
        <v>4027</v>
      </c>
      <c r="N1222" s="16">
        <v>216</v>
      </c>
      <c r="O1222" s="19">
        <v>0.33</v>
      </c>
      <c r="P1222" s="16">
        <v>163</v>
      </c>
      <c r="Q1222" s="16">
        <v>215</v>
      </c>
      <c r="R1222" s="16">
        <v>10</v>
      </c>
      <c r="S1222" s="18" t="s">
        <v>52</v>
      </c>
      <c r="T1222" s="18"/>
      <c r="U1222" s="17">
        <v>2000</v>
      </c>
      <c r="V1222" s="18" t="s">
        <v>44</v>
      </c>
      <c r="W1222" s="18" t="s">
        <v>69</v>
      </c>
      <c r="X1222" s="16">
        <v>10</v>
      </c>
      <c r="Y1222" s="43" t="str">
        <f>HYPERLINK("https://api-enni.alpina.ru/FilePrivilegesApproval/122","https://api-enni.alpina.ru/FilePrivilegesApproval/122")</f>
        <v>https://api-enni.alpina.ru/FilePrivilegesApproval/122</v>
      </c>
      <c r="Z1222" s="18"/>
      <c r="AS1222" s="1">
        <f>IF($A1222&lt;&gt;0,1,0)</f>
        <v>0</v>
      </c>
      <c r="AT1222" s="1">
        <f>$A1222*$B1222</f>
        <v>0</v>
      </c>
      <c r="AU1222" s="1">
        <f>$A1222*$O1222</f>
        <v>0</v>
      </c>
      <c r="AV1222" s="1">
        <f>IF($R1222=0,0,INT($A1222/$R1222))</f>
        <v>0</v>
      </c>
      <c r="AW1222" s="1">
        <f>$A1222-$AV1222*$R1222</f>
        <v>0</v>
      </c>
    </row>
    <row r="1223" ht="24.95" customHeight="1" outlineLevel="3" s="1" customFormat="1">
      <c r="A1223" s="25"/>
      <c r="B1223" s="26">
        <v>440</v>
      </c>
      <c r="C1223" s="26">
        <v>682</v>
      </c>
      <c r="D1223" s="26">
        <v>16015</v>
      </c>
      <c r="E1223" s="27"/>
      <c r="F1223" s="27" t="s">
        <v>4028</v>
      </c>
      <c r="G1223" s="27" t="s">
        <v>4029</v>
      </c>
      <c r="H1223" s="27" t="s">
        <v>95</v>
      </c>
      <c r="I1223" s="27"/>
      <c r="J1223" s="26">
        <v>2024</v>
      </c>
      <c r="K1223" s="27" t="s">
        <v>4030</v>
      </c>
      <c r="L1223" s="26">
        <v>9785604288269</v>
      </c>
      <c r="M1223" s="27" t="s">
        <v>4031</v>
      </c>
      <c r="N1223" s="26">
        <v>276</v>
      </c>
      <c r="O1223" s="28">
        <v>0.43</v>
      </c>
      <c r="P1223" s="26">
        <v>150</v>
      </c>
      <c r="Q1223" s="26">
        <v>220</v>
      </c>
      <c r="R1223" s="26">
        <v>7</v>
      </c>
      <c r="S1223" s="27" t="s">
        <v>43</v>
      </c>
      <c r="T1223" s="27"/>
      <c r="U1223" s="29">
        <v>1000</v>
      </c>
      <c r="V1223" s="27" t="s">
        <v>77</v>
      </c>
      <c r="W1223" s="27" t="s">
        <v>69</v>
      </c>
      <c r="X1223" s="26">
        <v>10</v>
      </c>
      <c r="Y1223" s="45" t="str">
        <f>HYPERLINK("https://api-enni.alpina.ru/FilePrivilegesApproval/36","https://api-enni.alpina.ru/FilePrivilegesApproval/36")</f>
        <v>https://api-enni.alpina.ru/FilePrivilegesApproval/36</v>
      </c>
      <c r="Z1223" s="27"/>
      <c r="AS1223" s="1">
        <f>IF($A1223&lt;&gt;0,1,0)</f>
        <v>0</v>
      </c>
      <c r="AT1223" s="1">
        <f>$A1223*$B1223</f>
        <v>0</v>
      </c>
      <c r="AU1223" s="1">
        <f>$A1223*$O1223</f>
        <v>0</v>
      </c>
      <c r="AV1223" s="1">
        <f>IF($R1223=0,0,INT($A1223/$R1223))</f>
        <v>0</v>
      </c>
      <c r="AW1223" s="1">
        <f>$A1223-$AV1223*$R1223</f>
        <v>0</v>
      </c>
    </row>
    <row r="1224" ht="24.95" customHeight="1" outlineLevel="3" s="1" customFormat="1">
      <c r="A1224" s="15"/>
      <c r="B1224" s="17">
        <v>1990</v>
      </c>
      <c r="C1224" s="17">
        <v>2587</v>
      </c>
      <c r="D1224" s="16">
        <v>7806</v>
      </c>
      <c r="E1224" s="18"/>
      <c r="F1224" s="18" t="s">
        <v>4032</v>
      </c>
      <c r="G1224" s="18" t="s">
        <v>4033</v>
      </c>
      <c r="H1224" s="18" t="s">
        <v>73</v>
      </c>
      <c r="I1224" s="18"/>
      <c r="J1224" s="16">
        <v>2025</v>
      </c>
      <c r="K1224" s="18" t="s">
        <v>4034</v>
      </c>
      <c r="L1224" s="16">
        <v>9785916719185</v>
      </c>
      <c r="M1224" s="18" t="s">
        <v>4035</v>
      </c>
      <c r="N1224" s="16">
        <v>455</v>
      </c>
      <c r="O1224" s="19">
        <v>1.2</v>
      </c>
      <c r="P1224" s="16">
        <v>200</v>
      </c>
      <c r="Q1224" s="16">
        <v>240</v>
      </c>
      <c r="R1224" s="16">
        <v>4</v>
      </c>
      <c r="S1224" s="18" t="s">
        <v>328</v>
      </c>
      <c r="T1224" s="18"/>
      <c r="U1224" s="17">
        <v>2000</v>
      </c>
      <c r="V1224" s="18" t="s">
        <v>77</v>
      </c>
      <c r="W1224" s="18" t="s">
        <v>91</v>
      </c>
      <c r="X1224" s="16">
        <v>10</v>
      </c>
      <c r="Y1224" s="43" t="str">
        <f>HYPERLINK("https://api-enni.alpina.ru/FilePrivilegesApproval/149","https://api-enni.alpina.ru/FilePrivilegesApproval/149")</f>
        <v>https://api-enni.alpina.ru/FilePrivilegesApproval/149</v>
      </c>
      <c r="Z1224" s="18"/>
      <c r="AS1224" s="1">
        <f>IF($A1224&lt;&gt;0,1,0)</f>
        <v>0</v>
      </c>
      <c r="AT1224" s="1">
        <f>$A1224*$B1224</f>
        <v>0</v>
      </c>
      <c r="AU1224" s="1">
        <f>$A1224*$O1224</f>
        <v>0</v>
      </c>
      <c r="AV1224" s="1">
        <f>IF($R1224=0,0,INT($A1224/$R1224))</f>
        <v>0</v>
      </c>
      <c r="AW1224" s="1">
        <f>$A1224-$AV1224*$R1224</f>
        <v>0</v>
      </c>
    </row>
    <row r="1225" ht="24.95" customHeight="1" outlineLevel="3" s="1" customFormat="1">
      <c r="A1225" s="15"/>
      <c r="B1225" s="17">
        <v>1300</v>
      </c>
      <c r="C1225" s="17">
        <v>1755</v>
      </c>
      <c r="D1225" s="16">
        <v>20569</v>
      </c>
      <c r="E1225" s="18"/>
      <c r="F1225" s="18" t="s">
        <v>324</v>
      </c>
      <c r="G1225" s="18" t="s">
        <v>4036</v>
      </c>
      <c r="H1225" s="18" t="s">
        <v>86</v>
      </c>
      <c r="I1225" s="18"/>
      <c r="J1225" s="16">
        <v>2025</v>
      </c>
      <c r="K1225" s="18" t="s">
        <v>4037</v>
      </c>
      <c r="L1225" s="16">
        <v>9785961440430</v>
      </c>
      <c r="M1225" s="18" t="s">
        <v>4038</v>
      </c>
      <c r="N1225" s="16">
        <v>333</v>
      </c>
      <c r="O1225" s="19">
        <v>1.13</v>
      </c>
      <c r="P1225" s="16">
        <v>210</v>
      </c>
      <c r="Q1225" s="16">
        <v>270</v>
      </c>
      <c r="R1225" s="16">
        <v>5</v>
      </c>
      <c r="S1225" s="18" t="s">
        <v>328</v>
      </c>
      <c r="T1225" s="18"/>
      <c r="U1225" s="17">
        <v>1500</v>
      </c>
      <c r="V1225" s="18" t="s">
        <v>77</v>
      </c>
      <c r="W1225" s="18" t="s">
        <v>91</v>
      </c>
      <c r="X1225" s="16">
        <v>10</v>
      </c>
      <c r="Y1225" s="43" t="str">
        <f>HYPERLINK("https://api-enni.alpina.ru/FilePrivilegesApproval/152","https://api-enni.alpina.ru/FilePrivilegesApproval/152")</f>
        <v>https://api-enni.alpina.ru/FilePrivilegesApproval/152</v>
      </c>
      <c r="Z1225" s="18"/>
      <c r="AS1225" s="1">
        <f>IF($A1225&lt;&gt;0,1,0)</f>
        <v>0</v>
      </c>
      <c r="AT1225" s="1">
        <f>$A1225*$B1225</f>
        <v>0</v>
      </c>
      <c r="AU1225" s="1">
        <f>$A1225*$O1225</f>
        <v>0</v>
      </c>
      <c r="AV1225" s="1">
        <f>IF($R1225=0,0,INT($A1225/$R1225))</f>
        <v>0</v>
      </c>
      <c r="AW1225" s="1">
        <f>$A1225-$AV1225*$R1225</f>
        <v>0</v>
      </c>
    </row>
    <row r="1226" ht="24.95" customHeight="1" outlineLevel="3" s="1" customFormat="1">
      <c r="A1226" s="15"/>
      <c r="B1226" s="17">
        <v>2080</v>
      </c>
      <c r="C1226" s="17">
        <v>2704</v>
      </c>
      <c r="D1226" s="16">
        <v>26858</v>
      </c>
      <c r="E1226" s="18"/>
      <c r="F1226" s="18" t="s">
        <v>4032</v>
      </c>
      <c r="G1226" s="18" t="s">
        <v>4039</v>
      </c>
      <c r="H1226" s="18" t="s">
        <v>73</v>
      </c>
      <c r="I1226" s="18"/>
      <c r="J1226" s="16">
        <v>2026</v>
      </c>
      <c r="K1226" s="18" t="s">
        <v>4040</v>
      </c>
      <c r="L1226" s="16">
        <v>9785001398455</v>
      </c>
      <c r="M1226" s="18" t="s">
        <v>4041</v>
      </c>
      <c r="N1226" s="16">
        <v>472</v>
      </c>
      <c r="O1226" s="19">
        <v>1.24</v>
      </c>
      <c r="P1226" s="16">
        <v>200</v>
      </c>
      <c r="Q1226" s="16">
        <v>240</v>
      </c>
      <c r="R1226" s="16">
        <v>4</v>
      </c>
      <c r="S1226" s="18" t="s">
        <v>328</v>
      </c>
      <c r="T1226" s="18"/>
      <c r="U1226" s="17">
        <v>2000</v>
      </c>
      <c r="V1226" s="18" t="s">
        <v>77</v>
      </c>
      <c r="W1226" s="18" t="s">
        <v>91</v>
      </c>
      <c r="X1226" s="16">
        <v>10</v>
      </c>
      <c r="Y1226" s="43" t="str">
        <f>HYPERLINK("https://api-enni.alpina.ru/FilePrivilegesApproval/353","https://api-enni.alpina.ru/FilePrivilegesApproval/353")</f>
        <v>https://api-enni.alpina.ru/FilePrivilegesApproval/353</v>
      </c>
      <c r="Z1226" s="18" t="s">
        <v>690</v>
      </c>
      <c r="AS1226" s="1">
        <f>IF($A1226&lt;&gt;0,1,0)</f>
        <v>0</v>
      </c>
      <c r="AT1226" s="1">
        <f>$A1226*$B1226</f>
        <v>0</v>
      </c>
      <c r="AU1226" s="1">
        <f>$A1226*$O1226</f>
        <v>0</v>
      </c>
      <c r="AV1226" s="1">
        <f>IF($R1226=0,0,INT($A1226/$R1226))</f>
        <v>0</v>
      </c>
      <c r="AW1226" s="1">
        <f>$A1226-$AV1226*$R1226</f>
        <v>0</v>
      </c>
    </row>
    <row r="1227" ht="24.95" customHeight="1" outlineLevel="3" s="1" customFormat="1">
      <c r="A1227" s="25"/>
      <c r="B1227" s="26">
        <v>790</v>
      </c>
      <c r="C1227" s="29">
        <v>1146</v>
      </c>
      <c r="D1227" s="26">
        <v>29079</v>
      </c>
      <c r="E1227" s="27"/>
      <c r="F1227" s="27" t="s">
        <v>4042</v>
      </c>
      <c r="G1227" s="27" t="s">
        <v>4043</v>
      </c>
      <c r="H1227" s="27" t="s">
        <v>86</v>
      </c>
      <c r="I1227" s="27"/>
      <c r="J1227" s="26">
        <v>2026</v>
      </c>
      <c r="K1227" s="27" t="s">
        <v>4044</v>
      </c>
      <c r="L1227" s="26">
        <v>9785961491364</v>
      </c>
      <c r="M1227" s="27" t="s">
        <v>4045</v>
      </c>
      <c r="N1227" s="26">
        <v>451</v>
      </c>
      <c r="O1227" s="28">
        <v>0.51</v>
      </c>
      <c r="P1227" s="26">
        <v>150</v>
      </c>
      <c r="Q1227" s="26">
        <v>220</v>
      </c>
      <c r="R1227" s="26">
        <v>10</v>
      </c>
      <c r="S1227" s="27" t="s">
        <v>43</v>
      </c>
      <c r="T1227" s="27"/>
      <c r="U1227" s="29">
        <v>1000</v>
      </c>
      <c r="V1227" s="27" t="s">
        <v>77</v>
      </c>
      <c r="W1227" s="27" t="s">
        <v>69</v>
      </c>
      <c r="X1227" s="26">
        <v>10</v>
      </c>
      <c r="Y1227" s="45" t="str">
        <f>HYPERLINK("https://api-enni.alpina.ru/FilePrivilegesApproval/388","https://api-enni.alpina.ru/FilePrivilegesApproval/388")</f>
        <v>https://api-enni.alpina.ru/FilePrivilegesApproval/388</v>
      </c>
      <c r="Z1227" s="27"/>
      <c r="AS1227" s="1">
        <f>IF($A1227&lt;&gt;0,1,0)</f>
        <v>0</v>
      </c>
      <c r="AT1227" s="1">
        <f>$A1227*$B1227</f>
        <v>0</v>
      </c>
      <c r="AU1227" s="1">
        <f>$A1227*$O1227</f>
        <v>0</v>
      </c>
      <c r="AV1227" s="1">
        <f>IF($R1227=0,0,INT($A1227/$R1227))</f>
        <v>0</v>
      </c>
      <c r="AW1227" s="1">
        <f>$A1227-$AV1227*$R1227</f>
        <v>0</v>
      </c>
    </row>
    <row r="1228" ht="21.95" customHeight="1" outlineLevel="3" s="1" customFormat="1">
      <c r="A1228" s="15"/>
      <c r="B1228" s="16">
        <v>803</v>
      </c>
      <c r="C1228" s="17">
        <v>1164</v>
      </c>
      <c r="D1228" s="16">
        <v>25411</v>
      </c>
      <c r="E1228" s="18"/>
      <c r="F1228" s="18" t="s">
        <v>4046</v>
      </c>
      <c r="G1228" s="18" t="s">
        <v>4047</v>
      </c>
      <c r="H1228" s="18" t="s">
        <v>73</v>
      </c>
      <c r="I1228" s="18" t="s">
        <v>74</v>
      </c>
      <c r="J1228" s="16">
        <v>2025</v>
      </c>
      <c r="K1228" s="18" t="s">
        <v>4048</v>
      </c>
      <c r="L1228" s="16">
        <v>9785001396666</v>
      </c>
      <c r="M1228" s="18" t="s">
        <v>4049</v>
      </c>
      <c r="N1228" s="16">
        <v>374</v>
      </c>
      <c r="O1228" s="19">
        <v>0.28</v>
      </c>
      <c r="P1228" s="16">
        <v>130</v>
      </c>
      <c r="Q1228" s="16">
        <v>200</v>
      </c>
      <c r="R1228" s="16">
        <v>10</v>
      </c>
      <c r="S1228" s="18" t="s">
        <v>90</v>
      </c>
      <c r="T1228" s="18"/>
      <c r="U1228" s="17">
        <v>2000</v>
      </c>
      <c r="V1228" s="18" t="s">
        <v>44</v>
      </c>
      <c r="W1228" s="18" t="s">
        <v>45</v>
      </c>
      <c r="X1228" s="16">
        <v>22</v>
      </c>
      <c r="Y1228" s="43" t="str">
        <f>HYPERLINK("","")</f>
      </c>
      <c r="Z1228" s="18"/>
      <c r="AS1228" s="1">
        <f>IF($A1228&lt;&gt;0,1,0)</f>
        <v>0</v>
      </c>
      <c r="AT1228" s="1">
        <f>$A1228*$B1228</f>
        <v>0</v>
      </c>
      <c r="AU1228" s="1">
        <f>$A1228*$O1228</f>
        <v>0</v>
      </c>
      <c r="AV1228" s="1">
        <f>IF($R1228=0,0,INT($A1228/$R1228))</f>
        <v>0</v>
      </c>
      <c r="AW1228" s="1">
        <f>$A1228-$AV1228*$R1228</f>
        <v>0</v>
      </c>
    </row>
    <row r="1229" ht="24.95" customHeight="1" outlineLevel="3" s="1" customFormat="1">
      <c r="A1229" s="15"/>
      <c r="B1229" s="16">
        <v>790</v>
      </c>
      <c r="C1229" s="17">
        <v>1146</v>
      </c>
      <c r="D1229" s="16">
        <v>26806</v>
      </c>
      <c r="E1229" s="18"/>
      <c r="F1229" s="18" t="s">
        <v>3323</v>
      </c>
      <c r="G1229" s="18" t="s">
        <v>4050</v>
      </c>
      <c r="H1229" s="18" t="s">
        <v>86</v>
      </c>
      <c r="I1229" s="18" t="s">
        <v>74</v>
      </c>
      <c r="J1229" s="16">
        <v>2025</v>
      </c>
      <c r="K1229" s="18" t="s">
        <v>4051</v>
      </c>
      <c r="L1229" s="16">
        <v>9785961483109</v>
      </c>
      <c r="M1229" s="18" t="s">
        <v>4052</v>
      </c>
      <c r="N1229" s="16">
        <v>372</v>
      </c>
      <c r="O1229" s="19">
        <v>0.7</v>
      </c>
      <c r="P1229" s="16">
        <v>150</v>
      </c>
      <c r="Q1229" s="16">
        <v>220</v>
      </c>
      <c r="R1229" s="16">
        <v>10</v>
      </c>
      <c r="S1229" s="18" t="s">
        <v>43</v>
      </c>
      <c r="T1229" s="18"/>
      <c r="U1229" s="17">
        <v>2000</v>
      </c>
      <c r="V1229" s="18" t="s">
        <v>77</v>
      </c>
      <c r="W1229" s="18" t="s">
        <v>69</v>
      </c>
      <c r="X1229" s="16">
        <v>10</v>
      </c>
      <c r="Y1229" s="43" t="str">
        <f>HYPERLINK("https://api-enni.alpina.ru/FilePrivilegesApproval/283","https://api-enni.alpina.ru/FilePrivilegesApproval/283")</f>
        <v>https://api-enni.alpina.ru/FilePrivilegesApproval/283</v>
      </c>
      <c r="Z1229" s="18"/>
      <c r="AS1229" s="1">
        <f>IF($A1229&lt;&gt;0,1,0)</f>
        <v>0</v>
      </c>
      <c r="AT1229" s="1">
        <f>$A1229*$B1229</f>
        <v>0</v>
      </c>
      <c r="AU1229" s="1">
        <f>$A1229*$O1229</f>
        <v>0</v>
      </c>
      <c r="AV1229" s="1">
        <f>IF($R1229=0,0,INT($A1229/$R1229))</f>
        <v>0</v>
      </c>
      <c r="AW1229" s="1">
        <f>$A1229-$AV1229*$R1229</f>
        <v>0</v>
      </c>
    </row>
    <row r="1230" ht="24.95" customHeight="1" outlineLevel="3" s="1" customFormat="1">
      <c r="A1230" s="25"/>
      <c r="B1230" s="26">
        <v>440</v>
      </c>
      <c r="C1230" s="26">
        <v>682</v>
      </c>
      <c r="D1230" s="26">
        <v>8949</v>
      </c>
      <c r="E1230" s="27"/>
      <c r="F1230" s="27" t="s">
        <v>4053</v>
      </c>
      <c r="G1230" s="27" t="s">
        <v>4054</v>
      </c>
      <c r="H1230" s="27" t="s">
        <v>95</v>
      </c>
      <c r="I1230" s="27" t="s">
        <v>74</v>
      </c>
      <c r="J1230" s="26">
        <v>2020</v>
      </c>
      <c r="K1230" s="27" t="s">
        <v>4055</v>
      </c>
      <c r="L1230" s="26">
        <v>9785604287873</v>
      </c>
      <c r="M1230" s="27" t="s">
        <v>4056</v>
      </c>
      <c r="N1230" s="26">
        <v>460</v>
      </c>
      <c r="O1230" s="28">
        <v>0.63</v>
      </c>
      <c r="P1230" s="26">
        <v>146</v>
      </c>
      <c r="Q1230" s="26">
        <v>216</v>
      </c>
      <c r="R1230" s="26">
        <v>6</v>
      </c>
      <c r="S1230" s="27" t="s">
        <v>43</v>
      </c>
      <c r="T1230" s="27"/>
      <c r="U1230" s="29">
        <v>2000</v>
      </c>
      <c r="V1230" s="27" t="s">
        <v>77</v>
      </c>
      <c r="W1230" s="27" t="s">
        <v>184</v>
      </c>
      <c r="X1230" s="26">
        <v>10</v>
      </c>
      <c r="Y1230" s="45" t="str">
        <f>HYPERLINK("https://api-enni.alpina.ru/FilePrivilegesApproval/36","https://api-enni.alpina.ru/FilePrivilegesApproval/36")</f>
        <v>https://api-enni.alpina.ru/FilePrivilegesApproval/36</v>
      </c>
      <c r="Z1230" s="27"/>
      <c r="AS1230" s="1">
        <f>IF($A1230&lt;&gt;0,1,0)</f>
        <v>0</v>
      </c>
      <c r="AT1230" s="1">
        <f>$A1230*$B1230</f>
        <v>0</v>
      </c>
      <c r="AU1230" s="1">
        <f>$A1230*$O1230</f>
        <v>0</v>
      </c>
      <c r="AV1230" s="1">
        <f>IF($R1230=0,0,INT($A1230/$R1230))</f>
        <v>0</v>
      </c>
      <c r="AW1230" s="1">
        <f>$A1230-$AV1230*$R1230</f>
        <v>0</v>
      </c>
    </row>
    <row r="1231" ht="11.1" customHeight="1" outlineLevel="3" s="1" customFormat="1">
      <c r="A1231" s="15"/>
      <c r="B1231" s="17">
        <v>1057</v>
      </c>
      <c r="C1231" s="17">
        <v>1427</v>
      </c>
      <c r="D1231" s="16">
        <v>31295</v>
      </c>
      <c r="E1231" s="18"/>
      <c r="F1231" s="18" t="s">
        <v>3277</v>
      </c>
      <c r="G1231" s="18" t="s">
        <v>4057</v>
      </c>
      <c r="H1231" s="18" t="s">
        <v>95</v>
      </c>
      <c r="I1231" s="18" t="s">
        <v>74</v>
      </c>
      <c r="J1231" s="16">
        <v>2024</v>
      </c>
      <c r="K1231" s="18" t="s">
        <v>4058</v>
      </c>
      <c r="L1231" s="16">
        <v>9785206003628</v>
      </c>
      <c r="M1231" s="18" t="s">
        <v>4059</v>
      </c>
      <c r="N1231" s="16">
        <v>232</v>
      </c>
      <c r="O1231" s="19">
        <v>0.5</v>
      </c>
      <c r="P1231" s="16">
        <v>170</v>
      </c>
      <c r="Q1231" s="16">
        <v>240</v>
      </c>
      <c r="R1231" s="16">
        <v>10</v>
      </c>
      <c r="S1231" s="18" t="s">
        <v>123</v>
      </c>
      <c r="T1231" s="18"/>
      <c r="U1231" s="17">
        <v>1000</v>
      </c>
      <c r="V1231" s="18" t="s">
        <v>77</v>
      </c>
      <c r="W1231" s="18" t="s">
        <v>45</v>
      </c>
      <c r="X1231" s="16">
        <v>22</v>
      </c>
      <c r="Y1231" s="43" t="str">
        <f>HYPERLINK("","")</f>
      </c>
      <c r="Z1231" s="18"/>
      <c r="AS1231" s="1">
        <f>IF($A1231&lt;&gt;0,1,0)</f>
        <v>0</v>
      </c>
      <c r="AT1231" s="1">
        <f>$A1231*$B1231</f>
        <v>0</v>
      </c>
      <c r="AU1231" s="1">
        <f>$A1231*$O1231</f>
        <v>0</v>
      </c>
      <c r="AV1231" s="1">
        <f>IF($R1231=0,0,INT($A1231/$R1231))</f>
        <v>0</v>
      </c>
      <c r="AW1231" s="1">
        <f>$A1231-$AV1231*$R1231</f>
        <v>0</v>
      </c>
    </row>
    <row r="1232" ht="24.95" customHeight="1" outlineLevel="3" s="1" customFormat="1">
      <c r="A1232" s="15"/>
      <c r="B1232" s="16">
        <v>590</v>
      </c>
      <c r="C1232" s="16">
        <v>885</v>
      </c>
      <c r="D1232" s="16">
        <v>24702</v>
      </c>
      <c r="E1232" s="18"/>
      <c r="F1232" s="18" t="s">
        <v>4060</v>
      </c>
      <c r="G1232" s="18" t="s">
        <v>4061</v>
      </c>
      <c r="H1232" s="18" t="s">
        <v>86</v>
      </c>
      <c r="I1232" s="18"/>
      <c r="J1232" s="16">
        <v>2022</v>
      </c>
      <c r="K1232" s="18" t="s">
        <v>4062</v>
      </c>
      <c r="L1232" s="16">
        <v>9785961478082</v>
      </c>
      <c r="M1232" s="18" t="s">
        <v>4063</v>
      </c>
      <c r="N1232" s="16">
        <v>244</v>
      </c>
      <c r="O1232" s="19">
        <v>0.46</v>
      </c>
      <c r="P1232" s="16">
        <v>146</v>
      </c>
      <c r="Q1232" s="16">
        <v>216</v>
      </c>
      <c r="R1232" s="16">
        <v>14</v>
      </c>
      <c r="S1232" s="18" t="s">
        <v>43</v>
      </c>
      <c r="T1232" s="18"/>
      <c r="U1232" s="17">
        <v>2000</v>
      </c>
      <c r="V1232" s="18" t="s">
        <v>77</v>
      </c>
      <c r="W1232" s="18" t="s">
        <v>91</v>
      </c>
      <c r="X1232" s="16">
        <v>10</v>
      </c>
      <c r="Y1232" s="43" t="str">
        <f>HYPERLINK("https://api-enni.alpina.ru/FilePrivilegesApproval/156","https://api-enni.alpina.ru/FilePrivilegesApproval/156")</f>
        <v>https://api-enni.alpina.ru/FilePrivilegesApproval/156</v>
      </c>
      <c r="Z1232" s="18"/>
      <c r="AS1232" s="1">
        <f>IF($A1232&lt;&gt;0,1,0)</f>
        <v>0</v>
      </c>
      <c r="AT1232" s="1">
        <f>$A1232*$B1232</f>
        <v>0</v>
      </c>
      <c r="AU1232" s="1">
        <f>$A1232*$O1232</f>
        <v>0</v>
      </c>
      <c r="AV1232" s="1">
        <f>IF($R1232=0,0,INT($A1232/$R1232))</f>
        <v>0</v>
      </c>
      <c r="AW1232" s="1">
        <f>$A1232-$AV1232*$R1232</f>
        <v>0</v>
      </c>
    </row>
    <row r="1233" ht="24.95" customHeight="1" outlineLevel="3" s="1" customFormat="1">
      <c r="A1233" s="15"/>
      <c r="B1233" s="16">
        <v>790</v>
      </c>
      <c r="C1233" s="17">
        <v>1146</v>
      </c>
      <c r="D1233" s="16">
        <v>31836</v>
      </c>
      <c r="E1233" s="18"/>
      <c r="F1233" s="18" t="s">
        <v>4064</v>
      </c>
      <c r="G1233" s="18" t="s">
        <v>4065</v>
      </c>
      <c r="H1233" s="18" t="s">
        <v>86</v>
      </c>
      <c r="I1233" s="18" t="s">
        <v>74</v>
      </c>
      <c r="J1233" s="16">
        <v>2025</v>
      </c>
      <c r="K1233" s="18" t="s">
        <v>4066</v>
      </c>
      <c r="L1233" s="16">
        <v>9785006300323</v>
      </c>
      <c r="M1233" s="18" t="s">
        <v>4067</v>
      </c>
      <c r="N1233" s="16">
        <v>344</v>
      </c>
      <c r="O1233" s="19">
        <v>0.52</v>
      </c>
      <c r="P1233" s="16">
        <v>150</v>
      </c>
      <c r="Q1233" s="16">
        <v>220</v>
      </c>
      <c r="R1233" s="16">
        <v>12</v>
      </c>
      <c r="S1233" s="18" t="s">
        <v>43</v>
      </c>
      <c r="T1233" s="18"/>
      <c r="U1233" s="17">
        <v>2000</v>
      </c>
      <c r="V1233" s="18" t="s">
        <v>77</v>
      </c>
      <c r="W1233" s="18" t="s">
        <v>69</v>
      </c>
      <c r="X1233" s="16">
        <v>10</v>
      </c>
      <c r="Y1233" s="43" t="str">
        <f>HYPERLINK("https://api-enni.alpina.ru/FilePrivilegesApproval/945","https://api-enni.alpina.ru/FilePrivilegesApproval/945")</f>
        <v>https://api-enni.alpina.ru/FilePrivilegesApproval/945</v>
      </c>
      <c r="Z1233" s="18"/>
      <c r="AS1233" s="1">
        <f>IF($A1233&lt;&gt;0,1,0)</f>
        <v>0</v>
      </c>
      <c r="AT1233" s="1">
        <f>$A1233*$B1233</f>
        <v>0</v>
      </c>
      <c r="AU1233" s="1">
        <f>$A1233*$O1233</f>
        <v>0</v>
      </c>
      <c r="AV1233" s="1">
        <f>IF($R1233=0,0,INT($A1233/$R1233))</f>
        <v>0</v>
      </c>
      <c r="AW1233" s="1">
        <f>$A1233-$AV1233*$R1233</f>
        <v>0</v>
      </c>
    </row>
    <row r="1234" ht="24.95" customHeight="1" outlineLevel="3" s="1" customFormat="1">
      <c r="A1234" s="15"/>
      <c r="B1234" s="16">
        <v>740</v>
      </c>
      <c r="C1234" s="17">
        <v>1073</v>
      </c>
      <c r="D1234" s="16">
        <v>29322</v>
      </c>
      <c r="E1234" s="18"/>
      <c r="F1234" s="18" t="s">
        <v>4068</v>
      </c>
      <c r="G1234" s="18" t="s">
        <v>4069</v>
      </c>
      <c r="H1234" s="18" t="s">
        <v>73</v>
      </c>
      <c r="I1234" s="18"/>
      <c r="J1234" s="16">
        <v>2026</v>
      </c>
      <c r="K1234" s="18" t="s">
        <v>4070</v>
      </c>
      <c r="L1234" s="16">
        <v>9785002231331</v>
      </c>
      <c r="M1234" s="18" t="s">
        <v>4071</v>
      </c>
      <c r="N1234" s="16">
        <v>240</v>
      </c>
      <c r="O1234" s="19">
        <v>0.27</v>
      </c>
      <c r="P1234" s="16">
        <v>130</v>
      </c>
      <c r="Q1234" s="16">
        <v>210</v>
      </c>
      <c r="R1234" s="16">
        <v>10</v>
      </c>
      <c r="S1234" s="18" t="s">
        <v>90</v>
      </c>
      <c r="T1234" s="18"/>
      <c r="U1234" s="17">
        <v>1000</v>
      </c>
      <c r="V1234" s="18" t="s">
        <v>77</v>
      </c>
      <c r="W1234" s="18" t="s">
        <v>69</v>
      </c>
      <c r="X1234" s="16">
        <v>10</v>
      </c>
      <c r="Y1234" s="43" t="str">
        <f>HYPERLINK("https://api-enni.alpina.ru/FilePrivilegesApproval/687","https://api-enni.alpina.ru/FilePrivilegesApproval/687")</f>
        <v>https://api-enni.alpina.ru/FilePrivilegesApproval/687</v>
      </c>
      <c r="Z1234" s="18" t="s">
        <v>695</v>
      </c>
      <c r="AS1234" s="1">
        <f>IF($A1234&lt;&gt;0,1,0)</f>
        <v>0</v>
      </c>
      <c r="AT1234" s="1">
        <f>$A1234*$B1234</f>
        <v>0</v>
      </c>
      <c r="AU1234" s="1">
        <f>$A1234*$O1234</f>
        <v>0</v>
      </c>
      <c r="AV1234" s="1">
        <f>IF($R1234=0,0,INT($A1234/$R1234))</f>
        <v>0</v>
      </c>
      <c r="AW1234" s="1">
        <f>$A1234-$AV1234*$R1234</f>
        <v>0</v>
      </c>
    </row>
    <row r="1235" ht="24.95" customHeight="1" outlineLevel="3" s="1" customFormat="1">
      <c r="A1235" s="15"/>
      <c r="B1235" s="16">
        <v>790</v>
      </c>
      <c r="C1235" s="17">
        <v>1146</v>
      </c>
      <c r="D1235" s="16">
        <v>34783</v>
      </c>
      <c r="E1235" s="18"/>
      <c r="F1235" s="18" t="s">
        <v>4072</v>
      </c>
      <c r="G1235" s="18" t="s">
        <v>4073</v>
      </c>
      <c r="H1235" s="18" t="s">
        <v>73</v>
      </c>
      <c r="I1235" s="18"/>
      <c r="J1235" s="16">
        <v>2026</v>
      </c>
      <c r="K1235" s="18" t="s">
        <v>4074</v>
      </c>
      <c r="L1235" s="16">
        <v>9785002236954</v>
      </c>
      <c r="M1235" s="18" t="s">
        <v>4075</v>
      </c>
      <c r="N1235" s="16">
        <v>248</v>
      </c>
      <c r="O1235" s="19">
        <v>0.34</v>
      </c>
      <c r="P1235" s="16">
        <v>150</v>
      </c>
      <c r="Q1235" s="16">
        <v>220</v>
      </c>
      <c r="R1235" s="16">
        <v>12</v>
      </c>
      <c r="S1235" s="18" t="s">
        <v>43</v>
      </c>
      <c r="T1235" s="18"/>
      <c r="U1235" s="17">
        <v>2000</v>
      </c>
      <c r="V1235" s="18" t="s">
        <v>77</v>
      </c>
      <c r="W1235" s="18" t="s">
        <v>69</v>
      </c>
      <c r="X1235" s="16">
        <v>10</v>
      </c>
      <c r="Y1235" s="43" t="str">
        <f>HYPERLINK("https://api-enni.alpina.ru/FilePrivilegesApproval/1091","https://api-enni.alpina.ru/FilePrivilegesApproval/1091")</f>
        <v>https://api-enni.alpina.ru/FilePrivilegesApproval/1091</v>
      </c>
      <c r="Z1235" s="18"/>
      <c r="AS1235" s="1">
        <f>IF($A1235&lt;&gt;0,1,0)</f>
        <v>0</v>
      </c>
      <c r="AT1235" s="1">
        <f>$A1235*$B1235</f>
        <v>0</v>
      </c>
      <c r="AU1235" s="1">
        <f>$A1235*$O1235</f>
        <v>0</v>
      </c>
      <c r="AV1235" s="1">
        <f>IF($R1235=0,0,INT($A1235/$R1235))</f>
        <v>0</v>
      </c>
      <c r="AW1235" s="1">
        <f>$A1235-$AV1235*$R1235</f>
        <v>0</v>
      </c>
    </row>
    <row r="1236" ht="24.95" customHeight="1" outlineLevel="3" s="1" customFormat="1">
      <c r="A1236" s="15"/>
      <c r="B1236" s="16">
        <v>490</v>
      </c>
      <c r="C1236" s="16">
        <v>760</v>
      </c>
      <c r="D1236" s="16">
        <v>27634</v>
      </c>
      <c r="E1236" s="18"/>
      <c r="F1236" s="18" t="s">
        <v>4076</v>
      </c>
      <c r="G1236" s="18" t="s">
        <v>4077</v>
      </c>
      <c r="H1236" s="18" t="s">
        <v>86</v>
      </c>
      <c r="I1236" s="18" t="s">
        <v>74</v>
      </c>
      <c r="J1236" s="16">
        <v>2026</v>
      </c>
      <c r="K1236" s="18" t="s">
        <v>4078</v>
      </c>
      <c r="L1236" s="16">
        <v>9785961485905</v>
      </c>
      <c r="M1236" s="18" t="s">
        <v>4079</v>
      </c>
      <c r="N1236" s="16">
        <v>164</v>
      </c>
      <c r="O1236" s="19">
        <v>0.2</v>
      </c>
      <c r="P1236" s="16">
        <v>140</v>
      </c>
      <c r="Q1236" s="16">
        <v>210</v>
      </c>
      <c r="R1236" s="16">
        <v>10</v>
      </c>
      <c r="S1236" s="18" t="s">
        <v>43</v>
      </c>
      <c r="T1236" s="18"/>
      <c r="U1236" s="17">
        <v>1000</v>
      </c>
      <c r="V1236" s="18" t="s">
        <v>44</v>
      </c>
      <c r="W1236" s="18" t="s">
        <v>184</v>
      </c>
      <c r="X1236" s="16">
        <v>10</v>
      </c>
      <c r="Y1236" s="43" t="str">
        <f>HYPERLINK("https://api-enni.alpina.ru/FilePrivilegesApproval/125","https://api-enni.alpina.ru/FilePrivilegesApproval/125")</f>
        <v>https://api-enni.alpina.ru/FilePrivilegesApproval/125</v>
      </c>
      <c r="Z1236" s="18" t="s">
        <v>119</v>
      </c>
      <c r="AS1236" s="1">
        <f>IF($A1236&lt;&gt;0,1,0)</f>
        <v>0</v>
      </c>
      <c r="AT1236" s="1">
        <f>$A1236*$B1236</f>
        <v>0</v>
      </c>
      <c r="AU1236" s="1">
        <f>$A1236*$O1236</f>
        <v>0</v>
      </c>
      <c r="AV1236" s="1">
        <f>IF($R1236=0,0,INT($A1236/$R1236))</f>
        <v>0</v>
      </c>
      <c r="AW1236" s="1">
        <f>$A1236-$AV1236*$R1236</f>
        <v>0</v>
      </c>
    </row>
    <row r="1237" ht="24.95" customHeight="1" outlineLevel="3" s="1" customFormat="1">
      <c r="A1237" s="15"/>
      <c r="B1237" s="16">
        <v>890</v>
      </c>
      <c r="C1237" s="17">
        <v>1246</v>
      </c>
      <c r="D1237" s="16">
        <v>22903</v>
      </c>
      <c r="E1237" s="18"/>
      <c r="F1237" s="18" t="s">
        <v>423</v>
      </c>
      <c r="G1237" s="18" t="s">
        <v>4080</v>
      </c>
      <c r="H1237" s="18" t="s">
        <v>95</v>
      </c>
      <c r="I1237" s="18" t="s">
        <v>74</v>
      </c>
      <c r="J1237" s="16">
        <v>2022</v>
      </c>
      <c r="K1237" s="18" t="s">
        <v>4081</v>
      </c>
      <c r="L1237" s="16">
        <v>9785907534131</v>
      </c>
      <c r="M1237" s="18" t="s">
        <v>4082</v>
      </c>
      <c r="N1237" s="16">
        <v>544</v>
      </c>
      <c r="O1237" s="19">
        <v>0.76</v>
      </c>
      <c r="P1237" s="16">
        <v>153</v>
      </c>
      <c r="Q1237" s="16">
        <v>216</v>
      </c>
      <c r="R1237" s="16">
        <v>8</v>
      </c>
      <c r="S1237" s="18" t="s">
        <v>43</v>
      </c>
      <c r="T1237" s="18"/>
      <c r="U1237" s="17">
        <v>1200</v>
      </c>
      <c r="V1237" s="18" t="s">
        <v>77</v>
      </c>
      <c r="W1237" s="18" t="s">
        <v>91</v>
      </c>
      <c r="X1237" s="16">
        <v>10</v>
      </c>
      <c r="Y1237" s="43" t="str">
        <f>HYPERLINK("https://api-enni.alpina.ru/FilePrivilegesApproval/282","https://api-enni.alpina.ru/FilePrivilegesApproval/282")</f>
        <v>https://api-enni.alpina.ru/FilePrivilegesApproval/282</v>
      </c>
      <c r="Z1237" s="18"/>
      <c r="AS1237" s="1">
        <f>IF($A1237&lt;&gt;0,1,0)</f>
        <v>0</v>
      </c>
      <c r="AT1237" s="1">
        <f>$A1237*$B1237</f>
        <v>0</v>
      </c>
      <c r="AU1237" s="1">
        <f>$A1237*$O1237</f>
        <v>0</v>
      </c>
      <c r="AV1237" s="1">
        <f>IF($R1237=0,0,INT($A1237/$R1237))</f>
        <v>0</v>
      </c>
      <c r="AW1237" s="1">
        <f>$A1237-$AV1237*$R1237</f>
        <v>0</v>
      </c>
    </row>
    <row r="1238" ht="24.95" customHeight="1" outlineLevel="3" s="1" customFormat="1">
      <c r="A1238" s="15"/>
      <c r="B1238" s="17">
        <v>1290</v>
      </c>
      <c r="C1238" s="17">
        <v>1742</v>
      </c>
      <c r="D1238" s="16">
        <v>8391</v>
      </c>
      <c r="E1238" s="18"/>
      <c r="F1238" s="18" t="s">
        <v>2860</v>
      </c>
      <c r="G1238" s="18" t="s">
        <v>4083</v>
      </c>
      <c r="H1238" s="18" t="s">
        <v>73</v>
      </c>
      <c r="I1238" s="18" t="s">
        <v>74</v>
      </c>
      <c r="J1238" s="16">
        <v>2023</v>
      </c>
      <c r="K1238" s="18" t="s">
        <v>4084</v>
      </c>
      <c r="L1238" s="16">
        <v>9785001391715</v>
      </c>
      <c r="M1238" s="18" t="s">
        <v>4085</v>
      </c>
      <c r="N1238" s="16">
        <v>952</v>
      </c>
      <c r="O1238" s="19">
        <v>1.25</v>
      </c>
      <c r="P1238" s="16">
        <v>168</v>
      </c>
      <c r="Q1238" s="16">
        <v>241</v>
      </c>
      <c r="R1238" s="16">
        <v>3</v>
      </c>
      <c r="S1238" s="18" t="s">
        <v>123</v>
      </c>
      <c r="T1238" s="18"/>
      <c r="U1238" s="17">
        <v>5100</v>
      </c>
      <c r="V1238" s="18" t="s">
        <v>77</v>
      </c>
      <c r="W1238" s="18" t="s">
        <v>45</v>
      </c>
      <c r="X1238" s="16">
        <v>10</v>
      </c>
      <c r="Y1238" s="43" t="str">
        <f>HYPERLINK("https://api-enni.alpina.ru/FilePrivilegesApproval/175","https://api-enni.alpina.ru/FilePrivilegesApproval/175")</f>
        <v>https://api-enni.alpina.ru/FilePrivilegesApproval/175</v>
      </c>
      <c r="Z1238" s="18"/>
      <c r="AS1238" s="1">
        <f>IF($A1238&lt;&gt;0,1,0)</f>
        <v>0</v>
      </c>
      <c r="AT1238" s="1">
        <f>$A1238*$B1238</f>
        <v>0</v>
      </c>
      <c r="AU1238" s="1">
        <f>$A1238*$O1238</f>
        <v>0</v>
      </c>
      <c r="AV1238" s="1">
        <f>IF($R1238=0,0,INT($A1238/$R1238))</f>
        <v>0</v>
      </c>
      <c r="AW1238" s="1">
        <f>$A1238-$AV1238*$R1238</f>
        <v>0</v>
      </c>
    </row>
    <row r="1239" ht="24.95" customHeight="1" outlineLevel="3" s="1" customFormat="1">
      <c r="A1239" s="15"/>
      <c r="B1239" s="17">
        <v>1990</v>
      </c>
      <c r="C1239" s="17">
        <v>2587</v>
      </c>
      <c r="D1239" s="16">
        <v>4370</v>
      </c>
      <c r="E1239" s="18"/>
      <c r="F1239" s="18" t="s">
        <v>4086</v>
      </c>
      <c r="G1239" s="18" t="s">
        <v>4087</v>
      </c>
      <c r="H1239" s="18" t="s">
        <v>95</v>
      </c>
      <c r="I1239" s="18" t="s">
        <v>74</v>
      </c>
      <c r="J1239" s="16">
        <v>2025</v>
      </c>
      <c r="K1239" s="18" t="s">
        <v>4088</v>
      </c>
      <c r="L1239" s="16">
        <v>9785907394636</v>
      </c>
      <c r="M1239" s="18" t="s">
        <v>4089</v>
      </c>
      <c r="N1239" s="16">
        <v>948</v>
      </c>
      <c r="O1239" s="19">
        <v>0.16</v>
      </c>
      <c r="P1239" s="16">
        <v>171</v>
      </c>
      <c r="Q1239" s="16">
        <v>241</v>
      </c>
      <c r="R1239" s="16">
        <v>4</v>
      </c>
      <c r="S1239" s="18" t="s">
        <v>123</v>
      </c>
      <c r="T1239" s="18"/>
      <c r="U1239" s="17">
        <v>1000</v>
      </c>
      <c r="V1239" s="18" t="s">
        <v>77</v>
      </c>
      <c r="W1239" s="18" t="s">
        <v>184</v>
      </c>
      <c r="X1239" s="16">
        <v>10</v>
      </c>
      <c r="Y1239" s="43" t="str">
        <f>HYPERLINK("https://api-enni.alpina.ru/FilePrivilegesApproval/154","https://api-enni.alpina.ru/FilePrivilegesApproval/154")</f>
        <v>https://api-enni.alpina.ru/FilePrivilegesApproval/154</v>
      </c>
      <c r="Z1239" s="18"/>
      <c r="AS1239" s="1">
        <f>IF($A1239&lt;&gt;0,1,0)</f>
        <v>0</v>
      </c>
      <c r="AT1239" s="1">
        <f>$A1239*$B1239</f>
        <v>0</v>
      </c>
      <c r="AU1239" s="1">
        <f>$A1239*$O1239</f>
        <v>0</v>
      </c>
      <c r="AV1239" s="1">
        <f>IF($R1239=0,0,INT($A1239/$R1239))</f>
        <v>0</v>
      </c>
      <c r="AW1239" s="1">
        <f>$A1239-$AV1239*$R1239</f>
        <v>0</v>
      </c>
    </row>
    <row r="1240" ht="24.95" customHeight="1" outlineLevel="3" s="1" customFormat="1">
      <c r="A1240" s="15"/>
      <c r="B1240" s="16">
        <v>590</v>
      </c>
      <c r="C1240" s="16">
        <v>885</v>
      </c>
      <c r="D1240" s="16">
        <v>19320</v>
      </c>
      <c r="E1240" s="18"/>
      <c r="F1240" s="18" t="s">
        <v>4090</v>
      </c>
      <c r="G1240" s="18" t="s">
        <v>4091</v>
      </c>
      <c r="H1240" s="18" t="s">
        <v>86</v>
      </c>
      <c r="I1240" s="18" t="s">
        <v>87</v>
      </c>
      <c r="J1240" s="16">
        <v>2021</v>
      </c>
      <c r="K1240" s="18" t="s">
        <v>4092</v>
      </c>
      <c r="L1240" s="16">
        <v>9785961439137</v>
      </c>
      <c r="M1240" s="18" t="s">
        <v>4093</v>
      </c>
      <c r="N1240" s="16">
        <v>173</v>
      </c>
      <c r="O1240" s="19">
        <v>0.31</v>
      </c>
      <c r="P1240" s="16">
        <v>146</v>
      </c>
      <c r="Q1240" s="16">
        <v>216</v>
      </c>
      <c r="R1240" s="16">
        <v>22</v>
      </c>
      <c r="S1240" s="18" t="s">
        <v>43</v>
      </c>
      <c r="T1240" s="18"/>
      <c r="U1240" s="17">
        <v>2000</v>
      </c>
      <c r="V1240" s="18" t="s">
        <v>77</v>
      </c>
      <c r="W1240" s="18" t="s">
        <v>184</v>
      </c>
      <c r="X1240" s="16">
        <v>10</v>
      </c>
      <c r="Y1240" s="43" t="str">
        <f>HYPERLINK("https://api-enni.alpina.ru/FilePrivilegesApproval/119","https://api-enni.alpina.ru/FilePrivilegesApproval/119")</f>
        <v>https://api-enni.alpina.ru/FilePrivilegesApproval/119</v>
      </c>
      <c r="Z1240" s="18"/>
      <c r="AS1240" s="1">
        <f>IF($A1240&lt;&gt;0,1,0)</f>
        <v>0</v>
      </c>
      <c r="AT1240" s="1">
        <f>$A1240*$B1240</f>
        <v>0</v>
      </c>
      <c r="AU1240" s="1">
        <f>$A1240*$O1240</f>
        <v>0</v>
      </c>
      <c r="AV1240" s="1">
        <f>IF($R1240=0,0,INT($A1240/$R1240))</f>
        <v>0</v>
      </c>
      <c r="AW1240" s="1">
        <f>$A1240-$AV1240*$R1240</f>
        <v>0</v>
      </c>
    </row>
    <row r="1241" ht="21.95" customHeight="1" outlineLevel="3" s="1" customFormat="1">
      <c r="A1241" s="15"/>
      <c r="B1241" s="16">
        <v>790</v>
      </c>
      <c r="C1241" s="17">
        <v>1146</v>
      </c>
      <c r="D1241" s="16">
        <v>37210</v>
      </c>
      <c r="E1241" s="18"/>
      <c r="F1241" s="18" t="s">
        <v>230</v>
      </c>
      <c r="G1241" s="18" t="s">
        <v>231</v>
      </c>
      <c r="H1241" s="18" t="s">
        <v>86</v>
      </c>
      <c r="I1241" s="18"/>
      <c r="J1241" s="16">
        <v>2026</v>
      </c>
      <c r="K1241" s="18" t="s">
        <v>232</v>
      </c>
      <c r="L1241" s="16">
        <v>9785006319479</v>
      </c>
      <c r="M1241" s="18" t="s">
        <v>233</v>
      </c>
      <c r="N1241" s="16">
        <v>446</v>
      </c>
      <c r="O1241" s="19">
        <v>0.63</v>
      </c>
      <c r="P1241" s="16">
        <v>150</v>
      </c>
      <c r="Q1241" s="16">
        <v>220</v>
      </c>
      <c r="R1241" s="16">
        <v>10</v>
      </c>
      <c r="S1241" s="18" t="s">
        <v>43</v>
      </c>
      <c r="T1241" s="18"/>
      <c r="U1241" s="17">
        <v>1500</v>
      </c>
      <c r="V1241" s="18" t="s">
        <v>77</v>
      </c>
      <c r="W1241" s="18" t="s">
        <v>91</v>
      </c>
      <c r="X1241" s="16">
        <v>10</v>
      </c>
      <c r="Y1241" s="43" t="str">
        <f>HYPERLINK("","")</f>
      </c>
      <c r="Z1241" s="18" t="s">
        <v>135</v>
      </c>
      <c r="AS1241" s="1">
        <f>IF($A1241&lt;&gt;0,1,0)</f>
        <v>0</v>
      </c>
      <c r="AT1241" s="1">
        <f>$A1241*$B1241</f>
        <v>0</v>
      </c>
      <c r="AU1241" s="1">
        <f>$A1241*$O1241</f>
        <v>0</v>
      </c>
      <c r="AV1241" s="1">
        <f>IF($R1241=0,0,INT($A1241/$R1241))</f>
        <v>0</v>
      </c>
      <c r="AW1241" s="1">
        <f>$A1241-$AV1241*$R1241</f>
        <v>0</v>
      </c>
    </row>
    <row r="1242" ht="24.95" customHeight="1" outlineLevel="3" s="1" customFormat="1">
      <c r="A1242" s="15"/>
      <c r="B1242" s="16">
        <v>950</v>
      </c>
      <c r="C1242" s="17">
        <v>1330</v>
      </c>
      <c r="D1242" s="16">
        <v>24545</v>
      </c>
      <c r="E1242" s="18"/>
      <c r="F1242" s="18" t="s">
        <v>4094</v>
      </c>
      <c r="G1242" s="18" t="s">
        <v>4095</v>
      </c>
      <c r="H1242" s="18" t="s">
        <v>95</v>
      </c>
      <c r="I1242" s="18"/>
      <c r="J1242" s="16">
        <v>2023</v>
      </c>
      <c r="K1242" s="18" t="s">
        <v>4096</v>
      </c>
      <c r="L1242" s="16">
        <v>9785907470903</v>
      </c>
      <c r="M1242" s="18" t="s">
        <v>4097</v>
      </c>
      <c r="N1242" s="16">
        <v>684</v>
      </c>
      <c r="O1242" s="19">
        <v>0.97</v>
      </c>
      <c r="P1242" s="16">
        <v>153</v>
      </c>
      <c r="Q1242" s="16">
        <v>216</v>
      </c>
      <c r="R1242" s="16">
        <v>5</v>
      </c>
      <c r="S1242" s="18" t="s">
        <v>43</v>
      </c>
      <c r="T1242" s="18"/>
      <c r="U1242" s="17">
        <v>1000</v>
      </c>
      <c r="V1242" s="18" t="s">
        <v>77</v>
      </c>
      <c r="W1242" s="18" t="s">
        <v>184</v>
      </c>
      <c r="X1242" s="16">
        <v>10</v>
      </c>
      <c r="Y1242" s="43" t="str">
        <f>HYPERLINK("https://api-enni.alpina.ru/FilePrivilegesApproval/154","https://api-enni.alpina.ru/FilePrivilegesApproval/154")</f>
        <v>https://api-enni.alpina.ru/FilePrivilegesApproval/154</v>
      </c>
      <c r="Z1242" s="18"/>
      <c r="AS1242" s="1">
        <f>IF($A1242&lt;&gt;0,1,0)</f>
        <v>0</v>
      </c>
      <c r="AT1242" s="1">
        <f>$A1242*$B1242</f>
        <v>0</v>
      </c>
      <c r="AU1242" s="1">
        <f>$A1242*$O1242</f>
        <v>0</v>
      </c>
      <c r="AV1242" s="1">
        <f>IF($R1242=0,0,INT($A1242/$R1242))</f>
        <v>0</v>
      </c>
      <c r="AW1242" s="1">
        <f>$A1242-$AV1242*$R1242</f>
        <v>0</v>
      </c>
    </row>
    <row r="1243" ht="24.95" customHeight="1" outlineLevel="3" s="1" customFormat="1">
      <c r="A1243" s="15"/>
      <c r="B1243" s="16">
        <v>840</v>
      </c>
      <c r="C1243" s="17">
        <v>1218</v>
      </c>
      <c r="D1243" s="16">
        <v>27403</v>
      </c>
      <c r="E1243" s="18"/>
      <c r="F1243" s="18" t="s">
        <v>4098</v>
      </c>
      <c r="G1243" s="18" t="s">
        <v>4099</v>
      </c>
      <c r="H1243" s="18" t="s">
        <v>73</v>
      </c>
      <c r="I1243" s="18"/>
      <c r="J1243" s="16">
        <v>2025</v>
      </c>
      <c r="K1243" s="18" t="s">
        <v>4100</v>
      </c>
      <c r="L1243" s="16">
        <v>9785001398547</v>
      </c>
      <c r="M1243" s="18" t="s">
        <v>4101</v>
      </c>
      <c r="N1243" s="16">
        <v>348</v>
      </c>
      <c r="O1243" s="19">
        <v>0.52</v>
      </c>
      <c r="P1243" s="16">
        <v>150</v>
      </c>
      <c r="Q1243" s="16">
        <v>220</v>
      </c>
      <c r="R1243" s="16">
        <v>12</v>
      </c>
      <c r="S1243" s="18" t="s">
        <v>43</v>
      </c>
      <c r="T1243" s="18"/>
      <c r="U1243" s="17">
        <v>1000</v>
      </c>
      <c r="V1243" s="18" t="s">
        <v>77</v>
      </c>
      <c r="W1243" s="18" t="s">
        <v>91</v>
      </c>
      <c r="X1243" s="16">
        <v>10</v>
      </c>
      <c r="Y1243" s="43" t="str">
        <f>HYPERLINK("https://api-enni.alpina.ru/FilePrivilegesApproval/752","https://api-enni.alpina.ru/FilePrivilegesApproval/752")</f>
        <v>https://api-enni.alpina.ru/FilePrivilegesApproval/752</v>
      </c>
      <c r="Z1243" s="18"/>
      <c r="AS1243" s="1">
        <f>IF($A1243&lt;&gt;0,1,0)</f>
        <v>0</v>
      </c>
      <c r="AT1243" s="1">
        <f>$A1243*$B1243</f>
        <v>0</v>
      </c>
      <c r="AU1243" s="1">
        <f>$A1243*$O1243</f>
        <v>0</v>
      </c>
      <c r="AV1243" s="1">
        <f>IF($R1243=0,0,INT($A1243/$R1243))</f>
        <v>0</v>
      </c>
      <c r="AW1243" s="1">
        <f>$A1243-$AV1243*$R1243</f>
        <v>0</v>
      </c>
    </row>
    <row r="1244" ht="24.95" customHeight="1" outlineLevel="3" s="1" customFormat="1">
      <c r="A1244" s="15"/>
      <c r="B1244" s="16">
        <v>590</v>
      </c>
      <c r="C1244" s="16">
        <v>885</v>
      </c>
      <c r="D1244" s="16">
        <v>26877</v>
      </c>
      <c r="E1244" s="18"/>
      <c r="F1244" s="18" t="s">
        <v>4102</v>
      </c>
      <c r="G1244" s="18" t="s">
        <v>4103</v>
      </c>
      <c r="H1244" s="18" t="s">
        <v>86</v>
      </c>
      <c r="I1244" s="18"/>
      <c r="J1244" s="16">
        <v>2026</v>
      </c>
      <c r="K1244" s="18" t="s">
        <v>4104</v>
      </c>
      <c r="L1244" s="16">
        <v>9785961483239</v>
      </c>
      <c r="M1244" s="18" t="s">
        <v>4105</v>
      </c>
      <c r="N1244" s="16">
        <v>332</v>
      </c>
      <c r="O1244" s="19">
        <v>0.4</v>
      </c>
      <c r="P1244" s="16">
        <v>130</v>
      </c>
      <c r="Q1244" s="16">
        <v>210</v>
      </c>
      <c r="R1244" s="16">
        <v>10</v>
      </c>
      <c r="S1244" s="18" t="s">
        <v>90</v>
      </c>
      <c r="T1244" s="18"/>
      <c r="U1244" s="17">
        <v>1000</v>
      </c>
      <c r="V1244" s="18" t="s">
        <v>77</v>
      </c>
      <c r="W1244" s="18" t="s">
        <v>69</v>
      </c>
      <c r="X1244" s="16">
        <v>10</v>
      </c>
      <c r="Y1244" s="43" t="str">
        <f>HYPERLINK("https://api-enni.alpina.ru/FilePrivilegesApproval/157","https://api-enni.alpina.ru/FilePrivilegesApproval/157")</f>
        <v>https://api-enni.alpina.ru/FilePrivilegesApproval/157</v>
      </c>
      <c r="Z1244" s="18" t="s">
        <v>410</v>
      </c>
      <c r="AS1244" s="1">
        <f>IF($A1244&lt;&gt;0,1,0)</f>
        <v>0</v>
      </c>
      <c r="AT1244" s="1">
        <f>$A1244*$B1244</f>
        <v>0</v>
      </c>
      <c r="AU1244" s="1">
        <f>$A1244*$O1244</f>
        <v>0</v>
      </c>
      <c r="AV1244" s="1">
        <f>IF($R1244=0,0,INT($A1244/$R1244))</f>
        <v>0</v>
      </c>
      <c r="AW1244" s="1">
        <f>$A1244-$AV1244*$R1244</f>
        <v>0</v>
      </c>
    </row>
    <row r="1245" ht="24.95" customHeight="1" outlineLevel="3" s="1" customFormat="1">
      <c r="A1245" s="15"/>
      <c r="B1245" s="16">
        <v>790</v>
      </c>
      <c r="C1245" s="17">
        <v>1146</v>
      </c>
      <c r="D1245" s="16">
        <v>17053</v>
      </c>
      <c r="E1245" s="18"/>
      <c r="F1245" s="18" t="s">
        <v>4106</v>
      </c>
      <c r="G1245" s="18" t="s">
        <v>4107</v>
      </c>
      <c r="H1245" s="18" t="s">
        <v>86</v>
      </c>
      <c r="I1245" s="18" t="s">
        <v>74</v>
      </c>
      <c r="J1245" s="16">
        <v>2026</v>
      </c>
      <c r="K1245" s="18" t="s">
        <v>4108</v>
      </c>
      <c r="L1245" s="16">
        <v>9785961437621</v>
      </c>
      <c r="M1245" s="18" t="s">
        <v>4109</v>
      </c>
      <c r="N1245" s="16">
        <v>496</v>
      </c>
      <c r="O1245" s="19">
        <v>0.7</v>
      </c>
      <c r="P1245" s="16">
        <v>150</v>
      </c>
      <c r="Q1245" s="16">
        <v>220</v>
      </c>
      <c r="R1245" s="16">
        <v>8</v>
      </c>
      <c r="S1245" s="18" t="s">
        <v>43</v>
      </c>
      <c r="T1245" s="18"/>
      <c r="U1245" s="17">
        <v>5000</v>
      </c>
      <c r="V1245" s="18" t="s">
        <v>77</v>
      </c>
      <c r="W1245" s="18" t="s">
        <v>69</v>
      </c>
      <c r="X1245" s="16">
        <v>10</v>
      </c>
      <c r="Y1245" s="43" t="str">
        <f>HYPERLINK("https://api-enni.alpina.ru/FilePrivilegesApproval/125","https://api-enni.alpina.ru/FilePrivilegesApproval/125")</f>
        <v>https://api-enni.alpina.ru/FilePrivilegesApproval/125</v>
      </c>
      <c r="Z1245" s="18" t="s">
        <v>178</v>
      </c>
      <c r="AS1245" s="1">
        <f>IF($A1245&lt;&gt;0,1,0)</f>
        <v>0</v>
      </c>
      <c r="AT1245" s="1">
        <f>$A1245*$B1245</f>
        <v>0</v>
      </c>
      <c r="AU1245" s="1">
        <f>$A1245*$O1245</f>
        <v>0</v>
      </c>
      <c r="AV1245" s="1">
        <f>IF($R1245=0,0,INT($A1245/$R1245))</f>
        <v>0</v>
      </c>
      <c r="AW1245" s="1">
        <f>$A1245-$AV1245*$R1245</f>
        <v>0</v>
      </c>
    </row>
    <row r="1246" ht="24.95" customHeight="1" outlineLevel="3" s="1" customFormat="1">
      <c r="A1246" s="15"/>
      <c r="B1246" s="16">
        <v>590</v>
      </c>
      <c r="C1246" s="16">
        <v>885</v>
      </c>
      <c r="D1246" s="16">
        <v>20829</v>
      </c>
      <c r="E1246" s="18"/>
      <c r="F1246" s="18" t="s">
        <v>4110</v>
      </c>
      <c r="G1246" s="18" t="s">
        <v>4111</v>
      </c>
      <c r="H1246" s="18" t="s">
        <v>86</v>
      </c>
      <c r="I1246" s="18"/>
      <c r="J1246" s="16">
        <v>2021</v>
      </c>
      <c r="K1246" s="18" t="s">
        <v>4112</v>
      </c>
      <c r="L1246" s="16">
        <v>9785961466188</v>
      </c>
      <c r="M1246" s="18" t="s">
        <v>4113</v>
      </c>
      <c r="N1246" s="16">
        <v>248</v>
      </c>
      <c r="O1246" s="19">
        <v>0.45</v>
      </c>
      <c r="P1246" s="16">
        <v>150</v>
      </c>
      <c r="Q1246" s="16">
        <v>220</v>
      </c>
      <c r="R1246" s="16">
        <v>14</v>
      </c>
      <c r="S1246" s="18" t="s">
        <v>43</v>
      </c>
      <c r="T1246" s="18"/>
      <c r="U1246" s="17">
        <v>3000</v>
      </c>
      <c r="V1246" s="18" t="s">
        <v>77</v>
      </c>
      <c r="W1246" s="18" t="s">
        <v>184</v>
      </c>
      <c r="X1246" s="16">
        <v>10</v>
      </c>
      <c r="Y1246" s="43" t="str">
        <f>HYPERLINK("https://api-enni.alpina.ru/FilePrivilegesApproval/108","https://api-enni.alpina.ru/FilePrivilegesApproval/108")</f>
        <v>https://api-enni.alpina.ru/FilePrivilegesApproval/108</v>
      </c>
      <c r="Z1246" s="18"/>
      <c r="AS1246" s="1">
        <f>IF($A1246&lt;&gt;0,1,0)</f>
        <v>0</v>
      </c>
      <c r="AT1246" s="1">
        <f>$A1246*$B1246</f>
        <v>0</v>
      </c>
      <c r="AU1246" s="1">
        <f>$A1246*$O1246</f>
        <v>0</v>
      </c>
      <c r="AV1246" s="1">
        <f>IF($R1246=0,0,INT($A1246/$R1246))</f>
        <v>0</v>
      </c>
      <c r="AW1246" s="1">
        <f>$A1246-$AV1246*$R1246</f>
        <v>0</v>
      </c>
    </row>
    <row r="1247" ht="24.95" customHeight="1" outlineLevel="3" s="1" customFormat="1">
      <c r="A1247" s="15"/>
      <c r="B1247" s="16">
        <v>600</v>
      </c>
      <c r="C1247" s="16">
        <v>900</v>
      </c>
      <c r="D1247" s="16">
        <v>27157</v>
      </c>
      <c r="E1247" s="18"/>
      <c r="F1247" s="18" t="s">
        <v>4114</v>
      </c>
      <c r="G1247" s="18" t="s">
        <v>4115</v>
      </c>
      <c r="H1247" s="18" t="s">
        <v>86</v>
      </c>
      <c r="I1247" s="18"/>
      <c r="J1247" s="16">
        <v>2026</v>
      </c>
      <c r="K1247" s="18" t="s">
        <v>4116</v>
      </c>
      <c r="L1247" s="16">
        <v>9785961484090</v>
      </c>
      <c r="M1247" s="18" t="s">
        <v>4117</v>
      </c>
      <c r="N1247" s="16">
        <v>240</v>
      </c>
      <c r="O1247" s="19">
        <v>0.3</v>
      </c>
      <c r="P1247" s="16">
        <v>140</v>
      </c>
      <c r="Q1247" s="16">
        <v>210</v>
      </c>
      <c r="R1247" s="16">
        <v>20</v>
      </c>
      <c r="S1247" s="18" t="s">
        <v>43</v>
      </c>
      <c r="T1247" s="18"/>
      <c r="U1247" s="17">
        <v>1000</v>
      </c>
      <c r="V1247" s="18" t="s">
        <v>44</v>
      </c>
      <c r="W1247" s="18" t="s">
        <v>45</v>
      </c>
      <c r="X1247" s="16">
        <v>22</v>
      </c>
      <c r="Y1247" s="43" t="str">
        <f>HYPERLINK("https://api-enni.alpina.ru/FilePrivilegesApproval/301","https://api-enni.alpina.ru/FilePrivilegesApproval/301")</f>
        <v>https://api-enni.alpina.ru/FilePrivilegesApproval/301</v>
      </c>
      <c r="Z1247" s="18" t="s">
        <v>410</v>
      </c>
      <c r="AS1247" s="1">
        <f>IF($A1247&lt;&gt;0,1,0)</f>
        <v>0</v>
      </c>
      <c r="AT1247" s="1">
        <f>$A1247*$B1247</f>
        <v>0</v>
      </c>
      <c r="AU1247" s="1">
        <f>$A1247*$O1247</f>
        <v>0</v>
      </c>
      <c r="AV1247" s="1">
        <f>IF($R1247=0,0,INT($A1247/$R1247))</f>
        <v>0</v>
      </c>
      <c r="AW1247" s="1">
        <f>$A1247-$AV1247*$R1247</f>
        <v>0</v>
      </c>
    </row>
    <row r="1248" ht="24.95" customHeight="1" outlineLevel="3" s="1" customFormat="1">
      <c r="A1248" s="15"/>
      <c r="B1248" s="16">
        <v>640</v>
      </c>
      <c r="C1248" s="16">
        <v>960</v>
      </c>
      <c r="D1248" s="16">
        <v>29405</v>
      </c>
      <c r="E1248" s="18"/>
      <c r="F1248" s="18" t="s">
        <v>4118</v>
      </c>
      <c r="G1248" s="18" t="s">
        <v>4119</v>
      </c>
      <c r="H1248" s="18" t="s">
        <v>86</v>
      </c>
      <c r="I1248" s="18" t="s">
        <v>87</v>
      </c>
      <c r="J1248" s="16">
        <v>2026</v>
      </c>
      <c r="K1248" s="18" t="s">
        <v>4120</v>
      </c>
      <c r="L1248" s="16">
        <v>9785961492453</v>
      </c>
      <c r="M1248" s="18" t="s">
        <v>4121</v>
      </c>
      <c r="N1248" s="16">
        <v>368</v>
      </c>
      <c r="O1248" s="19">
        <v>0.45</v>
      </c>
      <c r="P1248" s="16">
        <v>140</v>
      </c>
      <c r="Q1248" s="16">
        <v>210</v>
      </c>
      <c r="R1248" s="16">
        <v>10</v>
      </c>
      <c r="S1248" s="18" t="s">
        <v>43</v>
      </c>
      <c r="T1248" s="18"/>
      <c r="U1248" s="17">
        <v>1000</v>
      </c>
      <c r="V1248" s="18" t="s">
        <v>44</v>
      </c>
      <c r="W1248" s="18" t="s">
        <v>45</v>
      </c>
      <c r="X1248" s="16">
        <v>10</v>
      </c>
      <c r="Y1248" s="43" t="str">
        <f>HYPERLINK("https://api-enni.alpina.ru/FilePrivilegesApproval/546","https://api-enni.alpina.ru/FilePrivilegesApproval/546")</f>
        <v>https://api-enni.alpina.ru/FilePrivilegesApproval/546</v>
      </c>
      <c r="Z1248" s="18" t="s">
        <v>144</v>
      </c>
      <c r="AS1248" s="1">
        <f>IF($A1248&lt;&gt;0,1,0)</f>
        <v>0</v>
      </c>
      <c r="AT1248" s="1">
        <f>$A1248*$B1248</f>
        <v>0</v>
      </c>
      <c r="AU1248" s="1">
        <f>$A1248*$O1248</f>
        <v>0</v>
      </c>
      <c r="AV1248" s="1">
        <f>IF($R1248=0,0,INT($A1248/$R1248))</f>
        <v>0</v>
      </c>
      <c r="AW1248" s="1">
        <f>$A1248-$AV1248*$R1248</f>
        <v>0</v>
      </c>
    </row>
    <row r="1249" ht="24.95" customHeight="1" outlineLevel="3" s="1" customFormat="1">
      <c r="A1249" s="15"/>
      <c r="B1249" s="16">
        <v>690</v>
      </c>
      <c r="C1249" s="17">
        <v>1035</v>
      </c>
      <c r="D1249" s="16">
        <v>34404</v>
      </c>
      <c r="E1249" s="18"/>
      <c r="F1249" s="18" t="s">
        <v>4122</v>
      </c>
      <c r="G1249" s="18" t="s">
        <v>4123</v>
      </c>
      <c r="H1249" s="18" t="s">
        <v>86</v>
      </c>
      <c r="I1249" s="18" t="s">
        <v>74</v>
      </c>
      <c r="J1249" s="16">
        <v>2025</v>
      </c>
      <c r="K1249" s="18" t="s">
        <v>4124</v>
      </c>
      <c r="L1249" s="16">
        <v>9785006307469</v>
      </c>
      <c r="M1249" s="18" t="s">
        <v>4125</v>
      </c>
      <c r="N1249" s="16">
        <v>544</v>
      </c>
      <c r="O1249" s="19">
        <v>0.35</v>
      </c>
      <c r="P1249" s="16">
        <v>120</v>
      </c>
      <c r="Q1249" s="16">
        <v>170</v>
      </c>
      <c r="R1249" s="16">
        <v>12</v>
      </c>
      <c r="S1249" s="18" t="s">
        <v>190</v>
      </c>
      <c r="T1249" s="18"/>
      <c r="U1249" s="17">
        <v>2000</v>
      </c>
      <c r="V1249" s="18" t="s">
        <v>44</v>
      </c>
      <c r="W1249" s="18" t="s">
        <v>69</v>
      </c>
      <c r="X1249" s="16">
        <v>10</v>
      </c>
      <c r="Y1249" s="43" t="str">
        <f>HYPERLINK("https://api-enni.alpina.ru/FilePrivilegesApproval/1062","https://api-enni.alpina.ru/FilePrivilegesApproval/1062")</f>
        <v>https://api-enni.alpina.ru/FilePrivilegesApproval/1062</v>
      </c>
      <c r="Z1249" s="18"/>
      <c r="AS1249" s="1">
        <f>IF($A1249&lt;&gt;0,1,0)</f>
        <v>0</v>
      </c>
      <c r="AT1249" s="1">
        <f>$A1249*$B1249</f>
        <v>0</v>
      </c>
      <c r="AU1249" s="1">
        <f>$A1249*$O1249</f>
        <v>0</v>
      </c>
      <c r="AV1249" s="1">
        <f>IF($R1249=0,0,INT($A1249/$R1249))</f>
        <v>0</v>
      </c>
      <c r="AW1249" s="1">
        <f>$A1249-$AV1249*$R1249</f>
        <v>0</v>
      </c>
    </row>
    <row r="1250" ht="24.95" customHeight="1" outlineLevel="3" s="1" customFormat="1">
      <c r="A1250" s="15"/>
      <c r="B1250" s="16">
        <v>940</v>
      </c>
      <c r="C1250" s="17">
        <v>1316</v>
      </c>
      <c r="D1250" s="16">
        <v>11210</v>
      </c>
      <c r="E1250" s="18"/>
      <c r="F1250" s="18" t="s">
        <v>1203</v>
      </c>
      <c r="G1250" s="18" t="s">
        <v>4126</v>
      </c>
      <c r="H1250" s="18" t="s">
        <v>86</v>
      </c>
      <c r="I1250" s="18" t="s">
        <v>74</v>
      </c>
      <c r="J1250" s="16">
        <v>2026</v>
      </c>
      <c r="K1250" s="18" t="s">
        <v>4127</v>
      </c>
      <c r="L1250" s="16">
        <v>9785961420968</v>
      </c>
      <c r="M1250" s="18" t="s">
        <v>4128</v>
      </c>
      <c r="N1250" s="16">
        <v>335</v>
      </c>
      <c r="O1250" s="19">
        <v>0.66</v>
      </c>
      <c r="P1250" s="16">
        <v>168</v>
      </c>
      <c r="Q1250" s="16">
        <v>241</v>
      </c>
      <c r="R1250" s="16">
        <v>5</v>
      </c>
      <c r="S1250" s="18" t="s">
        <v>123</v>
      </c>
      <c r="T1250" s="18"/>
      <c r="U1250" s="17">
        <v>1000</v>
      </c>
      <c r="V1250" s="18" t="s">
        <v>77</v>
      </c>
      <c r="W1250" s="18" t="s">
        <v>69</v>
      </c>
      <c r="X1250" s="16">
        <v>10</v>
      </c>
      <c r="Y1250" s="43" t="str">
        <f>HYPERLINK("https://api-enni.alpina.ru/FilePrivilegesApproval/132","https://api-enni.alpina.ru/FilePrivilegesApproval/132")</f>
        <v>https://api-enni.alpina.ru/FilePrivilegesApproval/132</v>
      </c>
      <c r="Z1250" s="18" t="s">
        <v>144</v>
      </c>
      <c r="AS1250" s="1">
        <f>IF($A1250&lt;&gt;0,1,0)</f>
        <v>0</v>
      </c>
      <c r="AT1250" s="1">
        <f>$A1250*$B1250</f>
        <v>0</v>
      </c>
      <c r="AU1250" s="1">
        <f>$A1250*$O1250</f>
        <v>0</v>
      </c>
      <c r="AV1250" s="1">
        <f>IF($R1250=0,0,INT($A1250/$R1250))</f>
        <v>0</v>
      </c>
      <c r="AW1250" s="1">
        <f>$A1250-$AV1250*$R1250</f>
        <v>0</v>
      </c>
    </row>
    <row r="1251" ht="24.95" customHeight="1" outlineLevel="3" s="1" customFormat="1">
      <c r="A1251" s="15"/>
      <c r="B1251" s="17">
        <v>1290</v>
      </c>
      <c r="C1251" s="17">
        <v>1742</v>
      </c>
      <c r="D1251" s="16">
        <v>27716</v>
      </c>
      <c r="E1251" s="18"/>
      <c r="F1251" s="18" t="s">
        <v>4129</v>
      </c>
      <c r="G1251" s="18" t="s">
        <v>4130</v>
      </c>
      <c r="H1251" s="18" t="s">
        <v>95</v>
      </c>
      <c r="I1251" s="18"/>
      <c r="J1251" s="16">
        <v>2025</v>
      </c>
      <c r="K1251" s="18" t="s">
        <v>4131</v>
      </c>
      <c r="L1251" s="16">
        <v>9785206001761</v>
      </c>
      <c r="M1251" s="18" t="s">
        <v>4132</v>
      </c>
      <c r="N1251" s="16">
        <v>280</v>
      </c>
      <c r="O1251" s="19">
        <v>0.53</v>
      </c>
      <c r="P1251" s="16">
        <v>150</v>
      </c>
      <c r="Q1251" s="16">
        <v>220</v>
      </c>
      <c r="R1251" s="16">
        <v>10</v>
      </c>
      <c r="S1251" s="18" t="s">
        <v>43</v>
      </c>
      <c r="T1251" s="18"/>
      <c r="U1251" s="17">
        <v>1000</v>
      </c>
      <c r="V1251" s="18" t="s">
        <v>77</v>
      </c>
      <c r="W1251" s="18" t="s">
        <v>91</v>
      </c>
      <c r="X1251" s="16">
        <v>10</v>
      </c>
      <c r="Y1251" s="43" t="str">
        <f>HYPERLINK("https://api-enni.alpina.ru/FilePrivilegesApproval/994","https://api-enni.alpina.ru/FilePrivilegesApproval/994")</f>
        <v>https://api-enni.alpina.ru/FilePrivilegesApproval/994</v>
      </c>
      <c r="Z1251" s="18"/>
      <c r="AS1251" s="1">
        <f>IF($A1251&lt;&gt;0,1,0)</f>
        <v>0</v>
      </c>
      <c r="AT1251" s="1">
        <f>$A1251*$B1251</f>
        <v>0</v>
      </c>
      <c r="AU1251" s="1">
        <f>$A1251*$O1251</f>
        <v>0</v>
      </c>
      <c r="AV1251" s="1">
        <f>IF($R1251=0,0,INT($A1251/$R1251))</f>
        <v>0</v>
      </c>
      <c r="AW1251" s="1">
        <f>$A1251-$AV1251*$R1251</f>
        <v>0</v>
      </c>
    </row>
    <row r="1252" ht="24.95" customHeight="1" outlineLevel="3" s="1" customFormat="1">
      <c r="A1252" s="15"/>
      <c r="B1252" s="16">
        <v>390</v>
      </c>
      <c r="C1252" s="16">
        <v>624</v>
      </c>
      <c r="D1252" s="16">
        <v>27318</v>
      </c>
      <c r="E1252" s="18"/>
      <c r="F1252" s="18" t="s">
        <v>1649</v>
      </c>
      <c r="G1252" s="18" t="s">
        <v>4133</v>
      </c>
      <c r="H1252" s="18" t="s">
        <v>86</v>
      </c>
      <c r="I1252" s="18" t="s">
        <v>74</v>
      </c>
      <c r="J1252" s="16">
        <v>2024</v>
      </c>
      <c r="K1252" s="18" t="s">
        <v>4134</v>
      </c>
      <c r="L1252" s="16">
        <v>9785961484618</v>
      </c>
      <c r="M1252" s="18" t="s">
        <v>4135</v>
      </c>
      <c r="N1252" s="16">
        <v>488</v>
      </c>
      <c r="O1252" s="19">
        <v>0.3</v>
      </c>
      <c r="P1252" s="16">
        <v>120</v>
      </c>
      <c r="Q1252" s="16">
        <v>170</v>
      </c>
      <c r="R1252" s="16">
        <v>10</v>
      </c>
      <c r="S1252" s="18" t="s">
        <v>190</v>
      </c>
      <c r="T1252" s="18" t="s">
        <v>959</v>
      </c>
      <c r="U1252" s="17">
        <v>2000</v>
      </c>
      <c r="V1252" s="18" t="s">
        <v>44</v>
      </c>
      <c r="W1252" s="18" t="s">
        <v>45</v>
      </c>
      <c r="X1252" s="16">
        <v>10</v>
      </c>
      <c r="Y1252" s="43" t="str">
        <f>HYPERLINK("https://api-enni.alpina.ru/FilePrivilegesApproval/196","https://api-enni.alpina.ru/FilePrivilegesApproval/196")</f>
        <v>https://api-enni.alpina.ru/FilePrivilegesApproval/196</v>
      </c>
      <c r="Z1252" s="18"/>
      <c r="AS1252" s="1">
        <f>IF($A1252&lt;&gt;0,1,0)</f>
        <v>0</v>
      </c>
      <c r="AT1252" s="1">
        <f>$A1252*$B1252</f>
        <v>0</v>
      </c>
      <c r="AU1252" s="1">
        <f>$A1252*$O1252</f>
        <v>0</v>
      </c>
      <c r="AV1252" s="1">
        <f>IF($R1252=0,0,INT($A1252/$R1252))</f>
        <v>0</v>
      </c>
      <c r="AW1252" s="1">
        <f>$A1252-$AV1252*$R1252</f>
        <v>0</v>
      </c>
    </row>
    <row r="1253" ht="24.95" customHeight="1" outlineLevel="3" s="1" customFormat="1">
      <c r="A1253" s="15"/>
      <c r="B1253" s="16">
        <v>651</v>
      </c>
      <c r="C1253" s="16">
        <v>976</v>
      </c>
      <c r="D1253" s="16">
        <v>24045</v>
      </c>
      <c r="E1253" s="18"/>
      <c r="F1253" s="18" t="s">
        <v>4136</v>
      </c>
      <c r="G1253" s="18" t="s">
        <v>4137</v>
      </c>
      <c r="H1253" s="18" t="s">
        <v>73</v>
      </c>
      <c r="I1253" s="18" t="s">
        <v>74</v>
      </c>
      <c r="J1253" s="16">
        <v>2026</v>
      </c>
      <c r="K1253" s="18" t="s">
        <v>4138</v>
      </c>
      <c r="L1253" s="16">
        <v>9785002238521</v>
      </c>
      <c r="M1253" s="18" t="s">
        <v>4139</v>
      </c>
      <c r="N1253" s="16">
        <v>398</v>
      </c>
      <c r="O1253" s="19">
        <v>0.49</v>
      </c>
      <c r="P1253" s="16">
        <v>150</v>
      </c>
      <c r="Q1253" s="16">
        <v>220</v>
      </c>
      <c r="R1253" s="16">
        <v>12</v>
      </c>
      <c r="S1253" s="18" t="s">
        <v>43</v>
      </c>
      <c r="T1253" s="18"/>
      <c r="U1253" s="17">
        <v>2000</v>
      </c>
      <c r="V1253" s="18" t="s">
        <v>77</v>
      </c>
      <c r="W1253" s="18" t="s">
        <v>91</v>
      </c>
      <c r="X1253" s="16">
        <v>10</v>
      </c>
      <c r="Y1253" s="43" t="str">
        <f>HYPERLINK("https://api-enni.alpina.ru/FilePrivilegesApproval/1107","https://api-enni.alpina.ru/FilePrivilegesApproval/1107")</f>
        <v>https://api-enni.alpina.ru/FilePrivilegesApproval/1107</v>
      </c>
      <c r="Z1253" s="18"/>
      <c r="AS1253" s="1">
        <f>IF($A1253&lt;&gt;0,1,0)</f>
        <v>0</v>
      </c>
      <c r="AT1253" s="1">
        <f>$A1253*$B1253</f>
        <v>0</v>
      </c>
      <c r="AU1253" s="1">
        <f>$A1253*$O1253</f>
        <v>0</v>
      </c>
      <c r="AV1253" s="1">
        <f>IF($R1253=0,0,INT($A1253/$R1253))</f>
        <v>0</v>
      </c>
      <c r="AW1253" s="1">
        <f>$A1253-$AV1253*$R1253</f>
        <v>0</v>
      </c>
    </row>
    <row r="1254" ht="24.95" customHeight="1" outlineLevel="3" s="1" customFormat="1">
      <c r="A1254" s="15"/>
      <c r="B1254" s="16">
        <v>480</v>
      </c>
      <c r="C1254" s="16">
        <v>744</v>
      </c>
      <c r="D1254" s="16">
        <v>27584</v>
      </c>
      <c r="E1254" s="18"/>
      <c r="F1254" s="18" t="s">
        <v>4140</v>
      </c>
      <c r="G1254" s="18" t="s">
        <v>4141</v>
      </c>
      <c r="H1254" s="18" t="s">
        <v>86</v>
      </c>
      <c r="I1254" s="18" t="s">
        <v>4142</v>
      </c>
      <c r="J1254" s="16">
        <v>2025</v>
      </c>
      <c r="K1254" s="18" t="s">
        <v>4143</v>
      </c>
      <c r="L1254" s="16">
        <v>9785961485769</v>
      </c>
      <c r="M1254" s="18" t="s">
        <v>4144</v>
      </c>
      <c r="N1254" s="16">
        <v>176</v>
      </c>
      <c r="O1254" s="19">
        <v>0.27</v>
      </c>
      <c r="P1254" s="16">
        <v>210</v>
      </c>
      <c r="Q1254" s="16">
        <v>140</v>
      </c>
      <c r="R1254" s="16">
        <v>10</v>
      </c>
      <c r="S1254" s="18" t="s">
        <v>90</v>
      </c>
      <c r="T1254" s="18"/>
      <c r="U1254" s="17">
        <v>1000</v>
      </c>
      <c r="V1254" s="18" t="s">
        <v>77</v>
      </c>
      <c r="W1254" s="18" t="s">
        <v>69</v>
      </c>
      <c r="X1254" s="16">
        <v>10</v>
      </c>
      <c r="Y1254" s="43" t="str">
        <f>HYPERLINK("https://api-enni.alpina.ru/FilePrivilegesApproval/221","https://api-enni.alpina.ru/FilePrivilegesApproval/221")</f>
        <v>https://api-enni.alpina.ru/FilePrivilegesApproval/221</v>
      </c>
      <c r="Z1254" s="18"/>
      <c r="AS1254" s="1">
        <f>IF($A1254&lt;&gt;0,1,0)</f>
        <v>0</v>
      </c>
      <c r="AT1254" s="1">
        <f>$A1254*$B1254</f>
        <v>0</v>
      </c>
      <c r="AU1254" s="1">
        <f>$A1254*$O1254</f>
        <v>0</v>
      </c>
      <c r="AV1254" s="1">
        <f>IF($R1254=0,0,INT($A1254/$R1254))</f>
        <v>0</v>
      </c>
      <c r="AW1254" s="1">
        <f>$A1254-$AV1254*$R1254</f>
        <v>0</v>
      </c>
    </row>
    <row r="1255" ht="21.95" customHeight="1" outlineLevel="3" s="1" customFormat="1">
      <c r="A1255" s="15"/>
      <c r="B1255" s="16">
        <v>498</v>
      </c>
      <c r="C1255" s="16">
        <v>772</v>
      </c>
      <c r="D1255" s="16">
        <v>23607</v>
      </c>
      <c r="E1255" s="18"/>
      <c r="F1255" s="18" t="s">
        <v>4145</v>
      </c>
      <c r="G1255" s="18" t="s">
        <v>4146</v>
      </c>
      <c r="H1255" s="18" t="s">
        <v>73</v>
      </c>
      <c r="I1255" s="18" t="s">
        <v>74</v>
      </c>
      <c r="J1255" s="16">
        <v>2024</v>
      </c>
      <c r="K1255" s="18" t="s">
        <v>4147</v>
      </c>
      <c r="L1255" s="16">
        <v>9785001398622</v>
      </c>
      <c r="M1255" s="18" t="s">
        <v>4148</v>
      </c>
      <c r="N1255" s="16">
        <v>232</v>
      </c>
      <c r="O1255" s="19">
        <v>0.19</v>
      </c>
      <c r="P1255" s="16">
        <v>120</v>
      </c>
      <c r="Q1255" s="16">
        <v>170</v>
      </c>
      <c r="R1255" s="16">
        <v>20</v>
      </c>
      <c r="S1255" s="18" t="s">
        <v>190</v>
      </c>
      <c r="T1255" s="18"/>
      <c r="U1255" s="17">
        <v>2000</v>
      </c>
      <c r="V1255" s="18" t="s">
        <v>44</v>
      </c>
      <c r="W1255" s="18" t="s">
        <v>45</v>
      </c>
      <c r="X1255" s="16">
        <v>22</v>
      </c>
      <c r="Y1255" s="43" t="str">
        <f>HYPERLINK("","")</f>
      </c>
      <c r="Z1255" s="18"/>
      <c r="AS1255" s="1">
        <f>IF($A1255&lt;&gt;0,1,0)</f>
        <v>0</v>
      </c>
      <c r="AT1255" s="1">
        <f>$A1255*$B1255</f>
        <v>0</v>
      </c>
      <c r="AU1255" s="1">
        <f>$A1255*$O1255</f>
        <v>0</v>
      </c>
      <c r="AV1255" s="1">
        <f>IF($R1255=0,0,INT($A1255/$R1255))</f>
        <v>0</v>
      </c>
      <c r="AW1255" s="1">
        <f>$A1255-$AV1255*$R1255</f>
        <v>0</v>
      </c>
    </row>
    <row r="1256" ht="24.95" customHeight="1" outlineLevel="3" s="1" customFormat="1">
      <c r="A1256" s="15"/>
      <c r="B1256" s="16">
        <v>690</v>
      </c>
      <c r="C1256" s="17">
        <v>1035</v>
      </c>
      <c r="D1256" s="16">
        <v>23875</v>
      </c>
      <c r="E1256" s="18"/>
      <c r="F1256" s="18" t="s">
        <v>4149</v>
      </c>
      <c r="G1256" s="18" t="s">
        <v>4150</v>
      </c>
      <c r="H1256" s="18" t="s">
        <v>95</v>
      </c>
      <c r="I1256" s="18"/>
      <c r="J1256" s="16">
        <v>2022</v>
      </c>
      <c r="K1256" s="18" t="s">
        <v>4151</v>
      </c>
      <c r="L1256" s="16">
        <v>9785907470255</v>
      </c>
      <c r="M1256" s="18" t="s">
        <v>4152</v>
      </c>
      <c r="N1256" s="16">
        <v>240</v>
      </c>
      <c r="O1256" s="19">
        <v>0.4</v>
      </c>
      <c r="P1256" s="16">
        <v>146</v>
      </c>
      <c r="Q1256" s="16">
        <v>216</v>
      </c>
      <c r="R1256" s="16">
        <v>10</v>
      </c>
      <c r="S1256" s="18" t="s">
        <v>43</v>
      </c>
      <c r="T1256" s="18"/>
      <c r="U1256" s="17">
        <v>1500</v>
      </c>
      <c r="V1256" s="18" t="s">
        <v>77</v>
      </c>
      <c r="W1256" s="18" t="s">
        <v>91</v>
      </c>
      <c r="X1256" s="16">
        <v>10</v>
      </c>
      <c r="Y1256" s="43" t="str">
        <f>HYPERLINK("https://api-enni.alpina.ru/FilePrivilegesApproval/129","https://api-enni.alpina.ru/FilePrivilegesApproval/129")</f>
        <v>https://api-enni.alpina.ru/FilePrivilegesApproval/129</v>
      </c>
      <c r="Z1256" s="18"/>
      <c r="AS1256" s="1">
        <f>IF($A1256&lt;&gt;0,1,0)</f>
        <v>0</v>
      </c>
      <c r="AT1256" s="1">
        <f>$A1256*$B1256</f>
        <v>0</v>
      </c>
      <c r="AU1256" s="1">
        <f>$A1256*$O1256</f>
        <v>0</v>
      </c>
      <c r="AV1256" s="1">
        <f>IF($R1256=0,0,INT($A1256/$R1256))</f>
        <v>0</v>
      </c>
      <c r="AW1256" s="1">
        <f>$A1256-$AV1256*$R1256</f>
        <v>0</v>
      </c>
    </row>
    <row r="1257" ht="24.95" customHeight="1" outlineLevel="3" s="1" customFormat="1">
      <c r="A1257" s="15"/>
      <c r="B1257" s="16">
        <v>790</v>
      </c>
      <c r="C1257" s="17">
        <v>1146</v>
      </c>
      <c r="D1257" s="16">
        <v>5027</v>
      </c>
      <c r="E1257" s="18"/>
      <c r="F1257" s="18" t="s">
        <v>4153</v>
      </c>
      <c r="G1257" s="18" t="s">
        <v>4154</v>
      </c>
      <c r="H1257" s="18" t="s">
        <v>86</v>
      </c>
      <c r="I1257" s="18" t="s">
        <v>74</v>
      </c>
      <c r="J1257" s="16">
        <v>2026</v>
      </c>
      <c r="K1257" s="18" t="s">
        <v>4155</v>
      </c>
      <c r="L1257" s="16">
        <v>9785961470185</v>
      </c>
      <c r="M1257" s="18" t="s">
        <v>4156</v>
      </c>
      <c r="N1257" s="16">
        <v>288</v>
      </c>
      <c r="O1257" s="19">
        <v>0.45</v>
      </c>
      <c r="P1257" s="16">
        <v>150</v>
      </c>
      <c r="Q1257" s="16">
        <v>220</v>
      </c>
      <c r="R1257" s="16">
        <v>10</v>
      </c>
      <c r="S1257" s="18" t="s">
        <v>43</v>
      </c>
      <c r="T1257" s="18"/>
      <c r="U1257" s="17">
        <v>1000</v>
      </c>
      <c r="V1257" s="18" t="s">
        <v>77</v>
      </c>
      <c r="W1257" s="18" t="s">
        <v>184</v>
      </c>
      <c r="X1257" s="16">
        <v>10</v>
      </c>
      <c r="Y1257" s="43" t="str">
        <f>HYPERLINK("https://api-enni.alpina.ru/FilePrivilegesApproval/2","https://api-enni.alpina.ru/FilePrivilegesApproval/2")</f>
        <v>https://api-enni.alpina.ru/FilePrivilegesApproval/2</v>
      </c>
      <c r="Z1257" s="18"/>
      <c r="AS1257" s="1">
        <f>IF($A1257&lt;&gt;0,1,0)</f>
        <v>0</v>
      </c>
      <c r="AT1257" s="1">
        <f>$A1257*$B1257</f>
        <v>0</v>
      </c>
      <c r="AU1257" s="1">
        <f>$A1257*$O1257</f>
        <v>0</v>
      </c>
      <c r="AV1257" s="1">
        <f>IF($R1257=0,0,INT($A1257/$R1257))</f>
        <v>0</v>
      </c>
      <c r="AW1257" s="1">
        <f>$A1257-$AV1257*$R1257</f>
        <v>0</v>
      </c>
    </row>
    <row r="1258" ht="24.95" customHeight="1" outlineLevel="3" s="1" customFormat="1">
      <c r="A1258" s="15"/>
      <c r="B1258" s="16">
        <v>590</v>
      </c>
      <c r="C1258" s="16">
        <v>885</v>
      </c>
      <c r="D1258" s="16">
        <v>17807</v>
      </c>
      <c r="E1258" s="18"/>
      <c r="F1258" s="18" t="s">
        <v>4157</v>
      </c>
      <c r="G1258" s="18" t="s">
        <v>4158</v>
      </c>
      <c r="H1258" s="18" t="s">
        <v>86</v>
      </c>
      <c r="I1258" s="18" t="s">
        <v>74</v>
      </c>
      <c r="J1258" s="16">
        <v>2022</v>
      </c>
      <c r="K1258" s="18" t="s">
        <v>4159</v>
      </c>
      <c r="L1258" s="16">
        <v>9785961474664</v>
      </c>
      <c r="M1258" s="18" t="s">
        <v>4160</v>
      </c>
      <c r="N1258" s="16">
        <v>220</v>
      </c>
      <c r="O1258" s="19">
        <v>0.29</v>
      </c>
      <c r="P1258" s="16">
        <v>150</v>
      </c>
      <c r="Q1258" s="16">
        <v>220</v>
      </c>
      <c r="R1258" s="16">
        <v>14</v>
      </c>
      <c r="S1258" s="18" t="s">
        <v>43</v>
      </c>
      <c r="T1258" s="18"/>
      <c r="U1258" s="17">
        <v>2000</v>
      </c>
      <c r="V1258" s="18" t="s">
        <v>44</v>
      </c>
      <c r="W1258" s="18" t="s">
        <v>55</v>
      </c>
      <c r="X1258" s="16">
        <v>10</v>
      </c>
      <c r="Y1258" s="43" t="str">
        <f>HYPERLINK("https://api-enni.alpina.ru/FilePrivilegesApproval/122","https://api-enni.alpina.ru/FilePrivilegesApproval/122")</f>
        <v>https://api-enni.alpina.ru/FilePrivilegesApproval/122</v>
      </c>
      <c r="Z1258" s="18"/>
      <c r="AS1258" s="1">
        <f>IF($A1258&lt;&gt;0,1,0)</f>
        <v>0</v>
      </c>
      <c r="AT1258" s="1">
        <f>$A1258*$B1258</f>
        <v>0</v>
      </c>
      <c r="AU1258" s="1">
        <f>$A1258*$O1258</f>
        <v>0</v>
      </c>
      <c r="AV1258" s="1">
        <f>IF($R1258=0,0,INT($A1258/$R1258))</f>
        <v>0</v>
      </c>
      <c r="AW1258" s="1">
        <f>$A1258-$AV1258*$R1258</f>
        <v>0</v>
      </c>
    </row>
    <row r="1259" ht="24.95" customHeight="1" outlineLevel="3" s="1" customFormat="1">
      <c r="A1259" s="15"/>
      <c r="B1259" s="16">
        <v>390</v>
      </c>
      <c r="C1259" s="16">
        <v>624</v>
      </c>
      <c r="D1259" s="16">
        <v>29907</v>
      </c>
      <c r="E1259" s="18"/>
      <c r="F1259" s="18" t="s">
        <v>4161</v>
      </c>
      <c r="G1259" s="18" t="s">
        <v>4162</v>
      </c>
      <c r="H1259" s="18" t="s">
        <v>86</v>
      </c>
      <c r="I1259" s="18" t="s">
        <v>74</v>
      </c>
      <c r="J1259" s="16">
        <v>2026</v>
      </c>
      <c r="K1259" s="18" t="s">
        <v>4163</v>
      </c>
      <c r="L1259" s="16">
        <v>9785961494402</v>
      </c>
      <c r="M1259" s="18" t="s">
        <v>4164</v>
      </c>
      <c r="N1259" s="16">
        <v>348</v>
      </c>
      <c r="O1259" s="19">
        <v>0.23</v>
      </c>
      <c r="P1259" s="16">
        <v>120</v>
      </c>
      <c r="Q1259" s="16">
        <v>170</v>
      </c>
      <c r="R1259" s="16">
        <v>10</v>
      </c>
      <c r="S1259" s="18" t="s">
        <v>190</v>
      </c>
      <c r="T1259" s="18" t="s">
        <v>491</v>
      </c>
      <c r="U1259" s="17">
        <v>2000</v>
      </c>
      <c r="V1259" s="18" t="s">
        <v>44</v>
      </c>
      <c r="W1259" s="18" t="s">
        <v>45</v>
      </c>
      <c r="X1259" s="16">
        <v>10</v>
      </c>
      <c r="Y1259" s="43" t="str">
        <f>HYPERLINK("https://api-enni.alpina.ru/FilePrivilegesApproval/78","https://api-enni.alpina.ru/FilePrivilegesApproval/78")</f>
        <v>https://api-enni.alpina.ru/FilePrivilegesApproval/78</v>
      </c>
      <c r="Z1259" s="18"/>
      <c r="AS1259" s="1">
        <f>IF($A1259&lt;&gt;0,1,0)</f>
        <v>0</v>
      </c>
      <c r="AT1259" s="1">
        <f>$A1259*$B1259</f>
        <v>0</v>
      </c>
      <c r="AU1259" s="1">
        <f>$A1259*$O1259</f>
        <v>0</v>
      </c>
      <c r="AV1259" s="1">
        <f>IF($R1259=0,0,INT($A1259/$R1259))</f>
        <v>0</v>
      </c>
      <c r="AW1259" s="1">
        <f>$A1259-$AV1259*$R1259</f>
        <v>0</v>
      </c>
    </row>
    <row r="1260" ht="24.95" customHeight="1" outlineLevel="3" s="1" customFormat="1">
      <c r="A1260" s="15"/>
      <c r="B1260" s="16">
        <v>530</v>
      </c>
      <c r="C1260" s="16">
        <v>822</v>
      </c>
      <c r="D1260" s="16">
        <v>5218</v>
      </c>
      <c r="E1260" s="18"/>
      <c r="F1260" s="18" t="s">
        <v>4165</v>
      </c>
      <c r="G1260" s="18" t="s">
        <v>4166</v>
      </c>
      <c r="H1260" s="18" t="s">
        <v>95</v>
      </c>
      <c r="I1260" s="18" t="s">
        <v>74</v>
      </c>
      <c r="J1260" s="16">
        <v>2025</v>
      </c>
      <c r="K1260" s="18" t="s">
        <v>4167</v>
      </c>
      <c r="L1260" s="16">
        <v>9785604287934</v>
      </c>
      <c r="M1260" s="18" t="s">
        <v>4168</v>
      </c>
      <c r="N1260" s="16">
        <v>206</v>
      </c>
      <c r="O1260" s="19">
        <v>0.3</v>
      </c>
      <c r="P1260" s="16">
        <v>130</v>
      </c>
      <c r="Q1260" s="16">
        <v>206</v>
      </c>
      <c r="R1260" s="16">
        <v>10</v>
      </c>
      <c r="S1260" s="18" t="s">
        <v>90</v>
      </c>
      <c r="T1260" s="18"/>
      <c r="U1260" s="17">
        <v>1000</v>
      </c>
      <c r="V1260" s="18" t="s">
        <v>77</v>
      </c>
      <c r="W1260" s="18" t="s">
        <v>184</v>
      </c>
      <c r="X1260" s="16">
        <v>10</v>
      </c>
      <c r="Y1260" s="43" t="str">
        <f>HYPERLINK("https://api-enni.alpina.ru/FilePrivilegesApproval/154","https://api-enni.alpina.ru/FilePrivilegesApproval/154")</f>
        <v>https://api-enni.alpina.ru/FilePrivilegesApproval/154</v>
      </c>
      <c r="Z1260" s="18" t="s">
        <v>178</v>
      </c>
      <c r="AS1260" s="1">
        <f>IF($A1260&lt;&gt;0,1,0)</f>
        <v>0</v>
      </c>
      <c r="AT1260" s="1">
        <f>$A1260*$B1260</f>
        <v>0</v>
      </c>
      <c r="AU1260" s="1">
        <f>$A1260*$O1260</f>
        <v>0</v>
      </c>
      <c r="AV1260" s="1">
        <f>IF($R1260=0,0,INT($A1260/$R1260))</f>
        <v>0</v>
      </c>
      <c r="AW1260" s="1">
        <f>$A1260-$AV1260*$R1260</f>
        <v>0</v>
      </c>
    </row>
    <row r="1261" ht="24.95" customHeight="1" outlineLevel="3" s="1" customFormat="1">
      <c r="A1261" s="15"/>
      <c r="B1261" s="16">
        <v>490</v>
      </c>
      <c r="C1261" s="16">
        <v>760</v>
      </c>
      <c r="D1261" s="16">
        <v>4303</v>
      </c>
      <c r="E1261" s="18"/>
      <c r="F1261" s="18" t="s">
        <v>4169</v>
      </c>
      <c r="G1261" s="18" t="s">
        <v>4170</v>
      </c>
      <c r="H1261" s="18" t="s">
        <v>86</v>
      </c>
      <c r="I1261" s="18" t="s">
        <v>74</v>
      </c>
      <c r="J1261" s="15"/>
      <c r="K1261" s="18" t="s">
        <v>4171</v>
      </c>
      <c r="L1261" s="16">
        <v>9785961450378</v>
      </c>
      <c r="M1261" s="18" t="s">
        <v>4172</v>
      </c>
      <c r="N1261" s="16">
        <v>112</v>
      </c>
      <c r="O1261" s="19">
        <v>0.16</v>
      </c>
      <c r="P1261" s="16">
        <v>141</v>
      </c>
      <c r="Q1261" s="16">
        <v>210</v>
      </c>
      <c r="R1261" s="16">
        <v>16</v>
      </c>
      <c r="S1261" s="18" t="s">
        <v>43</v>
      </c>
      <c r="T1261" s="18"/>
      <c r="U1261" s="17">
        <v>2000</v>
      </c>
      <c r="V1261" s="18" t="s">
        <v>44</v>
      </c>
      <c r="W1261" s="18" t="s">
        <v>184</v>
      </c>
      <c r="X1261" s="16">
        <v>10</v>
      </c>
      <c r="Y1261" s="43" t="str">
        <f>HYPERLINK("https://api-enni.alpina.ru/FilePrivilegesApproval/2","https://api-enni.alpina.ru/FilePrivilegesApproval/2")</f>
        <v>https://api-enni.alpina.ru/FilePrivilegesApproval/2</v>
      </c>
      <c r="Z1261" s="18"/>
      <c r="AS1261" s="1">
        <f>IF($A1261&lt;&gt;0,1,0)</f>
        <v>0</v>
      </c>
      <c r="AT1261" s="1">
        <f>$A1261*$B1261</f>
        <v>0</v>
      </c>
      <c r="AU1261" s="1">
        <f>$A1261*$O1261</f>
        <v>0</v>
      </c>
      <c r="AV1261" s="1">
        <f>IF($R1261=0,0,INT($A1261/$R1261))</f>
        <v>0</v>
      </c>
      <c r="AW1261" s="1">
        <f>$A1261-$AV1261*$R1261</f>
        <v>0</v>
      </c>
    </row>
    <row r="1262" ht="11.1" customHeight="1" outlineLevel="2">
      <c r="A1262" s="41" t="s">
        <v>4173</v>
      </c>
      <c r="B1262" s="41"/>
      <c r="C1262" s="41"/>
      <c r="D1262" s="41"/>
      <c r="E1262" s="41"/>
      <c r="F1262" s="41"/>
      <c r="G1262" s="41"/>
      <c r="H1262" s="41"/>
      <c r="I1262" s="41"/>
      <c r="J1262" s="41"/>
      <c r="K1262" s="41"/>
      <c r="L1262" s="41"/>
      <c r="M1262" s="41"/>
      <c r="N1262" s="41"/>
      <c r="O1262" s="41"/>
      <c r="P1262" s="41"/>
      <c r="Q1262" s="41"/>
      <c r="R1262" s="41"/>
      <c r="S1262" s="41"/>
      <c r="T1262" s="41"/>
      <c r="U1262" s="41"/>
      <c r="V1262" s="41"/>
      <c r="W1262" s="41"/>
      <c r="X1262" s="41"/>
      <c r="Y1262" s="41"/>
      <c r="Z1262" s="24"/>
    </row>
    <row r="1263" ht="24.95" customHeight="1" outlineLevel="3" s="1" customFormat="1">
      <c r="A1263" s="15"/>
      <c r="B1263" s="16">
        <v>790</v>
      </c>
      <c r="C1263" s="17">
        <v>1146</v>
      </c>
      <c r="D1263" s="16">
        <v>32339</v>
      </c>
      <c r="E1263" s="18"/>
      <c r="F1263" s="18" t="s">
        <v>4174</v>
      </c>
      <c r="G1263" s="18" t="s">
        <v>4175</v>
      </c>
      <c r="H1263" s="18" t="s">
        <v>95</v>
      </c>
      <c r="I1263" s="18"/>
      <c r="J1263" s="16">
        <v>2025</v>
      </c>
      <c r="K1263" s="18" t="s">
        <v>4176</v>
      </c>
      <c r="L1263" s="16">
        <v>9785206004243</v>
      </c>
      <c r="M1263" s="18" t="s">
        <v>4177</v>
      </c>
      <c r="N1263" s="16">
        <v>168</v>
      </c>
      <c r="O1263" s="19">
        <v>0.31</v>
      </c>
      <c r="P1263" s="16">
        <v>150</v>
      </c>
      <c r="Q1263" s="16">
        <v>220</v>
      </c>
      <c r="R1263" s="16">
        <v>10</v>
      </c>
      <c r="S1263" s="18" t="s">
        <v>43</v>
      </c>
      <c r="T1263" s="18"/>
      <c r="U1263" s="17">
        <v>1000</v>
      </c>
      <c r="V1263" s="18" t="s">
        <v>77</v>
      </c>
      <c r="W1263" s="18" t="s">
        <v>69</v>
      </c>
      <c r="X1263" s="16">
        <v>10</v>
      </c>
      <c r="Y1263" s="43" t="str">
        <f>HYPERLINK("https://api-enni.alpina.ru/FilePrivilegesApproval/735","https://api-enni.alpina.ru/FilePrivilegesApproval/735")</f>
        <v>https://api-enni.alpina.ru/FilePrivilegesApproval/735</v>
      </c>
      <c r="Z1263" s="18"/>
      <c r="AS1263" s="1">
        <f>IF($A1263&lt;&gt;0,1,0)</f>
        <v>0</v>
      </c>
      <c r="AT1263" s="1">
        <f>$A1263*$B1263</f>
        <v>0</v>
      </c>
      <c r="AU1263" s="1">
        <f>$A1263*$O1263</f>
        <v>0</v>
      </c>
      <c r="AV1263" s="1">
        <f>IF($R1263=0,0,INT($A1263/$R1263))</f>
        <v>0</v>
      </c>
      <c r="AW1263" s="1">
        <f>$A1263-$AV1263*$R1263</f>
        <v>0</v>
      </c>
    </row>
    <row r="1264" ht="24.95" customHeight="1" outlineLevel="3" s="1" customFormat="1">
      <c r="A1264" s="15"/>
      <c r="B1264" s="16">
        <v>530</v>
      </c>
      <c r="C1264" s="16">
        <v>822</v>
      </c>
      <c r="D1264" s="16">
        <v>3057</v>
      </c>
      <c r="E1264" s="18"/>
      <c r="F1264" s="18" t="s">
        <v>423</v>
      </c>
      <c r="G1264" s="18" t="s">
        <v>4178</v>
      </c>
      <c r="H1264" s="18" t="s">
        <v>95</v>
      </c>
      <c r="I1264" s="18" t="s">
        <v>74</v>
      </c>
      <c r="J1264" s="16">
        <v>2012</v>
      </c>
      <c r="K1264" s="18" t="s">
        <v>4179</v>
      </c>
      <c r="L1264" s="16">
        <v>9785961419276</v>
      </c>
      <c r="M1264" s="18" t="s">
        <v>4180</v>
      </c>
      <c r="N1264" s="16">
        <v>296</v>
      </c>
      <c r="O1264" s="19">
        <v>0.48</v>
      </c>
      <c r="P1264" s="16">
        <v>153</v>
      </c>
      <c r="Q1264" s="16">
        <v>216</v>
      </c>
      <c r="R1264" s="16">
        <v>12</v>
      </c>
      <c r="S1264" s="18" t="s">
        <v>43</v>
      </c>
      <c r="T1264" s="18"/>
      <c r="U1264" s="17">
        <v>1000</v>
      </c>
      <c r="V1264" s="18" t="s">
        <v>77</v>
      </c>
      <c r="W1264" s="18" t="s">
        <v>184</v>
      </c>
      <c r="X1264" s="16">
        <v>10</v>
      </c>
      <c r="Y1264" s="43" t="str">
        <f>HYPERLINK("https://api-enni.alpina.ru/FilePrivilegesApproval/505","https://api-enni.alpina.ru/FilePrivilegesApproval/505")</f>
        <v>https://api-enni.alpina.ru/FilePrivilegesApproval/505</v>
      </c>
      <c r="Z1264" s="18"/>
      <c r="AS1264" s="1">
        <f>IF($A1264&lt;&gt;0,1,0)</f>
        <v>0</v>
      </c>
      <c r="AT1264" s="1">
        <f>$A1264*$B1264</f>
        <v>0</v>
      </c>
      <c r="AU1264" s="1">
        <f>$A1264*$O1264</f>
        <v>0</v>
      </c>
      <c r="AV1264" s="1">
        <f>IF($R1264=0,0,INT($A1264/$R1264))</f>
        <v>0</v>
      </c>
      <c r="AW1264" s="1">
        <f>$A1264-$AV1264*$R1264</f>
        <v>0</v>
      </c>
    </row>
    <row r="1265" ht="21.95" customHeight="1" outlineLevel="3" s="1" customFormat="1">
      <c r="A1265" s="15"/>
      <c r="B1265" s="17">
        <v>1290</v>
      </c>
      <c r="C1265" s="17">
        <v>1386</v>
      </c>
      <c r="D1265" s="16">
        <v>22869</v>
      </c>
      <c r="E1265" s="18"/>
      <c r="F1265" s="18" t="s">
        <v>4181</v>
      </c>
      <c r="G1265" s="18" t="s">
        <v>4182</v>
      </c>
      <c r="H1265" s="18" t="s">
        <v>4183</v>
      </c>
      <c r="I1265" s="18"/>
      <c r="J1265" s="16">
        <v>2026</v>
      </c>
      <c r="K1265" s="18" t="s">
        <v>4184</v>
      </c>
      <c r="L1265" s="16">
        <v>9785906067067</v>
      </c>
      <c r="M1265" s="18" t="s">
        <v>4185</v>
      </c>
      <c r="N1265" s="16">
        <v>336</v>
      </c>
      <c r="O1265" s="19">
        <v>0.49</v>
      </c>
      <c r="P1265" s="16">
        <v>150</v>
      </c>
      <c r="Q1265" s="16">
        <v>220</v>
      </c>
      <c r="R1265" s="16">
        <v>8</v>
      </c>
      <c r="S1265" s="18" t="s">
        <v>43</v>
      </c>
      <c r="T1265" s="18"/>
      <c r="U1265" s="17">
        <v>1500</v>
      </c>
      <c r="V1265" s="18" t="s">
        <v>77</v>
      </c>
      <c r="W1265" s="18" t="s">
        <v>69</v>
      </c>
      <c r="X1265" s="16">
        <v>22</v>
      </c>
      <c r="Y1265" s="43" t="str">
        <f>HYPERLINK("","")</f>
      </c>
      <c r="Z1265" s="18" t="s">
        <v>1220</v>
      </c>
      <c r="AS1265" s="1">
        <f>IF($A1265&lt;&gt;0,1,0)</f>
        <v>0</v>
      </c>
      <c r="AT1265" s="1">
        <f>$A1265*$B1265</f>
        <v>0</v>
      </c>
      <c r="AU1265" s="1">
        <f>$A1265*$O1265</f>
        <v>0</v>
      </c>
      <c r="AV1265" s="1">
        <f>IF($R1265=0,0,INT($A1265/$R1265))</f>
        <v>0</v>
      </c>
      <c r="AW1265" s="1">
        <f>$A1265-$AV1265*$R1265</f>
        <v>0</v>
      </c>
    </row>
    <row r="1266" ht="24.95" customHeight="1" outlineLevel="3" s="1" customFormat="1">
      <c r="A1266" s="15"/>
      <c r="B1266" s="16">
        <v>590</v>
      </c>
      <c r="C1266" s="16">
        <v>885</v>
      </c>
      <c r="D1266" s="16">
        <v>26604</v>
      </c>
      <c r="E1266" s="18"/>
      <c r="F1266" s="18" t="s">
        <v>484</v>
      </c>
      <c r="G1266" s="18" t="s">
        <v>485</v>
      </c>
      <c r="H1266" s="18" t="s">
        <v>86</v>
      </c>
      <c r="I1266" s="18"/>
      <c r="J1266" s="16">
        <v>2025</v>
      </c>
      <c r="K1266" s="18" t="s">
        <v>486</v>
      </c>
      <c r="L1266" s="16">
        <v>9785961481426</v>
      </c>
      <c r="M1266" s="18" t="s">
        <v>487</v>
      </c>
      <c r="N1266" s="16">
        <v>318</v>
      </c>
      <c r="O1266" s="19">
        <v>0.49</v>
      </c>
      <c r="P1266" s="16">
        <v>150</v>
      </c>
      <c r="Q1266" s="16">
        <v>220</v>
      </c>
      <c r="R1266" s="16">
        <v>12</v>
      </c>
      <c r="S1266" s="18" t="s">
        <v>43</v>
      </c>
      <c r="T1266" s="18"/>
      <c r="U1266" s="17">
        <v>5000</v>
      </c>
      <c r="V1266" s="18" t="s">
        <v>77</v>
      </c>
      <c r="W1266" s="18" t="s">
        <v>69</v>
      </c>
      <c r="X1266" s="16">
        <v>10</v>
      </c>
      <c r="Y1266" s="43" t="str">
        <f>HYPERLINK("https://api-enni.alpina.ru/FilePrivilegesApproval/376","https://api-enni.alpina.ru/FilePrivilegesApproval/376")</f>
        <v>https://api-enni.alpina.ru/FilePrivilegesApproval/376</v>
      </c>
      <c r="Z1266" s="18"/>
      <c r="AS1266" s="1">
        <f>IF($A1266&lt;&gt;0,1,0)</f>
        <v>0</v>
      </c>
      <c r="AT1266" s="1">
        <f>$A1266*$B1266</f>
        <v>0</v>
      </c>
      <c r="AU1266" s="1">
        <f>$A1266*$O1266</f>
        <v>0</v>
      </c>
      <c r="AV1266" s="1">
        <f>IF($R1266=0,0,INT($A1266/$R1266))</f>
        <v>0</v>
      </c>
      <c r="AW1266" s="1">
        <f>$A1266-$AV1266*$R1266</f>
        <v>0</v>
      </c>
    </row>
    <row r="1267" ht="24.95" customHeight="1" outlineLevel="3" s="1" customFormat="1">
      <c r="A1267" s="15"/>
      <c r="B1267" s="16">
        <v>390</v>
      </c>
      <c r="C1267" s="16">
        <v>624</v>
      </c>
      <c r="D1267" s="16">
        <v>33857</v>
      </c>
      <c r="E1267" s="18"/>
      <c r="F1267" s="18" t="s">
        <v>484</v>
      </c>
      <c r="G1267" s="18" t="s">
        <v>488</v>
      </c>
      <c r="H1267" s="18" t="s">
        <v>86</v>
      </c>
      <c r="I1267" s="18"/>
      <c r="J1267" s="16">
        <v>2025</v>
      </c>
      <c r="K1267" s="18" t="s">
        <v>489</v>
      </c>
      <c r="L1267" s="16">
        <v>9785006305793</v>
      </c>
      <c r="M1267" s="18" t="s">
        <v>490</v>
      </c>
      <c r="N1267" s="16">
        <v>368</v>
      </c>
      <c r="O1267" s="19">
        <v>0.24</v>
      </c>
      <c r="P1267" s="16">
        <v>120</v>
      </c>
      <c r="Q1267" s="16">
        <v>170</v>
      </c>
      <c r="R1267" s="16">
        <v>10</v>
      </c>
      <c r="S1267" s="18" t="s">
        <v>190</v>
      </c>
      <c r="T1267" s="18" t="s">
        <v>491</v>
      </c>
      <c r="U1267" s="17">
        <v>5000</v>
      </c>
      <c r="V1267" s="18" t="s">
        <v>44</v>
      </c>
      <c r="W1267" s="18" t="s">
        <v>45</v>
      </c>
      <c r="X1267" s="16">
        <v>10</v>
      </c>
      <c r="Y1267" s="43" t="str">
        <f>HYPERLINK("https://api-enni.alpina.ru/FilePrivilegesApproval/883","https://api-enni.alpina.ru/FilePrivilegesApproval/883")</f>
        <v>https://api-enni.alpina.ru/FilePrivilegesApproval/883</v>
      </c>
      <c r="Z1267" s="18"/>
      <c r="AS1267" s="1">
        <f>IF($A1267&lt;&gt;0,1,0)</f>
        <v>0</v>
      </c>
      <c r="AT1267" s="1">
        <f>$A1267*$B1267</f>
        <v>0</v>
      </c>
      <c r="AU1267" s="1">
        <f>$A1267*$O1267</f>
        <v>0</v>
      </c>
      <c r="AV1267" s="1">
        <f>IF($R1267=0,0,INT($A1267/$R1267))</f>
        <v>0</v>
      </c>
      <c r="AW1267" s="1">
        <f>$A1267-$AV1267*$R1267</f>
        <v>0</v>
      </c>
    </row>
    <row r="1268" ht="21.95" customHeight="1" outlineLevel="3" s="1" customFormat="1">
      <c r="A1268" s="25"/>
      <c r="B1268" s="29">
        <v>1006</v>
      </c>
      <c r="C1268" s="29">
        <v>1358</v>
      </c>
      <c r="D1268" s="26">
        <v>33840</v>
      </c>
      <c r="E1268" s="27"/>
      <c r="F1268" s="27" t="s">
        <v>990</v>
      </c>
      <c r="G1268" s="27" t="s">
        <v>4186</v>
      </c>
      <c r="H1268" s="27" t="s">
        <v>95</v>
      </c>
      <c r="I1268" s="27"/>
      <c r="J1268" s="26">
        <v>2025</v>
      </c>
      <c r="K1268" s="27" t="s">
        <v>4187</v>
      </c>
      <c r="L1268" s="26">
        <v>9785206004823</v>
      </c>
      <c r="M1268" s="27" t="s">
        <v>4188</v>
      </c>
      <c r="N1268" s="26">
        <v>256</v>
      </c>
      <c r="O1268" s="28">
        <v>0.49</v>
      </c>
      <c r="P1268" s="26">
        <v>150</v>
      </c>
      <c r="Q1268" s="26">
        <v>220</v>
      </c>
      <c r="R1268" s="26">
        <v>8</v>
      </c>
      <c r="S1268" s="27" t="s">
        <v>43</v>
      </c>
      <c r="T1268" s="27"/>
      <c r="U1268" s="29">
        <v>1000</v>
      </c>
      <c r="V1268" s="27" t="s">
        <v>77</v>
      </c>
      <c r="W1268" s="27" t="s">
        <v>45</v>
      </c>
      <c r="X1268" s="26">
        <v>22</v>
      </c>
      <c r="Y1268" s="45" t="str">
        <f>HYPERLINK("","")</f>
      </c>
      <c r="Z1268" s="27"/>
      <c r="AS1268" s="1">
        <f>IF($A1268&lt;&gt;0,1,0)</f>
        <v>0</v>
      </c>
      <c r="AT1268" s="1">
        <f>$A1268*$B1268</f>
        <v>0</v>
      </c>
      <c r="AU1268" s="1">
        <f>$A1268*$O1268</f>
        <v>0</v>
      </c>
      <c r="AV1268" s="1">
        <f>IF($R1268=0,0,INT($A1268/$R1268))</f>
        <v>0</v>
      </c>
      <c r="AW1268" s="1">
        <f>$A1268-$AV1268*$R1268</f>
        <v>0</v>
      </c>
    </row>
    <row r="1269" ht="24.95" customHeight="1" outlineLevel="3" s="1" customFormat="1">
      <c r="A1269" s="15"/>
      <c r="B1269" s="16">
        <v>990</v>
      </c>
      <c r="C1269" s="17">
        <v>1386</v>
      </c>
      <c r="D1269" s="16">
        <v>34959</v>
      </c>
      <c r="E1269" s="18"/>
      <c r="F1269" s="18" t="s">
        <v>4189</v>
      </c>
      <c r="G1269" s="18" t="s">
        <v>4190</v>
      </c>
      <c r="H1269" s="18" t="s">
        <v>86</v>
      </c>
      <c r="I1269" s="18" t="s">
        <v>65</v>
      </c>
      <c r="J1269" s="16">
        <v>2026</v>
      </c>
      <c r="K1269" s="18" t="s">
        <v>4191</v>
      </c>
      <c r="L1269" s="16">
        <v>9785006309623</v>
      </c>
      <c r="M1269" s="18" t="s">
        <v>4192</v>
      </c>
      <c r="N1269" s="16">
        <v>480</v>
      </c>
      <c r="O1269" s="19">
        <v>0.67</v>
      </c>
      <c r="P1269" s="16">
        <v>150</v>
      </c>
      <c r="Q1269" s="16">
        <v>220</v>
      </c>
      <c r="R1269" s="16">
        <v>8</v>
      </c>
      <c r="S1269" s="18" t="s">
        <v>43</v>
      </c>
      <c r="T1269" s="18"/>
      <c r="U1269" s="17">
        <v>2000</v>
      </c>
      <c r="V1269" s="18" t="s">
        <v>77</v>
      </c>
      <c r="W1269" s="18" t="s">
        <v>69</v>
      </c>
      <c r="X1269" s="16">
        <v>10</v>
      </c>
      <c r="Y1269" s="43" t="str">
        <f>HYPERLINK("https://api-enni.alpina.ru/FilePrivilegesApproval/1141","https://api-enni.alpina.ru/FilePrivilegesApproval/1141")</f>
        <v>https://api-enni.alpina.ru/FilePrivilegesApproval/1141</v>
      </c>
      <c r="Z1269" s="18" t="s">
        <v>753</v>
      </c>
      <c r="AS1269" s="1">
        <f>IF($A1269&lt;&gt;0,1,0)</f>
        <v>0</v>
      </c>
      <c r="AT1269" s="1">
        <f>$A1269*$B1269</f>
        <v>0</v>
      </c>
      <c r="AU1269" s="1">
        <f>$A1269*$O1269</f>
        <v>0</v>
      </c>
      <c r="AV1269" s="1">
        <f>IF($R1269=0,0,INT($A1269/$R1269))</f>
        <v>0</v>
      </c>
      <c r="AW1269" s="1">
        <f>$A1269-$AV1269*$R1269</f>
        <v>0</v>
      </c>
    </row>
    <row r="1270" ht="24.95" customHeight="1" outlineLevel="3" s="1" customFormat="1">
      <c r="A1270" s="15"/>
      <c r="B1270" s="16">
        <v>740</v>
      </c>
      <c r="C1270" s="17">
        <v>1073</v>
      </c>
      <c r="D1270" s="16">
        <v>28451</v>
      </c>
      <c r="E1270" s="18"/>
      <c r="F1270" s="18" t="s">
        <v>4193</v>
      </c>
      <c r="G1270" s="18" t="s">
        <v>4194</v>
      </c>
      <c r="H1270" s="18" t="s">
        <v>95</v>
      </c>
      <c r="I1270" s="18"/>
      <c r="J1270" s="16">
        <v>2023</v>
      </c>
      <c r="K1270" s="18" t="s">
        <v>4195</v>
      </c>
      <c r="L1270" s="16">
        <v>9785206002089</v>
      </c>
      <c r="M1270" s="18" t="s">
        <v>4196</v>
      </c>
      <c r="N1270" s="16">
        <v>173</v>
      </c>
      <c r="O1270" s="19">
        <v>0.58</v>
      </c>
      <c r="P1270" s="16">
        <v>180</v>
      </c>
      <c r="Q1270" s="16">
        <v>230</v>
      </c>
      <c r="R1270" s="16">
        <v>8</v>
      </c>
      <c r="S1270" s="18" t="s">
        <v>52</v>
      </c>
      <c r="T1270" s="18"/>
      <c r="U1270" s="17">
        <v>2000</v>
      </c>
      <c r="V1270" s="18" t="s">
        <v>77</v>
      </c>
      <c r="W1270" s="18" t="s">
        <v>69</v>
      </c>
      <c r="X1270" s="16">
        <v>10</v>
      </c>
      <c r="Y1270" s="43" t="str">
        <f>HYPERLINK("https://api-enni.alpina.ru/FilePrivilegesApproval/286","https://api-enni.alpina.ru/FilePrivilegesApproval/286")</f>
        <v>https://api-enni.alpina.ru/FilePrivilegesApproval/286</v>
      </c>
      <c r="Z1270" s="18"/>
      <c r="AS1270" s="1">
        <f>IF($A1270&lt;&gt;0,1,0)</f>
        <v>0</v>
      </c>
      <c r="AT1270" s="1">
        <f>$A1270*$B1270</f>
        <v>0</v>
      </c>
      <c r="AU1270" s="1">
        <f>$A1270*$O1270</f>
        <v>0</v>
      </c>
      <c r="AV1270" s="1">
        <f>IF($R1270=0,0,INT($A1270/$R1270))</f>
        <v>0</v>
      </c>
      <c r="AW1270" s="1">
        <f>$A1270-$AV1270*$R1270</f>
        <v>0</v>
      </c>
    </row>
    <row r="1271" ht="24.95" customHeight="1" outlineLevel="3" s="1" customFormat="1">
      <c r="A1271" s="15"/>
      <c r="B1271" s="16">
        <v>590</v>
      </c>
      <c r="C1271" s="16">
        <v>885</v>
      </c>
      <c r="D1271" s="16">
        <v>28287</v>
      </c>
      <c r="E1271" s="18"/>
      <c r="F1271" s="18" t="s">
        <v>4197</v>
      </c>
      <c r="G1271" s="18" t="s">
        <v>4198</v>
      </c>
      <c r="H1271" s="18" t="s">
        <v>86</v>
      </c>
      <c r="I1271" s="18"/>
      <c r="J1271" s="16">
        <v>2026</v>
      </c>
      <c r="K1271" s="18" t="s">
        <v>4199</v>
      </c>
      <c r="L1271" s="16">
        <v>9785961487749</v>
      </c>
      <c r="M1271" s="18" t="s">
        <v>4200</v>
      </c>
      <c r="N1271" s="16">
        <v>470</v>
      </c>
      <c r="O1271" s="19">
        <v>0.57</v>
      </c>
      <c r="P1271" s="16">
        <v>150</v>
      </c>
      <c r="Q1271" s="16">
        <v>210</v>
      </c>
      <c r="R1271" s="16">
        <v>10</v>
      </c>
      <c r="S1271" s="18" t="s">
        <v>43</v>
      </c>
      <c r="T1271" s="18"/>
      <c r="U1271" s="17">
        <v>1000</v>
      </c>
      <c r="V1271" s="18" t="s">
        <v>44</v>
      </c>
      <c r="W1271" s="18" t="s">
        <v>69</v>
      </c>
      <c r="X1271" s="16">
        <v>10</v>
      </c>
      <c r="Y1271" s="43" t="str">
        <f>HYPERLINK("https://api-enni.alpina.ru/FilePrivilegesApproval/308","https://api-enni.alpina.ru/FilePrivilegesApproval/308")</f>
        <v>https://api-enni.alpina.ru/FilePrivilegesApproval/308</v>
      </c>
      <c r="Z1271" s="18"/>
      <c r="AS1271" s="1">
        <f>IF($A1271&lt;&gt;0,1,0)</f>
        <v>0</v>
      </c>
      <c r="AT1271" s="1">
        <f>$A1271*$B1271</f>
        <v>0</v>
      </c>
      <c r="AU1271" s="1">
        <f>$A1271*$O1271</f>
        <v>0</v>
      </c>
      <c r="AV1271" s="1">
        <f>IF($R1271=0,0,INT($A1271/$R1271))</f>
        <v>0</v>
      </c>
      <c r="AW1271" s="1">
        <f>$A1271-$AV1271*$R1271</f>
        <v>0</v>
      </c>
    </row>
    <row r="1272" ht="21.95" customHeight="1" outlineLevel="3" s="1" customFormat="1">
      <c r="A1272" s="15"/>
      <c r="B1272" s="17">
        <v>1312</v>
      </c>
      <c r="C1272" s="17">
        <v>1771</v>
      </c>
      <c r="D1272" s="16">
        <v>34273</v>
      </c>
      <c r="E1272" s="18"/>
      <c r="F1272" s="18" t="s">
        <v>4201</v>
      </c>
      <c r="G1272" s="18" t="s">
        <v>4202</v>
      </c>
      <c r="H1272" s="18" t="s">
        <v>86</v>
      </c>
      <c r="I1272" s="18"/>
      <c r="J1272" s="16">
        <v>2025</v>
      </c>
      <c r="K1272" s="18" t="s">
        <v>4203</v>
      </c>
      <c r="L1272" s="16">
        <v>9785006312555</v>
      </c>
      <c r="M1272" s="18" t="s">
        <v>4204</v>
      </c>
      <c r="N1272" s="16">
        <v>368</v>
      </c>
      <c r="O1272" s="19">
        <v>0.53</v>
      </c>
      <c r="P1272" s="16">
        <v>150</v>
      </c>
      <c r="Q1272" s="16">
        <v>220</v>
      </c>
      <c r="R1272" s="16">
        <v>10</v>
      </c>
      <c r="S1272" s="18" t="s">
        <v>43</v>
      </c>
      <c r="T1272" s="18"/>
      <c r="U1272" s="17">
        <v>1000</v>
      </c>
      <c r="V1272" s="18" t="s">
        <v>77</v>
      </c>
      <c r="W1272" s="18" t="s">
        <v>45</v>
      </c>
      <c r="X1272" s="16">
        <v>22</v>
      </c>
      <c r="Y1272" s="43" t="str">
        <f>HYPERLINK("","")</f>
      </c>
      <c r="Z1272" s="18"/>
      <c r="AS1272" s="1">
        <f>IF($A1272&lt;&gt;0,1,0)</f>
        <v>0</v>
      </c>
      <c r="AT1272" s="1">
        <f>$A1272*$B1272</f>
        <v>0</v>
      </c>
      <c r="AU1272" s="1">
        <f>$A1272*$O1272</f>
        <v>0</v>
      </c>
      <c r="AV1272" s="1">
        <f>IF($R1272=0,0,INT($A1272/$R1272))</f>
        <v>0</v>
      </c>
      <c r="AW1272" s="1">
        <f>$A1272-$AV1272*$R1272</f>
        <v>0</v>
      </c>
    </row>
    <row r="1273" ht="24.95" customHeight="1" outlineLevel="3" s="1" customFormat="1">
      <c r="A1273" s="15"/>
      <c r="B1273" s="17">
        <v>1090</v>
      </c>
      <c r="C1273" s="17">
        <v>1472</v>
      </c>
      <c r="D1273" s="16">
        <v>30784</v>
      </c>
      <c r="E1273" s="18"/>
      <c r="F1273" s="18" t="s">
        <v>4205</v>
      </c>
      <c r="G1273" s="18" t="s">
        <v>4206</v>
      </c>
      <c r="H1273" s="18" t="s">
        <v>95</v>
      </c>
      <c r="I1273" s="18"/>
      <c r="J1273" s="16">
        <v>2024</v>
      </c>
      <c r="K1273" s="18" t="s">
        <v>4207</v>
      </c>
      <c r="L1273" s="16">
        <v>9785206003413</v>
      </c>
      <c r="M1273" s="18" t="s">
        <v>4208</v>
      </c>
      <c r="N1273" s="16">
        <v>244</v>
      </c>
      <c r="O1273" s="19">
        <v>0.35</v>
      </c>
      <c r="P1273" s="16">
        <v>150</v>
      </c>
      <c r="Q1273" s="16">
        <v>220</v>
      </c>
      <c r="R1273" s="16">
        <v>5</v>
      </c>
      <c r="S1273" s="18" t="s">
        <v>43</v>
      </c>
      <c r="T1273" s="18"/>
      <c r="U1273" s="17">
        <v>1500</v>
      </c>
      <c r="V1273" s="18" t="s">
        <v>77</v>
      </c>
      <c r="W1273" s="18" t="s">
        <v>69</v>
      </c>
      <c r="X1273" s="16">
        <v>10</v>
      </c>
      <c r="Y1273" s="43" t="str">
        <f>HYPERLINK("https://api-enni.alpina.ru/FilePrivilegesApproval/414","https://api-enni.alpina.ru/FilePrivilegesApproval/414")</f>
        <v>https://api-enni.alpina.ru/FilePrivilegesApproval/414</v>
      </c>
      <c r="Z1273" s="18"/>
      <c r="AS1273" s="1">
        <f>IF($A1273&lt;&gt;0,1,0)</f>
        <v>0</v>
      </c>
      <c r="AT1273" s="1">
        <f>$A1273*$B1273</f>
        <v>0</v>
      </c>
      <c r="AU1273" s="1">
        <f>$A1273*$O1273</f>
        <v>0</v>
      </c>
      <c r="AV1273" s="1">
        <f>IF($R1273=0,0,INT($A1273/$R1273))</f>
        <v>0</v>
      </c>
      <c r="AW1273" s="1">
        <f>$A1273-$AV1273*$R1273</f>
        <v>0</v>
      </c>
    </row>
    <row r="1274" ht="24.95" customHeight="1" outlineLevel="3" s="1" customFormat="1">
      <c r="A1274" s="15"/>
      <c r="B1274" s="16">
        <v>790</v>
      </c>
      <c r="C1274" s="17">
        <v>1146</v>
      </c>
      <c r="D1274" s="16">
        <v>35342</v>
      </c>
      <c r="E1274" s="18"/>
      <c r="F1274" s="18" t="s">
        <v>990</v>
      </c>
      <c r="G1274" s="18" t="s">
        <v>4209</v>
      </c>
      <c r="H1274" s="18" t="s">
        <v>95</v>
      </c>
      <c r="I1274" s="18"/>
      <c r="J1274" s="16">
        <v>2026</v>
      </c>
      <c r="K1274" s="18" t="s">
        <v>4210</v>
      </c>
      <c r="L1274" s="16">
        <v>9785206005912</v>
      </c>
      <c r="M1274" s="18" t="s">
        <v>4211</v>
      </c>
      <c r="N1274" s="16">
        <v>256</v>
      </c>
      <c r="O1274" s="19">
        <v>0.47</v>
      </c>
      <c r="P1274" s="16">
        <v>150</v>
      </c>
      <c r="Q1274" s="16">
        <v>220</v>
      </c>
      <c r="R1274" s="16">
        <v>8</v>
      </c>
      <c r="S1274" s="18" t="s">
        <v>43</v>
      </c>
      <c r="T1274" s="18"/>
      <c r="U1274" s="17">
        <v>1000</v>
      </c>
      <c r="V1274" s="18" t="s">
        <v>77</v>
      </c>
      <c r="W1274" s="18" t="s">
        <v>45</v>
      </c>
      <c r="X1274" s="16">
        <v>10</v>
      </c>
      <c r="Y1274" s="43" t="str">
        <f>HYPERLINK("https://api-enni.alpina.ru/FilePrivilegesApproval/1100","https://api-enni.alpina.ru/FilePrivilegesApproval/1100")</f>
        <v>https://api-enni.alpina.ru/FilePrivilegesApproval/1100</v>
      </c>
      <c r="Z1274" s="18"/>
      <c r="AS1274" s="1">
        <f>IF($A1274&lt;&gt;0,1,0)</f>
        <v>0</v>
      </c>
      <c r="AT1274" s="1">
        <f>$A1274*$B1274</f>
        <v>0</v>
      </c>
      <c r="AU1274" s="1">
        <f>$A1274*$O1274</f>
        <v>0</v>
      </c>
      <c r="AV1274" s="1">
        <f>IF($R1274=0,0,INT($A1274/$R1274))</f>
        <v>0</v>
      </c>
      <c r="AW1274" s="1">
        <f>$A1274-$AV1274*$R1274</f>
        <v>0</v>
      </c>
    </row>
    <row r="1275" ht="24.95" customHeight="1" outlineLevel="3" s="1" customFormat="1">
      <c r="A1275" s="15"/>
      <c r="B1275" s="16">
        <v>740</v>
      </c>
      <c r="C1275" s="17">
        <v>1073</v>
      </c>
      <c r="D1275" s="16">
        <v>26116</v>
      </c>
      <c r="E1275" s="18"/>
      <c r="F1275" s="18" t="s">
        <v>4212</v>
      </c>
      <c r="G1275" s="18" t="s">
        <v>4213</v>
      </c>
      <c r="H1275" s="18" t="s">
        <v>95</v>
      </c>
      <c r="I1275" s="18"/>
      <c r="J1275" s="16">
        <v>2024</v>
      </c>
      <c r="K1275" s="18" t="s">
        <v>4214</v>
      </c>
      <c r="L1275" s="16">
        <v>9785206000573</v>
      </c>
      <c r="M1275" s="18" t="s">
        <v>4215</v>
      </c>
      <c r="N1275" s="16">
        <v>340</v>
      </c>
      <c r="O1275" s="19">
        <v>0.68</v>
      </c>
      <c r="P1275" s="16">
        <v>170</v>
      </c>
      <c r="Q1275" s="16">
        <v>250</v>
      </c>
      <c r="R1275" s="16">
        <v>5</v>
      </c>
      <c r="S1275" s="18" t="s">
        <v>123</v>
      </c>
      <c r="T1275" s="18"/>
      <c r="U1275" s="17">
        <v>1000</v>
      </c>
      <c r="V1275" s="18" t="s">
        <v>77</v>
      </c>
      <c r="W1275" s="18" t="s">
        <v>91</v>
      </c>
      <c r="X1275" s="16">
        <v>10</v>
      </c>
      <c r="Y1275" s="43" t="str">
        <f>HYPERLINK("https://api-enni.alpina.ru/FilePrivilegesApproval/167","https://api-enni.alpina.ru/FilePrivilegesApproval/167")</f>
        <v>https://api-enni.alpina.ru/FilePrivilegesApproval/167</v>
      </c>
      <c r="Z1275" s="18"/>
      <c r="AS1275" s="1">
        <f>IF($A1275&lt;&gt;0,1,0)</f>
        <v>0</v>
      </c>
      <c r="AT1275" s="1">
        <f>$A1275*$B1275</f>
        <v>0</v>
      </c>
      <c r="AU1275" s="1">
        <f>$A1275*$O1275</f>
        <v>0</v>
      </c>
      <c r="AV1275" s="1">
        <f>IF($R1275=0,0,INT($A1275/$R1275))</f>
        <v>0</v>
      </c>
      <c r="AW1275" s="1">
        <f>$A1275-$AV1275*$R1275</f>
        <v>0</v>
      </c>
    </row>
    <row r="1276" ht="24.95" customHeight="1" outlineLevel="3" s="1" customFormat="1">
      <c r="A1276" s="15"/>
      <c r="B1276" s="16">
        <v>690</v>
      </c>
      <c r="C1276" s="17">
        <v>1035</v>
      </c>
      <c r="D1276" s="16">
        <v>29412</v>
      </c>
      <c r="E1276" s="18"/>
      <c r="F1276" s="18" t="s">
        <v>4216</v>
      </c>
      <c r="G1276" s="18" t="s">
        <v>4217</v>
      </c>
      <c r="H1276" s="18" t="s">
        <v>86</v>
      </c>
      <c r="I1276" s="18" t="s">
        <v>74</v>
      </c>
      <c r="J1276" s="16">
        <v>2025</v>
      </c>
      <c r="K1276" s="18" t="s">
        <v>4218</v>
      </c>
      <c r="L1276" s="16">
        <v>9785961492507</v>
      </c>
      <c r="M1276" s="18" t="s">
        <v>4219</v>
      </c>
      <c r="N1276" s="16">
        <v>520</v>
      </c>
      <c r="O1276" s="19">
        <v>0.73</v>
      </c>
      <c r="P1276" s="16">
        <v>150</v>
      </c>
      <c r="Q1276" s="16">
        <v>220</v>
      </c>
      <c r="R1276" s="16">
        <v>8</v>
      </c>
      <c r="S1276" s="18" t="s">
        <v>43</v>
      </c>
      <c r="T1276" s="18"/>
      <c r="U1276" s="17">
        <v>2000</v>
      </c>
      <c r="V1276" s="18" t="s">
        <v>77</v>
      </c>
      <c r="W1276" s="18" t="s">
        <v>69</v>
      </c>
      <c r="X1276" s="16">
        <v>10</v>
      </c>
      <c r="Y1276" s="43" t="str">
        <f>HYPERLINK("https://api-enni.alpina.ru/FilePrivilegesApproval/535","https://api-enni.alpina.ru/FilePrivilegesApproval/535")</f>
        <v>https://api-enni.alpina.ru/FilePrivilegesApproval/535</v>
      </c>
      <c r="Z1276" s="18"/>
      <c r="AS1276" s="1">
        <f>IF($A1276&lt;&gt;0,1,0)</f>
        <v>0</v>
      </c>
      <c r="AT1276" s="1">
        <f>$A1276*$B1276</f>
        <v>0</v>
      </c>
      <c r="AU1276" s="1">
        <f>$A1276*$O1276</f>
        <v>0</v>
      </c>
      <c r="AV1276" s="1">
        <f>IF($R1276=0,0,INT($A1276/$R1276))</f>
        <v>0</v>
      </c>
      <c r="AW1276" s="1">
        <f>$A1276-$AV1276*$R1276</f>
        <v>0</v>
      </c>
    </row>
    <row r="1277" ht="24.95" customHeight="1" outlineLevel="3" s="1" customFormat="1">
      <c r="A1277" s="15"/>
      <c r="B1277" s="16">
        <v>590</v>
      </c>
      <c r="C1277" s="16">
        <v>885</v>
      </c>
      <c r="D1277" s="16">
        <v>12777</v>
      </c>
      <c r="E1277" s="18"/>
      <c r="F1277" s="18" t="s">
        <v>4220</v>
      </c>
      <c r="G1277" s="18" t="s">
        <v>4221</v>
      </c>
      <c r="H1277" s="18" t="s">
        <v>86</v>
      </c>
      <c r="I1277" s="18" t="s">
        <v>4222</v>
      </c>
      <c r="J1277" s="16">
        <v>2024</v>
      </c>
      <c r="K1277" s="18" t="s">
        <v>4223</v>
      </c>
      <c r="L1277" s="16">
        <v>9785961427295</v>
      </c>
      <c r="M1277" s="18" t="s">
        <v>4224</v>
      </c>
      <c r="N1277" s="16">
        <v>331</v>
      </c>
      <c r="O1277" s="19">
        <v>0.5</v>
      </c>
      <c r="P1277" s="16">
        <v>150</v>
      </c>
      <c r="Q1277" s="16">
        <v>220</v>
      </c>
      <c r="R1277" s="16">
        <v>6</v>
      </c>
      <c r="S1277" s="18" t="s">
        <v>43</v>
      </c>
      <c r="T1277" s="18"/>
      <c r="U1277" s="17">
        <v>1000</v>
      </c>
      <c r="V1277" s="18" t="s">
        <v>77</v>
      </c>
      <c r="W1277" s="18" t="s">
        <v>69</v>
      </c>
      <c r="X1277" s="16">
        <v>10</v>
      </c>
      <c r="Y1277" s="43" t="str">
        <f>HYPERLINK("https://api-enni.alpina.ru/FilePrivilegesApproval/43","https://api-enni.alpina.ru/FilePrivilegesApproval/43")</f>
        <v>https://api-enni.alpina.ru/FilePrivilegesApproval/43</v>
      </c>
      <c r="Z1277" s="18"/>
      <c r="AS1277" s="1">
        <f>IF($A1277&lt;&gt;0,1,0)</f>
        <v>0</v>
      </c>
      <c r="AT1277" s="1">
        <f>$A1277*$B1277</f>
        <v>0</v>
      </c>
      <c r="AU1277" s="1">
        <f>$A1277*$O1277</f>
        <v>0</v>
      </c>
      <c r="AV1277" s="1">
        <f>IF($R1277=0,0,INT($A1277/$R1277))</f>
        <v>0</v>
      </c>
      <c r="AW1277" s="1">
        <f>$A1277-$AV1277*$R1277</f>
        <v>0</v>
      </c>
    </row>
    <row r="1278" ht="24.95" customHeight="1" outlineLevel="3" s="1" customFormat="1">
      <c r="A1278" s="25"/>
      <c r="B1278" s="26">
        <v>740</v>
      </c>
      <c r="C1278" s="29">
        <v>1073</v>
      </c>
      <c r="D1278" s="26">
        <v>25771</v>
      </c>
      <c r="E1278" s="27"/>
      <c r="F1278" s="27" t="s">
        <v>4225</v>
      </c>
      <c r="G1278" s="27" t="s">
        <v>4226</v>
      </c>
      <c r="H1278" s="27" t="s">
        <v>95</v>
      </c>
      <c r="I1278" s="27"/>
      <c r="J1278" s="26">
        <v>2024</v>
      </c>
      <c r="K1278" s="27" t="s">
        <v>4227</v>
      </c>
      <c r="L1278" s="26">
        <v>9785206000191</v>
      </c>
      <c r="M1278" s="27" t="s">
        <v>4228</v>
      </c>
      <c r="N1278" s="26">
        <v>131</v>
      </c>
      <c r="O1278" s="28">
        <v>0.27</v>
      </c>
      <c r="P1278" s="26">
        <v>160</v>
      </c>
      <c r="Q1278" s="26">
        <v>220</v>
      </c>
      <c r="R1278" s="26">
        <v>10</v>
      </c>
      <c r="S1278" s="27" t="s">
        <v>43</v>
      </c>
      <c r="T1278" s="27"/>
      <c r="U1278" s="29">
        <v>1000</v>
      </c>
      <c r="V1278" s="27" t="s">
        <v>77</v>
      </c>
      <c r="W1278" s="27" t="s">
        <v>91</v>
      </c>
      <c r="X1278" s="26">
        <v>10</v>
      </c>
      <c r="Y1278" s="45" t="str">
        <f>HYPERLINK("https://api-enni.alpina.ru/FilePrivilegesApproval/155","https://api-enni.alpina.ru/FilePrivilegesApproval/155")</f>
        <v>https://api-enni.alpina.ru/FilePrivilegesApproval/155</v>
      </c>
      <c r="Z1278" s="27"/>
      <c r="AS1278" s="1">
        <f>IF($A1278&lt;&gt;0,1,0)</f>
        <v>0</v>
      </c>
      <c r="AT1278" s="1">
        <f>$A1278*$B1278</f>
        <v>0</v>
      </c>
      <c r="AU1278" s="1">
        <f>$A1278*$O1278</f>
        <v>0</v>
      </c>
      <c r="AV1278" s="1">
        <f>IF($R1278=0,0,INT($A1278/$R1278))</f>
        <v>0</v>
      </c>
      <c r="AW1278" s="1">
        <f>$A1278-$AV1278*$R1278</f>
        <v>0</v>
      </c>
    </row>
    <row r="1279" ht="24.95" customHeight="1" outlineLevel="3" s="1" customFormat="1">
      <c r="A1279" s="15"/>
      <c r="B1279" s="16">
        <v>790</v>
      </c>
      <c r="C1279" s="17">
        <v>1146</v>
      </c>
      <c r="D1279" s="16">
        <v>31778</v>
      </c>
      <c r="E1279" s="18"/>
      <c r="F1279" s="18" t="s">
        <v>3724</v>
      </c>
      <c r="G1279" s="18" t="s">
        <v>4229</v>
      </c>
      <c r="H1279" s="18" t="s">
        <v>86</v>
      </c>
      <c r="I1279" s="18"/>
      <c r="J1279" s="16">
        <v>2025</v>
      </c>
      <c r="K1279" s="18" t="s">
        <v>4230</v>
      </c>
      <c r="L1279" s="16">
        <v>9785006300132</v>
      </c>
      <c r="M1279" s="18" t="s">
        <v>4231</v>
      </c>
      <c r="N1279" s="16">
        <v>518</v>
      </c>
      <c r="O1279" s="19">
        <v>0.72</v>
      </c>
      <c r="P1279" s="16">
        <v>150</v>
      </c>
      <c r="Q1279" s="16">
        <v>220</v>
      </c>
      <c r="R1279" s="16">
        <v>8</v>
      </c>
      <c r="S1279" s="18" t="s">
        <v>43</v>
      </c>
      <c r="T1279" s="18"/>
      <c r="U1279" s="17">
        <v>2000</v>
      </c>
      <c r="V1279" s="18" t="s">
        <v>77</v>
      </c>
      <c r="W1279" s="18" t="s">
        <v>69</v>
      </c>
      <c r="X1279" s="16">
        <v>10</v>
      </c>
      <c r="Y1279" s="43" t="str">
        <f>HYPERLINK("https://api-enni.alpina.ru/FilePrivilegesApproval/713","https://api-enni.alpina.ru/FilePrivilegesApproval/713")</f>
        <v>https://api-enni.alpina.ru/FilePrivilegesApproval/713</v>
      </c>
      <c r="Z1279" s="18"/>
      <c r="AS1279" s="1">
        <f>IF($A1279&lt;&gt;0,1,0)</f>
        <v>0</v>
      </c>
      <c r="AT1279" s="1">
        <f>$A1279*$B1279</f>
        <v>0</v>
      </c>
      <c r="AU1279" s="1">
        <f>$A1279*$O1279</f>
        <v>0</v>
      </c>
      <c r="AV1279" s="1">
        <f>IF($R1279=0,0,INT($A1279/$R1279))</f>
        <v>0</v>
      </c>
      <c r="AW1279" s="1">
        <f>$A1279-$AV1279*$R1279</f>
        <v>0</v>
      </c>
    </row>
    <row r="1280" ht="24.95" customHeight="1" outlineLevel="3" s="1" customFormat="1">
      <c r="A1280" s="15"/>
      <c r="B1280" s="16">
        <v>740</v>
      </c>
      <c r="C1280" s="16">
        <v>890</v>
      </c>
      <c r="D1280" s="16">
        <v>20889</v>
      </c>
      <c r="E1280" s="18"/>
      <c r="F1280" s="18" t="s">
        <v>4232</v>
      </c>
      <c r="G1280" s="18" t="s">
        <v>4233</v>
      </c>
      <c r="H1280" s="18" t="s">
        <v>73</v>
      </c>
      <c r="I1280" s="18" t="s">
        <v>74</v>
      </c>
      <c r="J1280" s="16">
        <v>2022</v>
      </c>
      <c r="K1280" s="18" t="s">
        <v>4234</v>
      </c>
      <c r="L1280" s="16">
        <v>9785001397106</v>
      </c>
      <c r="M1280" s="18" t="s">
        <v>4235</v>
      </c>
      <c r="N1280" s="16">
        <v>390</v>
      </c>
      <c r="O1280" s="19">
        <v>0.58</v>
      </c>
      <c r="P1280" s="16">
        <v>153</v>
      </c>
      <c r="Q1280" s="16">
        <v>216</v>
      </c>
      <c r="R1280" s="16">
        <v>10</v>
      </c>
      <c r="S1280" s="18" t="s">
        <v>43</v>
      </c>
      <c r="T1280" s="18"/>
      <c r="U1280" s="17">
        <v>1000</v>
      </c>
      <c r="V1280" s="18" t="s">
        <v>77</v>
      </c>
      <c r="W1280" s="18" t="s">
        <v>69</v>
      </c>
      <c r="X1280" s="16">
        <v>10</v>
      </c>
      <c r="Y1280" s="43" t="str">
        <f>HYPERLINK("https://api-enni.alpina.ru/FilePrivilegesApproval/179","https://api-enni.alpina.ru/FilePrivilegesApproval/179")</f>
        <v>https://api-enni.alpina.ru/FilePrivilegesApproval/179</v>
      </c>
      <c r="Z1280" s="18"/>
      <c r="AS1280" s="1">
        <f>IF($A1280&lt;&gt;0,1,0)</f>
        <v>0</v>
      </c>
      <c r="AT1280" s="1">
        <f>$A1280*$B1280</f>
        <v>0</v>
      </c>
      <c r="AU1280" s="1">
        <f>$A1280*$O1280</f>
        <v>0</v>
      </c>
      <c r="AV1280" s="1">
        <f>IF($R1280=0,0,INT($A1280/$R1280))</f>
        <v>0</v>
      </c>
      <c r="AW1280" s="1">
        <f>$A1280-$AV1280*$R1280</f>
        <v>0</v>
      </c>
    </row>
    <row r="1281" ht="24.95" customHeight="1" outlineLevel="3" s="1" customFormat="1">
      <c r="A1281" s="15"/>
      <c r="B1281" s="17">
        <v>1190</v>
      </c>
      <c r="C1281" s="17">
        <v>1606</v>
      </c>
      <c r="D1281" s="16">
        <v>31665</v>
      </c>
      <c r="E1281" s="18"/>
      <c r="F1281" s="18" t="s">
        <v>4212</v>
      </c>
      <c r="G1281" s="18" t="s">
        <v>4236</v>
      </c>
      <c r="H1281" s="18" t="s">
        <v>95</v>
      </c>
      <c r="I1281" s="18"/>
      <c r="J1281" s="16">
        <v>2025</v>
      </c>
      <c r="K1281" s="18" t="s">
        <v>4237</v>
      </c>
      <c r="L1281" s="16">
        <v>9785206003819</v>
      </c>
      <c r="M1281" s="18" t="s">
        <v>4238</v>
      </c>
      <c r="N1281" s="16">
        <v>248</v>
      </c>
      <c r="O1281" s="19">
        <v>0.54</v>
      </c>
      <c r="P1281" s="16">
        <v>170</v>
      </c>
      <c r="Q1281" s="16">
        <v>240</v>
      </c>
      <c r="R1281" s="16">
        <v>8</v>
      </c>
      <c r="S1281" s="18" t="s">
        <v>123</v>
      </c>
      <c r="T1281" s="18"/>
      <c r="U1281" s="17">
        <v>1000</v>
      </c>
      <c r="V1281" s="18" t="s">
        <v>77</v>
      </c>
      <c r="W1281" s="18" t="s">
        <v>69</v>
      </c>
      <c r="X1281" s="16">
        <v>10</v>
      </c>
      <c r="Y1281" s="43" t="str">
        <f>HYPERLINK("https://api-enni.alpina.ru/FilePrivilegesApproval/735","https://api-enni.alpina.ru/FilePrivilegesApproval/735")</f>
        <v>https://api-enni.alpina.ru/FilePrivilegesApproval/735</v>
      </c>
      <c r="Z1281" s="18"/>
      <c r="AS1281" s="1">
        <f>IF($A1281&lt;&gt;0,1,0)</f>
        <v>0</v>
      </c>
      <c r="AT1281" s="1">
        <f>$A1281*$B1281</f>
        <v>0</v>
      </c>
      <c r="AU1281" s="1">
        <f>$A1281*$O1281</f>
        <v>0</v>
      </c>
      <c r="AV1281" s="1">
        <f>IF($R1281=0,0,INT($A1281/$R1281))</f>
        <v>0</v>
      </c>
      <c r="AW1281" s="1">
        <f>$A1281-$AV1281*$R1281</f>
        <v>0</v>
      </c>
    </row>
    <row r="1282" ht="24.95" customHeight="1" outlineLevel="3" s="1" customFormat="1">
      <c r="A1282" s="25"/>
      <c r="B1282" s="26">
        <v>990</v>
      </c>
      <c r="C1282" s="29">
        <v>1386</v>
      </c>
      <c r="D1282" s="26">
        <v>36328</v>
      </c>
      <c r="E1282" s="27"/>
      <c r="F1282" s="27" t="s">
        <v>990</v>
      </c>
      <c r="G1282" s="27" t="s">
        <v>4239</v>
      </c>
      <c r="H1282" s="27" t="s">
        <v>95</v>
      </c>
      <c r="I1282" s="27"/>
      <c r="J1282" s="26">
        <v>2026</v>
      </c>
      <c r="K1282" s="27" t="s">
        <v>4240</v>
      </c>
      <c r="L1282" s="26">
        <v>9785206006452</v>
      </c>
      <c r="M1282" s="27" t="s">
        <v>4241</v>
      </c>
      <c r="N1282" s="26">
        <v>208</v>
      </c>
      <c r="O1282" s="28">
        <v>0.41</v>
      </c>
      <c r="P1282" s="26">
        <v>150</v>
      </c>
      <c r="Q1282" s="26">
        <v>220</v>
      </c>
      <c r="R1282" s="26">
        <v>12</v>
      </c>
      <c r="S1282" s="27" t="s">
        <v>43</v>
      </c>
      <c r="T1282" s="27"/>
      <c r="U1282" s="29">
        <v>1000</v>
      </c>
      <c r="V1282" s="27" t="s">
        <v>77</v>
      </c>
      <c r="W1282" s="27" t="s">
        <v>69</v>
      </c>
      <c r="X1282" s="26">
        <v>10</v>
      </c>
      <c r="Y1282" s="45" t="str">
        <f>HYPERLINK("https://api-enni.alpina.ru/FilePrivilegesApproval/1136","https://api-enni.alpina.ru/FilePrivilegesApproval/1136")</f>
        <v>https://api-enni.alpina.ru/FilePrivilegesApproval/1136</v>
      </c>
      <c r="Z1282" s="27"/>
      <c r="AS1282" s="1">
        <f>IF($A1282&lt;&gt;0,1,0)</f>
        <v>0</v>
      </c>
      <c r="AT1282" s="1">
        <f>$A1282*$B1282</f>
        <v>0</v>
      </c>
      <c r="AU1282" s="1">
        <f>$A1282*$O1282</f>
        <v>0</v>
      </c>
      <c r="AV1282" s="1">
        <f>IF($R1282=0,0,INT($A1282/$R1282))</f>
        <v>0</v>
      </c>
      <c r="AW1282" s="1">
        <f>$A1282-$AV1282*$R1282</f>
        <v>0</v>
      </c>
    </row>
    <row r="1283" ht="24.95" customHeight="1" outlineLevel="3" s="1" customFormat="1">
      <c r="A1283" s="15"/>
      <c r="B1283" s="16">
        <v>890</v>
      </c>
      <c r="C1283" s="17">
        <v>1246</v>
      </c>
      <c r="D1283" s="16">
        <v>29770</v>
      </c>
      <c r="E1283" s="18"/>
      <c r="F1283" s="18" t="s">
        <v>990</v>
      </c>
      <c r="G1283" s="18" t="s">
        <v>991</v>
      </c>
      <c r="H1283" s="18" t="s">
        <v>95</v>
      </c>
      <c r="I1283" s="18"/>
      <c r="J1283" s="16">
        <v>2024</v>
      </c>
      <c r="K1283" s="18" t="s">
        <v>992</v>
      </c>
      <c r="L1283" s="16">
        <v>9785206002942</v>
      </c>
      <c r="M1283" s="18" t="s">
        <v>993</v>
      </c>
      <c r="N1283" s="16">
        <v>242</v>
      </c>
      <c r="O1283" s="19">
        <v>0.48</v>
      </c>
      <c r="P1283" s="16">
        <v>150</v>
      </c>
      <c r="Q1283" s="16">
        <v>220</v>
      </c>
      <c r="R1283" s="16">
        <v>8</v>
      </c>
      <c r="S1283" s="18" t="s">
        <v>43</v>
      </c>
      <c r="T1283" s="18"/>
      <c r="U1283" s="17">
        <v>1000</v>
      </c>
      <c r="V1283" s="18" t="s">
        <v>77</v>
      </c>
      <c r="W1283" s="18" t="s">
        <v>69</v>
      </c>
      <c r="X1283" s="16">
        <v>10</v>
      </c>
      <c r="Y1283" s="43" t="str">
        <f>HYPERLINK("https://api-enni.alpina.ru/FilePrivilegesApproval/372","https://api-enni.alpina.ru/FilePrivilegesApproval/372")</f>
        <v>https://api-enni.alpina.ru/FilePrivilegesApproval/372</v>
      </c>
      <c r="Z1283" s="18"/>
      <c r="AS1283" s="1">
        <f>IF($A1283&lt;&gt;0,1,0)</f>
        <v>0</v>
      </c>
      <c r="AT1283" s="1">
        <f>$A1283*$B1283</f>
        <v>0</v>
      </c>
      <c r="AU1283" s="1">
        <f>$A1283*$O1283</f>
        <v>0</v>
      </c>
      <c r="AV1283" s="1">
        <f>IF($R1283=0,0,INT($A1283/$R1283))</f>
        <v>0</v>
      </c>
      <c r="AW1283" s="1">
        <f>$A1283-$AV1283*$R1283</f>
        <v>0</v>
      </c>
    </row>
    <row r="1284" ht="11.1" customHeight="1" outlineLevel="2">
      <c r="A1284" s="41" t="s">
        <v>4242</v>
      </c>
      <c r="B1284" s="41"/>
      <c r="C1284" s="41"/>
      <c r="D1284" s="41"/>
      <c r="E1284" s="41"/>
      <c r="F1284" s="41"/>
      <c r="G1284" s="41"/>
      <c r="H1284" s="41"/>
      <c r="I1284" s="41"/>
      <c r="J1284" s="41"/>
      <c r="K1284" s="41"/>
      <c r="L1284" s="41"/>
      <c r="M1284" s="41"/>
      <c r="N1284" s="41"/>
      <c r="O1284" s="41"/>
      <c r="P1284" s="41"/>
      <c r="Q1284" s="41"/>
      <c r="R1284" s="41"/>
      <c r="S1284" s="41"/>
      <c r="T1284" s="41"/>
      <c r="U1284" s="41"/>
      <c r="V1284" s="41"/>
      <c r="W1284" s="41"/>
      <c r="X1284" s="41"/>
      <c r="Y1284" s="41"/>
      <c r="Z1284" s="24"/>
    </row>
    <row r="1285" ht="24.95" customHeight="1" outlineLevel="3" s="1" customFormat="1">
      <c r="A1285" s="15"/>
      <c r="B1285" s="16">
        <v>440</v>
      </c>
      <c r="C1285" s="16">
        <v>682</v>
      </c>
      <c r="D1285" s="16">
        <v>27613</v>
      </c>
      <c r="E1285" s="18"/>
      <c r="F1285" s="18" t="s">
        <v>817</v>
      </c>
      <c r="G1285" s="18" t="s">
        <v>4243</v>
      </c>
      <c r="H1285" s="18" t="s">
        <v>73</v>
      </c>
      <c r="I1285" s="18" t="s">
        <v>74</v>
      </c>
      <c r="J1285" s="16">
        <v>2023</v>
      </c>
      <c r="K1285" s="18" t="s">
        <v>4244</v>
      </c>
      <c r="L1285" s="16">
        <v>9785001399308</v>
      </c>
      <c r="M1285" s="18" t="s">
        <v>4245</v>
      </c>
      <c r="N1285" s="16">
        <v>256</v>
      </c>
      <c r="O1285" s="19">
        <v>0.17</v>
      </c>
      <c r="P1285" s="16">
        <v>120</v>
      </c>
      <c r="Q1285" s="16">
        <v>170</v>
      </c>
      <c r="R1285" s="16">
        <v>12</v>
      </c>
      <c r="S1285" s="18" t="s">
        <v>190</v>
      </c>
      <c r="T1285" s="18" t="s">
        <v>959</v>
      </c>
      <c r="U1285" s="17">
        <v>7000</v>
      </c>
      <c r="V1285" s="18" t="s">
        <v>44</v>
      </c>
      <c r="W1285" s="18" t="s">
        <v>91</v>
      </c>
      <c r="X1285" s="16">
        <v>10</v>
      </c>
      <c r="Y1285" s="43" t="str">
        <f>HYPERLINK("https://api-enni.alpina.ru/FilePrivilegesApproval/149","https://api-enni.alpina.ru/FilePrivilegesApproval/149")</f>
        <v>https://api-enni.alpina.ru/FilePrivilegesApproval/149</v>
      </c>
      <c r="Z1285" s="18"/>
      <c r="AS1285" s="1">
        <f>IF($A1285&lt;&gt;0,1,0)</f>
        <v>0</v>
      </c>
      <c r="AT1285" s="1">
        <f>$A1285*$B1285</f>
        <v>0</v>
      </c>
      <c r="AU1285" s="1">
        <f>$A1285*$O1285</f>
        <v>0</v>
      </c>
      <c r="AV1285" s="1">
        <f>IF($R1285=0,0,INT($A1285/$R1285))</f>
        <v>0</v>
      </c>
      <c r="AW1285" s="1">
        <f>$A1285-$AV1285*$R1285</f>
        <v>0</v>
      </c>
    </row>
    <row r="1286" ht="24.95" customHeight="1" outlineLevel="3" s="1" customFormat="1">
      <c r="A1286" s="15"/>
      <c r="B1286" s="16">
        <v>549</v>
      </c>
      <c r="C1286" s="16">
        <v>851</v>
      </c>
      <c r="D1286" s="16">
        <v>11491</v>
      </c>
      <c r="E1286" s="18"/>
      <c r="F1286" s="18" t="s">
        <v>745</v>
      </c>
      <c r="G1286" s="18" t="s">
        <v>4246</v>
      </c>
      <c r="H1286" s="18" t="s">
        <v>73</v>
      </c>
      <c r="I1286" s="18" t="s">
        <v>74</v>
      </c>
      <c r="J1286" s="16">
        <v>2022</v>
      </c>
      <c r="K1286" s="18" t="s">
        <v>4247</v>
      </c>
      <c r="L1286" s="16">
        <v>9785001390619</v>
      </c>
      <c r="M1286" s="18" t="s">
        <v>4248</v>
      </c>
      <c r="N1286" s="16">
        <v>554</v>
      </c>
      <c r="O1286" s="19">
        <v>0.36</v>
      </c>
      <c r="P1286" s="16">
        <v>120</v>
      </c>
      <c r="Q1286" s="16">
        <v>170</v>
      </c>
      <c r="R1286" s="16">
        <v>6</v>
      </c>
      <c r="S1286" s="18" t="s">
        <v>190</v>
      </c>
      <c r="T1286" s="18" t="s">
        <v>491</v>
      </c>
      <c r="U1286" s="17">
        <v>3000</v>
      </c>
      <c r="V1286" s="18" t="s">
        <v>44</v>
      </c>
      <c r="W1286" s="18" t="s">
        <v>45</v>
      </c>
      <c r="X1286" s="16">
        <v>22</v>
      </c>
      <c r="Y1286" s="43" t="str">
        <f>HYPERLINK("https://api-enni.alpina.ru/FilePrivilegesApproval/5","https://api-enni.alpina.ru/FilePrivilegesApproval/5")</f>
        <v>https://api-enni.alpina.ru/FilePrivilegesApproval/5</v>
      </c>
      <c r="Z1286" s="18" t="s">
        <v>1945</v>
      </c>
      <c r="AS1286" s="1">
        <f>IF($A1286&lt;&gt;0,1,0)</f>
        <v>0</v>
      </c>
      <c r="AT1286" s="1">
        <f>$A1286*$B1286</f>
        <v>0</v>
      </c>
      <c r="AU1286" s="1">
        <f>$A1286*$O1286</f>
        <v>0</v>
      </c>
      <c r="AV1286" s="1">
        <f>IF($R1286=0,0,INT($A1286/$R1286))</f>
        <v>0</v>
      </c>
      <c r="AW1286" s="1">
        <f>$A1286-$AV1286*$R1286</f>
        <v>0</v>
      </c>
    </row>
    <row r="1287" ht="24.95" customHeight="1" outlineLevel="3" s="1" customFormat="1">
      <c r="A1287" s="15"/>
      <c r="B1287" s="16">
        <v>420</v>
      </c>
      <c r="C1287" s="16">
        <v>651</v>
      </c>
      <c r="D1287" s="16">
        <v>30367</v>
      </c>
      <c r="E1287" s="18"/>
      <c r="F1287" s="18" t="s">
        <v>4249</v>
      </c>
      <c r="G1287" s="18" t="s">
        <v>4250</v>
      </c>
      <c r="H1287" s="18" t="s">
        <v>73</v>
      </c>
      <c r="I1287" s="18"/>
      <c r="J1287" s="16">
        <v>2026</v>
      </c>
      <c r="K1287" s="18" t="s">
        <v>4251</v>
      </c>
      <c r="L1287" s="16">
        <v>9785916711738</v>
      </c>
      <c r="M1287" s="18" t="s">
        <v>4252</v>
      </c>
      <c r="N1287" s="16">
        <v>320</v>
      </c>
      <c r="O1287" s="19">
        <v>0.21</v>
      </c>
      <c r="P1287" s="16">
        <v>120</v>
      </c>
      <c r="Q1287" s="16">
        <v>170</v>
      </c>
      <c r="R1287" s="16">
        <v>12</v>
      </c>
      <c r="S1287" s="18" t="s">
        <v>190</v>
      </c>
      <c r="T1287" s="18" t="s">
        <v>491</v>
      </c>
      <c r="U1287" s="17">
        <v>2000</v>
      </c>
      <c r="V1287" s="18" t="s">
        <v>44</v>
      </c>
      <c r="W1287" s="18" t="s">
        <v>91</v>
      </c>
      <c r="X1287" s="16">
        <v>10</v>
      </c>
      <c r="Y1287" s="43" t="str">
        <f>HYPERLINK("https://api-enni.alpina.ru/FilePrivilegesApproval/270","https://api-enni.alpina.ru/FilePrivilegesApproval/270")</f>
        <v>https://api-enni.alpina.ru/FilePrivilegesApproval/270</v>
      </c>
      <c r="Z1287" s="18"/>
      <c r="AS1287" s="1">
        <f>IF($A1287&lt;&gt;0,1,0)</f>
        <v>0</v>
      </c>
      <c r="AT1287" s="1">
        <f>$A1287*$B1287</f>
        <v>0</v>
      </c>
      <c r="AU1287" s="1">
        <f>$A1287*$O1287</f>
        <v>0</v>
      </c>
      <c r="AV1287" s="1">
        <f>IF($R1287=0,0,INT($A1287/$R1287))</f>
        <v>0</v>
      </c>
      <c r="AW1287" s="1">
        <f>$A1287-$AV1287*$R1287</f>
        <v>0</v>
      </c>
    </row>
    <row r="1288" ht="24.95" customHeight="1" outlineLevel="3" s="1" customFormat="1">
      <c r="A1288" s="15"/>
      <c r="B1288" s="16">
        <v>550</v>
      </c>
      <c r="C1288" s="16">
        <v>852</v>
      </c>
      <c r="D1288" s="16">
        <v>11191</v>
      </c>
      <c r="E1288" s="18"/>
      <c r="F1288" s="18" t="s">
        <v>557</v>
      </c>
      <c r="G1288" s="18" t="s">
        <v>4253</v>
      </c>
      <c r="H1288" s="18" t="s">
        <v>73</v>
      </c>
      <c r="I1288" s="18" t="s">
        <v>74</v>
      </c>
      <c r="J1288" s="16">
        <v>2026</v>
      </c>
      <c r="K1288" s="18" t="s">
        <v>4254</v>
      </c>
      <c r="L1288" s="16">
        <v>9785001390275</v>
      </c>
      <c r="M1288" s="18" t="s">
        <v>4255</v>
      </c>
      <c r="N1288" s="16">
        <v>660</v>
      </c>
      <c r="O1288" s="19">
        <v>0.42</v>
      </c>
      <c r="P1288" s="16">
        <v>115</v>
      </c>
      <c r="Q1288" s="16">
        <v>165</v>
      </c>
      <c r="R1288" s="16">
        <v>6</v>
      </c>
      <c r="S1288" s="18" t="s">
        <v>190</v>
      </c>
      <c r="T1288" s="18" t="s">
        <v>491</v>
      </c>
      <c r="U1288" s="17">
        <v>3000</v>
      </c>
      <c r="V1288" s="18" t="s">
        <v>44</v>
      </c>
      <c r="W1288" s="18" t="s">
        <v>91</v>
      </c>
      <c r="X1288" s="16">
        <v>10</v>
      </c>
      <c r="Y1288" s="43" t="str">
        <f>HYPERLINK("https://api-enni.alpina.ru/FilePrivilegesApproval/5","https://api-enni.alpina.ru/FilePrivilegesApproval/5")</f>
        <v>https://api-enni.alpina.ru/FilePrivilegesApproval/5</v>
      </c>
      <c r="Z1288" s="18" t="s">
        <v>1945</v>
      </c>
      <c r="AS1288" s="1">
        <f>IF($A1288&lt;&gt;0,1,0)</f>
        <v>0</v>
      </c>
      <c r="AT1288" s="1">
        <f>$A1288*$B1288</f>
        <v>0</v>
      </c>
      <c r="AU1288" s="1">
        <f>$A1288*$O1288</f>
        <v>0</v>
      </c>
      <c r="AV1288" s="1">
        <f>IF($R1288=0,0,INT($A1288/$R1288))</f>
        <v>0</v>
      </c>
      <c r="AW1288" s="1">
        <f>$A1288-$AV1288*$R1288</f>
        <v>0</v>
      </c>
    </row>
    <row r="1289" ht="24.95" customHeight="1" outlineLevel="3" s="1" customFormat="1">
      <c r="A1289" s="15"/>
      <c r="B1289" s="16">
        <v>540</v>
      </c>
      <c r="C1289" s="16">
        <v>837</v>
      </c>
      <c r="D1289" s="16">
        <v>8880</v>
      </c>
      <c r="E1289" s="18"/>
      <c r="F1289" s="18" t="s">
        <v>3106</v>
      </c>
      <c r="G1289" s="18" t="s">
        <v>4256</v>
      </c>
      <c r="H1289" s="18" t="s">
        <v>73</v>
      </c>
      <c r="I1289" s="18" t="s">
        <v>74</v>
      </c>
      <c r="J1289" s="16">
        <v>2025</v>
      </c>
      <c r="K1289" s="18" t="s">
        <v>4257</v>
      </c>
      <c r="L1289" s="16">
        <v>9785916719147</v>
      </c>
      <c r="M1289" s="18" t="s">
        <v>4258</v>
      </c>
      <c r="N1289" s="16">
        <v>442</v>
      </c>
      <c r="O1289" s="19">
        <v>0.3</v>
      </c>
      <c r="P1289" s="16">
        <v>115</v>
      </c>
      <c r="Q1289" s="16">
        <v>165</v>
      </c>
      <c r="R1289" s="16">
        <v>8</v>
      </c>
      <c r="S1289" s="18" t="s">
        <v>190</v>
      </c>
      <c r="T1289" s="18" t="s">
        <v>491</v>
      </c>
      <c r="U1289" s="17">
        <v>2000</v>
      </c>
      <c r="V1289" s="18" t="s">
        <v>44</v>
      </c>
      <c r="W1289" s="18" t="s">
        <v>69</v>
      </c>
      <c r="X1289" s="16">
        <v>10</v>
      </c>
      <c r="Y1289" s="43" t="str">
        <f>HYPERLINK("https://api-enni.alpina.ru/FilePrivilegesApproval/146","https://api-enni.alpina.ru/FilePrivilegesApproval/146")</f>
        <v>https://api-enni.alpina.ru/FilePrivilegesApproval/146</v>
      </c>
      <c r="Z1289" s="18"/>
      <c r="AS1289" s="1">
        <f>IF($A1289&lt;&gt;0,1,0)</f>
        <v>0</v>
      </c>
      <c r="AT1289" s="1">
        <f>$A1289*$B1289</f>
        <v>0</v>
      </c>
      <c r="AU1289" s="1">
        <f>$A1289*$O1289</f>
        <v>0</v>
      </c>
      <c r="AV1289" s="1">
        <f>IF($R1289=0,0,INT($A1289/$R1289))</f>
        <v>0</v>
      </c>
      <c r="AW1289" s="1">
        <f>$A1289-$AV1289*$R1289</f>
        <v>0</v>
      </c>
    </row>
    <row r="1290" ht="24.95" customHeight="1" outlineLevel="3" s="1" customFormat="1">
      <c r="A1290" s="25"/>
      <c r="B1290" s="26">
        <v>390</v>
      </c>
      <c r="C1290" s="26">
        <v>624</v>
      </c>
      <c r="D1290" s="26">
        <v>18317</v>
      </c>
      <c r="E1290" s="27"/>
      <c r="F1290" s="27" t="s">
        <v>4259</v>
      </c>
      <c r="G1290" s="27" t="s">
        <v>4260</v>
      </c>
      <c r="H1290" s="27" t="s">
        <v>73</v>
      </c>
      <c r="I1290" s="27" t="s">
        <v>74</v>
      </c>
      <c r="J1290" s="26">
        <v>2019</v>
      </c>
      <c r="K1290" s="27" t="s">
        <v>4261</v>
      </c>
      <c r="L1290" s="26">
        <v>9785001392712</v>
      </c>
      <c r="M1290" s="27" t="s">
        <v>4262</v>
      </c>
      <c r="N1290" s="26">
        <v>560</v>
      </c>
      <c r="O1290" s="28">
        <v>0.36</v>
      </c>
      <c r="P1290" s="26">
        <v>115</v>
      </c>
      <c r="Q1290" s="26">
        <v>165</v>
      </c>
      <c r="R1290" s="26">
        <v>6</v>
      </c>
      <c r="S1290" s="27" t="s">
        <v>190</v>
      </c>
      <c r="T1290" s="27" t="s">
        <v>491</v>
      </c>
      <c r="U1290" s="29">
        <v>3000</v>
      </c>
      <c r="V1290" s="27" t="s">
        <v>44</v>
      </c>
      <c r="W1290" s="27" t="s">
        <v>69</v>
      </c>
      <c r="X1290" s="26">
        <v>10</v>
      </c>
      <c r="Y1290" s="45" t="str">
        <f>HYPERLINK("https://api-enni.alpina.ru/FilePrivilegesApproval/259","https://api-enni.alpina.ru/FilePrivilegesApproval/259")</f>
        <v>https://api-enni.alpina.ru/FilePrivilegesApproval/259</v>
      </c>
      <c r="Z1290" s="27"/>
      <c r="AS1290" s="1">
        <f>IF($A1290&lt;&gt;0,1,0)</f>
        <v>0</v>
      </c>
      <c r="AT1290" s="1">
        <f>$A1290*$B1290</f>
        <v>0</v>
      </c>
      <c r="AU1290" s="1">
        <f>$A1290*$O1290</f>
        <v>0</v>
      </c>
      <c r="AV1290" s="1">
        <f>IF($R1290=0,0,INT($A1290/$R1290))</f>
        <v>0</v>
      </c>
      <c r="AW1290" s="1">
        <f>$A1290-$AV1290*$R1290</f>
        <v>0</v>
      </c>
    </row>
    <row r="1291" ht="24.95" customHeight="1" outlineLevel="3" s="1" customFormat="1">
      <c r="A1291" s="15"/>
      <c r="B1291" s="16">
        <v>510</v>
      </c>
      <c r="C1291" s="16">
        <v>790</v>
      </c>
      <c r="D1291" s="16">
        <v>12717</v>
      </c>
      <c r="E1291" s="18"/>
      <c r="F1291" s="18" t="s">
        <v>686</v>
      </c>
      <c r="G1291" s="18" t="s">
        <v>4263</v>
      </c>
      <c r="H1291" s="18" t="s">
        <v>73</v>
      </c>
      <c r="I1291" s="18" t="s">
        <v>74</v>
      </c>
      <c r="J1291" s="16">
        <v>2026</v>
      </c>
      <c r="K1291" s="18" t="s">
        <v>4264</v>
      </c>
      <c r="L1291" s="16">
        <v>9785001391425</v>
      </c>
      <c r="M1291" s="18" t="s">
        <v>4265</v>
      </c>
      <c r="N1291" s="16">
        <v>648</v>
      </c>
      <c r="O1291" s="19">
        <v>0.42</v>
      </c>
      <c r="P1291" s="16">
        <v>115</v>
      </c>
      <c r="Q1291" s="16">
        <v>165</v>
      </c>
      <c r="R1291" s="16">
        <v>6</v>
      </c>
      <c r="S1291" s="18" t="s">
        <v>190</v>
      </c>
      <c r="T1291" s="18" t="s">
        <v>491</v>
      </c>
      <c r="U1291" s="17">
        <v>4000</v>
      </c>
      <c r="V1291" s="18" t="s">
        <v>44</v>
      </c>
      <c r="W1291" s="18" t="s">
        <v>91</v>
      </c>
      <c r="X1291" s="16">
        <v>10</v>
      </c>
      <c r="Y1291" s="43" t="str">
        <f>HYPERLINK("https://api-enni.alpina.ru/FilePrivilegesApproval/131","https://api-enni.alpina.ru/FilePrivilegesApproval/131")</f>
        <v>https://api-enni.alpina.ru/FilePrivilegesApproval/131</v>
      </c>
      <c r="Z1291" s="18"/>
      <c r="AS1291" s="1">
        <f>IF($A1291&lt;&gt;0,1,0)</f>
        <v>0</v>
      </c>
      <c r="AT1291" s="1">
        <f>$A1291*$B1291</f>
        <v>0</v>
      </c>
      <c r="AU1291" s="1">
        <f>$A1291*$O1291</f>
        <v>0</v>
      </c>
      <c r="AV1291" s="1">
        <f>IF($R1291=0,0,INT($A1291/$R1291))</f>
        <v>0</v>
      </c>
      <c r="AW1291" s="1">
        <f>$A1291-$AV1291*$R1291</f>
        <v>0</v>
      </c>
    </row>
    <row r="1292" ht="24.95" customHeight="1" outlineLevel="3" s="1" customFormat="1">
      <c r="A1292" s="15"/>
      <c r="B1292" s="16">
        <v>340</v>
      </c>
      <c r="C1292" s="16">
        <v>544</v>
      </c>
      <c r="D1292" s="16">
        <v>18327</v>
      </c>
      <c r="E1292" s="18"/>
      <c r="F1292" s="18" t="s">
        <v>517</v>
      </c>
      <c r="G1292" s="18" t="s">
        <v>4266</v>
      </c>
      <c r="H1292" s="18" t="s">
        <v>73</v>
      </c>
      <c r="I1292" s="18" t="s">
        <v>74</v>
      </c>
      <c r="J1292" s="16">
        <v>2026</v>
      </c>
      <c r="K1292" s="18" t="s">
        <v>4267</v>
      </c>
      <c r="L1292" s="16">
        <v>9785001392750</v>
      </c>
      <c r="M1292" s="18" t="s">
        <v>4268</v>
      </c>
      <c r="N1292" s="16">
        <v>280</v>
      </c>
      <c r="O1292" s="19">
        <v>0.19</v>
      </c>
      <c r="P1292" s="16">
        <v>115</v>
      </c>
      <c r="Q1292" s="16">
        <v>165</v>
      </c>
      <c r="R1292" s="16">
        <v>12</v>
      </c>
      <c r="S1292" s="18" t="s">
        <v>190</v>
      </c>
      <c r="T1292" s="18" t="s">
        <v>491</v>
      </c>
      <c r="U1292" s="17">
        <v>3000</v>
      </c>
      <c r="V1292" s="18" t="s">
        <v>44</v>
      </c>
      <c r="W1292" s="18" t="s">
        <v>69</v>
      </c>
      <c r="X1292" s="16">
        <v>10</v>
      </c>
      <c r="Y1292" s="43" t="str">
        <f>HYPERLINK("https://api-enni.alpina.ru/FilePrivilegesApproval/131","https://api-enni.alpina.ru/FilePrivilegesApproval/131")</f>
        <v>https://api-enni.alpina.ru/FilePrivilegesApproval/131</v>
      </c>
      <c r="Z1292" s="18"/>
      <c r="AS1292" s="1">
        <f>IF($A1292&lt;&gt;0,1,0)</f>
        <v>0</v>
      </c>
      <c r="AT1292" s="1">
        <f>$A1292*$B1292</f>
        <v>0</v>
      </c>
      <c r="AU1292" s="1">
        <f>$A1292*$O1292</f>
        <v>0</v>
      </c>
      <c r="AV1292" s="1">
        <f>IF($R1292=0,0,INT($A1292/$R1292))</f>
        <v>0</v>
      </c>
      <c r="AW1292" s="1">
        <f>$A1292-$AV1292*$R1292</f>
        <v>0</v>
      </c>
    </row>
    <row r="1293" ht="24.95" customHeight="1" outlineLevel="3" s="1" customFormat="1">
      <c r="A1293" s="15"/>
      <c r="B1293" s="16">
        <v>390</v>
      </c>
      <c r="C1293" s="16">
        <v>624</v>
      </c>
      <c r="D1293" s="16">
        <v>29528</v>
      </c>
      <c r="E1293" s="18"/>
      <c r="F1293" s="18" t="s">
        <v>4269</v>
      </c>
      <c r="G1293" s="18" t="s">
        <v>4270</v>
      </c>
      <c r="H1293" s="18" t="s">
        <v>86</v>
      </c>
      <c r="I1293" s="18" t="s">
        <v>74</v>
      </c>
      <c r="J1293" s="16">
        <v>2026</v>
      </c>
      <c r="K1293" s="18" t="s">
        <v>4271</v>
      </c>
      <c r="L1293" s="16">
        <v>9785961492941</v>
      </c>
      <c r="M1293" s="18" t="s">
        <v>4272</v>
      </c>
      <c r="N1293" s="16">
        <v>292</v>
      </c>
      <c r="O1293" s="19">
        <v>0.2</v>
      </c>
      <c r="P1293" s="16">
        <v>120</v>
      </c>
      <c r="Q1293" s="16">
        <v>170</v>
      </c>
      <c r="R1293" s="16">
        <v>12</v>
      </c>
      <c r="S1293" s="18" t="s">
        <v>190</v>
      </c>
      <c r="T1293" s="18" t="s">
        <v>491</v>
      </c>
      <c r="U1293" s="17">
        <v>3000</v>
      </c>
      <c r="V1293" s="18" t="s">
        <v>44</v>
      </c>
      <c r="W1293" s="18" t="s">
        <v>184</v>
      </c>
      <c r="X1293" s="16">
        <v>10</v>
      </c>
      <c r="Y1293" s="43" t="str">
        <f>HYPERLINK("https://api-enni.alpina.ru/FilePrivilegesApproval/135","https://api-enni.alpina.ru/FilePrivilegesApproval/135")</f>
        <v>https://api-enni.alpina.ru/FilePrivilegesApproval/135</v>
      </c>
      <c r="Z1293" s="18" t="s">
        <v>1905</v>
      </c>
      <c r="AS1293" s="1">
        <f>IF($A1293&lt;&gt;0,1,0)</f>
        <v>0</v>
      </c>
      <c r="AT1293" s="1">
        <f>$A1293*$B1293</f>
        <v>0</v>
      </c>
      <c r="AU1293" s="1">
        <f>$A1293*$O1293</f>
        <v>0</v>
      </c>
      <c r="AV1293" s="1">
        <f>IF($R1293=0,0,INT($A1293/$R1293))</f>
        <v>0</v>
      </c>
      <c r="AW1293" s="1">
        <f>$A1293-$AV1293*$R1293</f>
        <v>0</v>
      </c>
    </row>
    <row r="1294" ht="24.95" customHeight="1" outlineLevel="3" s="1" customFormat="1">
      <c r="A1294" s="15"/>
      <c r="B1294" s="16">
        <v>590</v>
      </c>
      <c r="C1294" s="16">
        <v>885</v>
      </c>
      <c r="D1294" s="16">
        <v>8649</v>
      </c>
      <c r="E1294" s="18"/>
      <c r="F1294" s="18" t="s">
        <v>686</v>
      </c>
      <c r="G1294" s="18" t="s">
        <v>4273</v>
      </c>
      <c r="H1294" s="18" t="s">
        <v>73</v>
      </c>
      <c r="I1294" s="18" t="s">
        <v>74</v>
      </c>
      <c r="J1294" s="16">
        <v>2026</v>
      </c>
      <c r="K1294" s="18" t="s">
        <v>4274</v>
      </c>
      <c r="L1294" s="16">
        <v>9785916718645</v>
      </c>
      <c r="M1294" s="18" t="s">
        <v>4275</v>
      </c>
      <c r="N1294" s="16">
        <v>668</v>
      </c>
      <c r="O1294" s="19">
        <v>0.4</v>
      </c>
      <c r="P1294" s="16">
        <v>115</v>
      </c>
      <c r="Q1294" s="16">
        <v>165</v>
      </c>
      <c r="R1294" s="16">
        <v>6</v>
      </c>
      <c r="S1294" s="18" t="s">
        <v>190</v>
      </c>
      <c r="T1294" s="18" t="s">
        <v>491</v>
      </c>
      <c r="U1294" s="17">
        <v>3000</v>
      </c>
      <c r="V1294" s="18" t="s">
        <v>44</v>
      </c>
      <c r="W1294" s="18" t="s">
        <v>69</v>
      </c>
      <c r="X1294" s="16">
        <v>10</v>
      </c>
      <c r="Y1294" s="43" t="str">
        <f>HYPERLINK("https://api-enni.alpina.ru/FilePrivilegesApproval/149","https://api-enni.alpina.ru/FilePrivilegesApproval/149")</f>
        <v>https://api-enni.alpina.ru/FilePrivilegesApproval/149</v>
      </c>
      <c r="Z1294" s="18" t="s">
        <v>717</v>
      </c>
      <c r="AS1294" s="1">
        <f>IF($A1294&lt;&gt;0,1,0)</f>
        <v>0</v>
      </c>
      <c r="AT1294" s="1">
        <f>$A1294*$B1294</f>
        <v>0</v>
      </c>
      <c r="AU1294" s="1">
        <f>$A1294*$O1294</f>
        <v>0</v>
      </c>
      <c r="AV1294" s="1">
        <f>IF($R1294=0,0,INT($A1294/$R1294))</f>
        <v>0</v>
      </c>
      <c r="AW1294" s="1">
        <f>$A1294-$AV1294*$R1294</f>
        <v>0</v>
      </c>
    </row>
    <row r="1295" ht="24.95" customHeight="1" outlineLevel="3" s="1" customFormat="1">
      <c r="A1295" s="15"/>
      <c r="B1295" s="16">
        <v>460</v>
      </c>
      <c r="C1295" s="16">
        <v>713</v>
      </c>
      <c r="D1295" s="16">
        <v>11185</v>
      </c>
      <c r="E1295" s="18"/>
      <c r="F1295" s="18" t="s">
        <v>745</v>
      </c>
      <c r="G1295" s="18" t="s">
        <v>746</v>
      </c>
      <c r="H1295" s="18" t="s">
        <v>73</v>
      </c>
      <c r="I1295" s="18" t="s">
        <v>74</v>
      </c>
      <c r="J1295" s="16">
        <v>2022</v>
      </c>
      <c r="K1295" s="18" t="s">
        <v>747</v>
      </c>
      <c r="L1295" s="16">
        <v>9785001390244</v>
      </c>
      <c r="M1295" s="18" t="s">
        <v>748</v>
      </c>
      <c r="N1295" s="16">
        <v>576</v>
      </c>
      <c r="O1295" s="19">
        <v>0.37</v>
      </c>
      <c r="P1295" s="16">
        <v>110</v>
      </c>
      <c r="Q1295" s="16">
        <v>170</v>
      </c>
      <c r="R1295" s="16">
        <v>6</v>
      </c>
      <c r="S1295" s="18" t="s">
        <v>190</v>
      </c>
      <c r="T1295" s="18" t="s">
        <v>491</v>
      </c>
      <c r="U1295" s="17">
        <v>6000</v>
      </c>
      <c r="V1295" s="18" t="s">
        <v>44</v>
      </c>
      <c r="W1295" s="18" t="s">
        <v>69</v>
      </c>
      <c r="X1295" s="16">
        <v>10</v>
      </c>
      <c r="Y1295" s="43" t="str">
        <f>HYPERLINK("https://api-enni.alpina.ru/FilePrivilegesApproval/149","https://api-enni.alpina.ru/FilePrivilegesApproval/149")</f>
        <v>https://api-enni.alpina.ru/FilePrivilegesApproval/149</v>
      </c>
      <c r="Z1295" s="18"/>
      <c r="AS1295" s="1">
        <f>IF($A1295&lt;&gt;0,1,0)</f>
        <v>0</v>
      </c>
      <c r="AT1295" s="1">
        <f>$A1295*$B1295</f>
        <v>0</v>
      </c>
      <c r="AU1295" s="1">
        <f>$A1295*$O1295</f>
        <v>0</v>
      </c>
      <c r="AV1295" s="1">
        <f>IF($R1295=0,0,INT($A1295/$R1295))</f>
        <v>0</v>
      </c>
      <c r="AW1295" s="1">
        <f>$A1295-$AV1295*$R1295</f>
        <v>0</v>
      </c>
    </row>
    <row r="1296" ht="24.95" customHeight="1" outlineLevel="3" s="1" customFormat="1">
      <c r="A1296" s="15"/>
      <c r="B1296" s="16">
        <v>390</v>
      </c>
      <c r="C1296" s="16">
        <v>624</v>
      </c>
      <c r="D1296" s="16">
        <v>26437</v>
      </c>
      <c r="E1296" s="18"/>
      <c r="F1296" s="18" t="s">
        <v>4276</v>
      </c>
      <c r="G1296" s="18" t="s">
        <v>4277</v>
      </c>
      <c r="H1296" s="18" t="s">
        <v>73</v>
      </c>
      <c r="I1296" s="18" t="s">
        <v>74</v>
      </c>
      <c r="J1296" s="16">
        <v>2024</v>
      </c>
      <c r="K1296" s="18" t="s">
        <v>4278</v>
      </c>
      <c r="L1296" s="16">
        <v>9785001397670</v>
      </c>
      <c r="M1296" s="18" t="s">
        <v>4279</v>
      </c>
      <c r="N1296" s="16">
        <v>446</v>
      </c>
      <c r="O1296" s="19">
        <v>0.28</v>
      </c>
      <c r="P1296" s="16">
        <v>120</v>
      </c>
      <c r="Q1296" s="16">
        <v>170</v>
      </c>
      <c r="R1296" s="16">
        <v>14</v>
      </c>
      <c r="S1296" s="18" t="s">
        <v>190</v>
      </c>
      <c r="T1296" s="18" t="s">
        <v>491</v>
      </c>
      <c r="U1296" s="17">
        <v>2000</v>
      </c>
      <c r="V1296" s="18" t="s">
        <v>44</v>
      </c>
      <c r="W1296" s="18" t="s">
        <v>69</v>
      </c>
      <c r="X1296" s="16">
        <v>10</v>
      </c>
      <c r="Y1296" s="43" t="str">
        <f>HYPERLINK("https://api-enni.alpina.ru/FilePrivilegesApproval/226","https://api-enni.alpina.ru/FilePrivilegesApproval/226")</f>
        <v>https://api-enni.alpina.ru/FilePrivilegesApproval/226</v>
      </c>
      <c r="Z1296" s="18"/>
      <c r="AS1296" s="1">
        <f>IF($A1296&lt;&gt;0,1,0)</f>
        <v>0</v>
      </c>
      <c r="AT1296" s="1">
        <f>$A1296*$B1296</f>
        <v>0</v>
      </c>
      <c r="AU1296" s="1">
        <f>$A1296*$O1296</f>
        <v>0</v>
      </c>
      <c r="AV1296" s="1">
        <f>IF($R1296=0,0,INT($A1296/$R1296))</f>
        <v>0</v>
      </c>
      <c r="AW1296" s="1">
        <f>$A1296-$AV1296*$R1296</f>
        <v>0</v>
      </c>
    </row>
    <row r="1297" ht="24.95" customHeight="1" outlineLevel="3" s="1" customFormat="1">
      <c r="A1297" s="15"/>
      <c r="B1297" s="16">
        <v>600</v>
      </c>
      <c r="C1297" s="16">
        <v>900</v>
      </c>
      <c r="D1297" s="16">
        <v>27571</v>
      </c>
      <c r="E1297" s="18"/>
      <c r="F1297" s="18" t="s">
        <v>557</v>
      </c>
      <c r="G1297" s="18" t="s">
        <v>4280</v>
      </c>
      <c r="H1297" s="18" t="s">
        <v>73</v>
      </c>
      <c r="I1297" s="18" t="s">
        <v>74</v>
      </c>
      <c r="J1297" s="16">
        <v>2026</v>
      </c>
      <c r="K1297" s="18" t="s">
        <v>4281</v>
      </c>
      <c r="L1297" s="16">
        <v>9785001399346</v>
      </c>
      <c r="M1297" s="18" t="s">
        <v>4282</v>
      </c>
      <c r="N1297" s="16">
        <v>684</v>
      </c>
      <c r="O1297" s="19">
        <v>0.44</v>
      </c>
      <c r="P1297" s="16">
        <v>120</v>
      </c>
      <c r="Q1297" s="16">
        <v>170</v>
      </c>
      <c r="R1297" s="16">
        <v>4</v>
      </c>
      <c r="S1297" s="18" t="s">
        <v>190</v>
      </c>
      <c r="T1297" s="18" t="s">
        <v>491</v>
      </c>
      <c r="U1297" s="17">
        <v>3000</v>
      </c>
      <c r="V1297" s="18" t="s">
        <v>44</v>
      </c>
      <c r="W1297" s="18" t="s">
        <v>69</v>
      </c>
      <c r="X1297" s="16">
        <v>10</v>
      </c>
      <c r="Y1297" s="43" t="str">
        <f>HYPERLINK("https://api-enni.alpina.ru/FilePrivilegesApproval/127","https://api-enni.alpina.ru/FilePrivilegesApproval/127")</f>
        <v>https://api-enni.alpina.ru/FilePrivilegesApproval/127</v>
      </c>
      <c r="Z1297" s="18"/>
      <c r="AS1297" s="1">
        <f>IF($A1297&lt;&gt;0,1,0)</f>
        <v>0</v>
      </c>
      <c r="AT1297" s="1">
        <f>$A1297*$B1297</f>
        <v>0</v>
      </c>
      <c r="AU1297" s="1">
        <f>$A1297*$O1297</f>
        <v>0</v>
      </c>
      <c r="AV1297" s="1">
        <f>IF($R1297=0,0,INT($A1297/$R1297))</f>
        <v>0</v>
      </c>
      <c r="AW1297" s="1">
        <f>$A1297-$AV1297*$R1297</f>
        <v>0</v>
      </c>
    </row>
    <row r="1298" ht="24.95" customHeight="1" outlineLevel="3" s="1" customFormat="1">
      <c r="A1298" s="15"/>
      <c r="B1298" s="16">
        <v>440</v>
      </c>
      <c r="C1298" s="16">
        <v>682</v>
      </c>
      <c r="D1298" s="16">
        <v>8603</v>
      </c>
      <c r="E1298" s="18"/>
      <c r="F1298" s="18" t="s">
        <v>4283</v>
      </c>
      <c r="G1298" s="18" t="s">
        <v>4284</v>
      </c>
      <c r="H1298" s="18" t="s">
        <v>73</v>
      </c>
      <c r="I1298" s="18" t="s">
        <v>74</v>
      </c>
      <c r="J1298" s="16">
        <v>2022</v>
      </c>
      <c r="K1298" s="18" t="s">
        <v>4285</v>
      </c>
      <c r="L1298" s="16">
        <v>9785916718614</v>
      </c>
      <c r="M1298" s="18" t="s">
        <v>4286</v>
      </c>
      <c r="N1298" s="16">
        <v>414</v>
      </c>
      <c r="O1298" s="19">
        <v>0.26</v>
      </c>
      <c r="P1298" s="16">
        <v>120</v>
      </c>
      <c r="Q1298" s="16">
        <v>170</v>
      </c>
      <c r="R1298" s="16">
        <v>8</v>
      </c>
      <c r="S1298" s="18" t="s">
        <v>190</v>
      </c>
      <c r="T1298" s="18" t="s">
        <v>491</v>
      </c>
      <c r="U1298" s="17">
        <v>4000</v>
      </c>
      <c r="V1298" s="18" t="s">
        <v>44</v>
      </c>
      <c r="W1298" s="18" t="s">
        <v>69</v>
      </c>
      <c r="X1298" s="16">
        <v>10</v>
      </c>
      <c r="Y1298" s="43" t="str">
        <f>HYPERLINK("https://api-enni.alpina.ru/FilePrivilegesApproval/146","https://api-enni.alpina.ru/FilePrivilegesApproval/146")</f>
        <v>https://api-enni.alpina.ru/FilePrivilegesApproval/146</v>
      </c>
      <c r="Z1298" s="18"/>
      <c r="AS1298" s="1">
        <f>IF($A1298&lt;&gt;0,1,0)</f>
        <v>0</v>
      </c>
      <c r="AT1298" s="1">
        <f>$A1298*$B1298</f>
        <v>0</v>
      </c>
      <c r="AU1298" s="1">
        <f>$A1298*$O1298</f>
        <v>0</v>
      </c>
      <c r="AV1298" s="1">
        <f>IF($R1298=0,0,INT($A1298/$R1298))</f>
        <v>0</v>
      </c>
      <c r="AW1298" s="1">
        <f>$A1298-$AV1298*$R1298</f>
        <v>0</v>
      </c>
    </row>
    <row r="1299" ht="24.95" customHeight="1" outlineLevel="3" s="1" customFormat="1">
      <c r="A1299" s="15"/>
      <c r="B1299" s="16">
        <v>390</v>
      </c>
      <c r="C1299" s="16">
        <v>624</v>
      </c>
      <c r="D1299" s="16">
        <v>26903</v>
      </c>
      <c r="E1299" s="18"/>
      <c r="F1299" s="18" t="s">
        <v>4287</v>
      </c>
      <c r="G1299" s="18" t="s">
        <v>4288</v>
      </c>
      <c r="H1299" s="18" t="s">
        <v>86</v>
      </c>
      <c r="I1299" s="18"/>
      <c r="J1299" s="16">
        <v>2023</v>
      </c>
      <c r="K1299" s="18" t="s">
        <v>4289</v>
      </c>
      <c r="L1299" s="16">
        <v>9785961483468</v>
      </c>
      <c r="M1299" s="18" t="s">
        <v>4290</v>
      </c>
      <c r="N1299" s="16">
        <v>320</v>
      </c>
      <c r="O1299" s="19">
        <v>0.25</v>
      </c>
      <c r="P1299" s="16">
        <v>120</v>
      </c>
      <c r="Q1299" s="16">
        <v>170</v>
      </c>
      <c r="R1299" s="16">
        <v>6</v>
      </c>
      <c r="S1299" s="18" t="s">
        <v>190</v>
      </c>
      <c r="T1299" s="18" t="s">
        <v>491</v>
      </c>
      <c r="U1299" s="17">
        <v>2000</v>
      </c>
      <c r="V1299" s="18" t="s">
        <v>44</v>
      </c>
      <c r="W1299" s="18" t="s">
        <v>69</v>
      </c>
      <c r="X1299" s="16">
        <v>10</v>
      </c>
      <c r="Y1299" s="43" t="str">
        <f>HYPERLINK("https://api-enni.alpina.ru/FilePrivilegesApproval/164","https://api-enni.alpina.ru/FilePrivilegesApproval/164")</f>
        <v>https://api-enni.alpina.ru/FilePrivilegesApproval/164</v>
      </c>
      <c r="Z1299" s="18"/>
      <c r="AS1299" s="1">
        <f>IF($A1299&lt;&gt;0,1,0)</f>
        <v>0</v>
      </c>
      <c r="AT1299" s="1">
        <f>$A1299*$B1299</f>
        <v>0</v>
      </c>
      <c r="AU1299" s="1">
        <f>$A1299*$O1299</f>
        <v>0</v>
      </c>
      <c r="AV1299" s="1">
        <f>IF($R1299=0,0,INT($A1299/$R1299))</f>
        <v>0</v>
      </c>
      <c r="AW1299" s="1">
        <f>$A1299-$AV1299*$R1299</f>
        <v>0</v>
      </c>
    </row>
    <row r="1300" ht="24.95" customHeight="1" outlineLevel="3" s="1" customFormat="1">
      <c r="A1300" s="15"/>
      <c r="B1300" s="16">
        <v>490</v>
      </c>
      <c r="C1300" s="16">
        <v>760</v>
      </c>
      <c r="D1300" s="16">
        <v>11493</v>
      </c>
      <c r="E1300" s="18"/>
      <c r="F1300" s="18" t="s">
        <v>4291</v>
      </c>
      <c r="G1300" s="18" t="s">
        <v>4292</v>
      </c>
      <c r="H1300" s="18" t="s">
        <v>73</v>
      </c>
      <c r="I1300" s="18" t="s">
        <v>74</v>
      </c>
      <c r="J1300" s="16">
        <v>2024</v>
      </c>
      <c r="K1300" s="18" t="s">
        <v>4293</v>
      </c>
      <c r="L1300" s="16">
        <v>9785001390633</v>
      </c>
      <c r="M1300" s="18" t="s">
        <v>4294</v>
      </c>
      <c r="N1300" s="16">
        <v>788</v>
      </c>
      <c r="O1300" s="19">
        <v>0.5</v>
      </c>
      <c r="P1300" s="16">
        <v>115</v>
      </c>
      <c r="Q1300" s="16">
        <v>165</v>
      </c>
      <c r="R1300" s="16">
        <v>6</v>
      </c>
      <c r="S1300" s="18" t="s">
        <v>190</v>
      </c>
      <c r="T1300" s="18" t="s">
        <v>491</v>
      </c>
      <c r="U1300" s="17">
        <v>2000</v>
      </c>
      <c r="V1300" s="18" t="s">
        <v>44</v>
      </c>
      <c r="W1300" s="18" t="s">
        <v>91</v>
      </c>
      <c r="X1300" s="16">
        <v>10</v>
      </c>
      <c r="Y1300" s="43" t="str">
        <f>HYPERLINK("https://api-enni.alpina.ru/FilePrivilegesApproval/5","https://api-enni.alpina.ru/FilePrivilegesApproval/5")</f>
        <v>https://api-enni.alpina.ru/FilePrivilegesApproval/5</v>
      </c>
      <c r="Z1300" s="18"/>
      <c r="AS1300" s="1">
        <f>IF($A1300&lt;&gt;0,1,0)</f>
        <v>0</v>
      </c>
      <c r="AT1300" s="1">
        <f>$A1300*$B1300</f>
        <v>0</v>
      </c>
      <c r="AU1300" s="1">
        <f>$A1300*$O1300</f>
        <v>0</v>
      </c>
      <c r="AV1300" s="1">
        <f>IF($R1300=0,0,INT($A1300/$R1300))</f>
        <v>0</v>
      </c>
      <c r="AW1300" s="1">
        <f>$A1300-$AV1300*$R1300</f>
        <v>0</v>
      </c>
    </row>
    <row r="1301" ht="24.95" customHeight="1" outlineLevel="3" s="1" customFormat="1">
      <c r="A1301" s="15"/>
      <c r="B1301" s="16">
        <v>690</v>
      </c>
      <c r="C1301" s="17">
        <v>1035</v>
      </c>
      <c r="D1301" s="16">
        <v>9112</v>
      </c>
      <c r="E1301" s="18"/>
      <c r="F1301" s="18" t="s">
        <v>896</v>
      </c>
      <c r="G1301" s="18" t="s">
        <v>4295</v>
      </c>
      <c r="H1301" s="18" t="s">
        <v>73</v>
      </c>
      <c r="I1301" s="18" t="s">
        <v>74</v>
      </c>
      <c r="J1301" s="16">
        <v>2026</v>
      </c>
      <c r="K1301" s="18" t="s">
        <v>4296</v>
      </c>
      <c r="L1301" s="16">
        <v>9785916719376</v>
      </c>
      <c r="M1301" s="18" t="s">
        <v>4297</v>
      </c>
      <c r="N1301" s="16">
        <v>624</v>
      </c>
      <c r="O1301" s="19">
        <v>0.4</v>
      </c>
      <c r="P1301" s="16">
        <v>115</v>
      </c>
      <c r="Q1301" s="16">
        <v>165</v>
      </c>
      <c r="R1301" s="16">
        <v>6</v>
      </c>
      <c r="S1301" s="18" t="s">
        <v>190</v>
      </c>
      <c r="T1301" s="18" t="s">
        <v>491</v>
      </c>
      <c r="U1301" s="17">
        <v>3000</v>
      </c>
      <c r="V1301" s="18" t="s">
        <v>44</v>
      </c>
      <c r="W1301" s="18" t="s">
        <v>91</v>
      </c>
      <c r="X1301" s="16">
        <v>10</v>
      </c>
      <c r="Y1301" s="43" t="str">
        <f>HYPERLINK("https://api-enni.alpina.ru/FilePrivilegesApproval/131","https://api-enni.alpina.ru/FilePrivilegesApproval/131")</f>
        <v>https://api-enni.alpina.ru/FilePrivilegesApproval/131</v>
      </c>
      <c r="Z1301" s="18" t="s">
        <v>1313</v>
      </c>
      <c r="AS1301" s="1">
        <f>IF($A1301&lt;&gt;0,1,0)</f>
        <v>0</v>
      </c>
      <c r="AT1301" s="1">
        <f>$A1301*$B1301</f>
        <v>0</v>
      </c>
      <c r="AU1301" s="1">
        <f>$A1301*$O1301</f>
        <v>0</v>
      </c>
      <c r="AV1301" s="1">
        <f>IF($R1301=0,0,INT($A1301/$R1301))</f>
        <v>0</v>
      </c>
      <c r="AW1301" s="1">
        <f>$A1301-$AV1301*$R1301</f>
        <v>0</v>
      </c>
    </row>
    <row r="1302" ht="24.95" customHeight="1" outlineLevel="3" s="1" customFormat="1">
      <c r="A1302" s="15"/>
      <c r="B1302" s="16">
        <v>490</v>
      </c>
      <c r="C1302" s="16">
        <v>760</v>
      </c>
      <c r="D1302" s="16">
        <v>28839</v>
      </c>
      <c r="E1302" s="18"/>
      <c r="F1302" s="18" t="s">
        <v>557</v>
      </c>
      <c r="G1302" s="18" t="s">
        <v>4298</v>
      </c>
      <c r="H1302" s="18" t="s">
        <v>73</v>
      </c>
      <c r="I1302" s="18" t="s">
        <v>74</v>
      </c>
      <c r="J1302" s="16">
        <v>2026</v>
      </c>
      <c r="K1302" s="18" t="s">
        <v>4299</v>
      </c>
      <c r="L1302" s="16">
        <v>9785002230679</v>
      </c>
      <c r="M1302" s="18" t="s">
        <v>4300</v>
      </c>
      <c r="N1302" s="16">
        <v>240</v>
      </c>
      <c r="O1302" s="19">
        <v>0.16</v>
      </c>
      <c r="P1302" s="16">
        <v>120</v>
      </c>
      <c r="Q1302" s="16">
        <v>170</v>
      </c>
      <c r="R1302" s="16">
        <v>14</v>
      </c>
      <c r="S1302" s="18" t="s">
        <v>190</v>
      </c>
      <c r="T1302" s="18" t="s">
        <v>491</v>
      </c>
      <c r="U1302" s="17">
        <v>4000</v>
      </c>
      <c r="V1302" s="18" t="s">
        <v>44</v>
      </c>
      <c r="W1302" s="18" t="s">
        <v>91</v>
      </c>
      <c r="X1302" s="16">
        <v>10</v>
      </c>
      <c r="Y1302" s="43" t="str">
        <f>HYPERLINK("https://api-enni.alpina.ru/FilePrivilegesApproval/131","https://api-enni.alpina.ru/FilePrivilegesApproval/131")</f>
        <v>https://api-enni.alpina.ru/FilePrivilegesApproval/131</v>
      </c>
      <c r="Z1302" s="18" t="s">
        <v>717</v>
      </c>
      <c r="AS1302" s="1">
        <f>IF($A1302&lt;&gt;0,1,0)</f>
        <v>0</v>
      </c>
      <c r="AT1302" s="1">
        <f>$A1302*$B1302</f>
        <v>0</v>
      </c>
      <c r="AU1302" s="1">
        <f>$A1302*$O1302</f>
        <v>0</v>
      </c>
      <c r="AV1302" s="1">
        <f>IF($R1302=0,0,INT($A1302/$R1302))</f>
        <v>0</v>
      </c>
      <c r="AW1302" s="1">
        <f>$A1302-$AV1302*$R1302</f>
        <v>0</v>
      </c>
    </row>
    <row r="1303" ht="24.95" customHeight="1" outlineLevel="3" s="1" customFormat="1">
      <c r="A1303" s="15"/>
      <c r="B1303" s="16">
        <v>490</v>
      </c>
      <c r="C1303" s="16">
        <v>760</v>
      </c>
      <c r="D1303" s="16">
        <v>8838</v>
      </c>
      <c r="E1303" s="18"/>
      <c r="F1303" s="18" t="s">
        <v>557</v>
      </c>
      <c r="G1303" s="18" t="s">
        <v>4301</v>
      </c>
      <c r="H1303" s="18" t="s">
        <v>73</v>
      </c>
      <c r="I1303" s="18" t="s">
        <v>74</v>
      </c>
      <c r="J1303" s="16">
        <v>2026</v>
      </c>
      <c r="K1303" s="18" t="s">
        <v>4302</v>
      </c>
      <c r="L1303" s="16">
        <v>9785916718966</v>
      </c>
      <c r="M1303" s="18" t="s">
        <v>4303</v>
      </c>
      <c r="N1303" s="16">
        <v>586</v>
      </c>
      <c r="O1303" s="19">
        <v>0.37</v>
      </c>
      <c r="P1303" s="16">
        <v>115</v>
      </c>
      <c r="Q1303" s="16">
        <v>165</v>
      </c>
      <c r="R1303" s="16">
        <v>6</v>
      </c>
      <c r="S1303" s="18" t="s">
        <v>190</v>
      </c>
      <c r="T1303" s="18" t="s">
        <v>491</v>
      </c>
      <c r="U1303" s="17">
        <v>3000</v>
      </c>
      <c r="V1303" s="18" t="s">
        <v>44</v>
      </c>
      <c r="W1303" s="18" t="s">
        <v>69</v>
      </c>
      <c r="X1303" s="16">
        <v>10</v>
      </c>
      <c r="Y1303" s="43" t="str">
        <f>HYPERLINK("https://api-enni.alpina.ru/FilePrivilegesApproval/131","https://api-enni.alpina.ru/FilePrivilegesApproval/131")</f>
        <v>https://api-enni.alpina.ru/FilePrivilegesApproval/131</v>
      </c>
      <c r="Z1303" s="18"/>
      <c r="AS1303" s="1">
        <f>IF($A1303&lt;&gt;0,1,0)</f>
        <v>0</v>
      </c>
      <c r="AT1303" s="1">
        <f>$A1303*$B1303</f>
        <v>0</v>
      </c>
      <c r="AU1303" s="1">
        <f>$A1303*$O1303</f>
        <v>0</v>
      </c>
      <c r="AV1303" s="1">
        <f>IF($R1303=0,0,INT($A1303/$R1303))</f>
        <v>0</v>
      </c>
      <c r="AW1303" s="1">
        <f>$A1303-$AV1303*$R1303</f>
        <v>0</v>
      </c>
    </row>
    <row r="1304" ht="24.95" customHeight="1" outlineLevel="3" s="1" customFormat="1">
      <c r="A1304" s="15"/>
      <c r="B1304" s="16">
        <v>490</v>
      </c>
      <c r="C1304" s="16">
        <v>760</v>
      </c>
      <c r="D1304" s="16">
        <v>27357</v>
      </c>
      <c r="E1304" s="18"/>
      <c r="F1304" s="18" t="s">
        <v>4304</v>
      </c>
      <c r="G1304" s="18" t="s">
        <v>4305</v>
      </c>
      <c r="H1304" s="18" t="s">
        <v>73</v>
      </c>
      <c r="I1304" s="18" t="s">
        <v>74</v>
      </c>
      <c r="J1304" s="16">
        <v>2025</v>
      </c>
      <c r="K1304" s="18" t="s">
        <v>4306</v>
      </c>
      <c r="L1304" s="16">
        <v>9785001399223</v>
      </c>
      <c r="M1304" s="18" t="s">
        <v>4307</v>
      </c>
      <c r="N1304" s="16">
        <v>592</v>
      </c>
      <c r="O1304" s="19">
        <v>0.36</v>
      </c>
      <c r="P1304" s="16">
        <v>120</v>
      </c>
      <c r="Q1304" s="16">
        <v>170</v>
      </c>
      <c r="R1304" s="16">
        <v>6</v>
      </c>
      <c r="S1304" s="18" t="s">
        <v>190</v>
      </c>
      <c r="T1304" s="18" t="s">
        <v>491</v>
      </c>
      <c r="U1304" s="17">
        <v>4000</v>
      </c>
      <c r="V1304" s="18" t="s">
        <v>44</v>
      </c>
      <c r="W1304" s="18" t="s">
        <v>45</v>
      </c>
      <c r="X1304" s="16">
        <v>10</v>
      </c>
      <c r="Y1304" s="43" t="str">
        <f>HYPERLINK("https://api-enni.alpina.ru/FilePrivilegesApproval/151","https://api-enni.alpina.ru/FilePrivilegesApproval/151")</f>
        <v>https://api-enni.alpina.ru/FilePrivilegesApproval/151</v>
      </c>
      <c r="Z1304" s="18"/>
      <c r="AS1304" s="1">
        <f>IF($A1304&lt;&gt;0,1,0)</f>
        <v>0</v>
      </c>
      <c r="AT1304" s="1">
        <f>$A1304*$B1304</f>
        <v>0</v>
      </c>
      <c r="AU1304" s="1">
        <f>$A1304*$O1304</f>
        <v>0</v>
      </c>
      <c r="AV1304" s="1">
        <f>IF($R1304=0,0,INT($A1304/$R1304))</f>
        <v>0</v>
      </c>
      <c r="AW1304" s="1">
        <f>$A1304-$AV1304*$R1304</f>
        <v>0</v>
      </c>
    </row>
    <row r="1305" ht="11.1" customHeight="1" outlineLevel="2">
      <c r="A1305" s="41" t="s">
        <v>4308</v>
      </c>
      <c r="B1305" s="41"/>
      <c r="C1305" s="41"/>
      <c r="D1305" s="41"/>
      <c r="E1305" s="41"/>
      <c r="F1305" s="41"/>
      <c r="G1305" s="41"/>
      <c r="H1305" s="41"/>
      <c r="I1305" s="41"/>
      <c r="J1305" s="41"/>
      <c r="K1305" s="41"/>
      <c r="L1305" s="41"/>
      <c r="M1305" s="41"/>
      <c r="N1305" s="41"/>
      <c r="O1305" s="41"/>
      <c r="P1305" s="41"/>
      <c r="Q1305" s="41"/>
      <c r="R1305" s="41"/>
      <c r="S1305" s="41"/>
      <c r="T1305" s="41"/>
      <c r="U1305" s="41"/>
      <c r="V1305" s="41"/>
      <c r="W1305" s="41"/>
      <c r="X1305" s="41"/>
      <c r="Y1305" s="41"/>
      <c r="Z1305" s="24"/>
    </row>
    <row r="1306" ht="24.95" customHeight="1" outlineLevel="3" s="1" customFormat="1">
      <c r="A1306" s="15"/>
      <c r="B1306" s="16">
        <v>640</v>
      </c>
      <c r="C1306" s="16">
        <v>960</v>
      </c>
      <c r="D1306" s="16">
        <v>18901</v>
      </c>
      <c r="E1306" s="18"/>
      <c r="F1306" s="18" t="s">
        <v>4309</v>
      </c>
      <c r="G1306" s="18" t="s">
        <v>4310</v>
      </c>
      <c r="H1306" s="18" t="s">
        <v>86</v>
      </c>
      <c r="I1306" s="18"/>
      <c r="J1306" s="16">
        <v>2026</v>
      </c>
      <c r="K1306" s="18" t="s">
        <v>4311</v>
      </c>
      <c r="L1306" s="16">
        <v>9785961441192</v>
      </c>
      <c r="M1306" s="18" t="s">
        <v>4312</v>
      </c>
      <c r="N1306" s="16">
        <v>212</v>
      </c>
      <c r="O1306" s="19">
        <v>0.35</v>
      </c>
      <c r="P1306" s="16">
        <v>150</v>
      </c>
      <c r="Q1306" s="16">
        <v>220</v>
      </c>
      <c r="R1306" s="16">
        <v>10</v>
      </c>
      <c r="S1306" s="18" t="s">
        <v>43</v>
      </c>
      <c r="T1306" s="18"/>
      <c r="U1306" s="17">
        <v>1000</v>
      </c>
      <c r="V1306" s="18" t="s">
        <v>77</v>
      </c>
      <c r="W1306" s="18" t="s">
        <v>55</v>
      </c>
      <c r="X1306" s="16">
        <v>10</v>
      </c>
      <c r="Y1306" s="43" t="str">
        <f>HYPERLINK("https://api-enni.alpina.ru/FilePrivilegesApproval/128","https://api-enni.alpina.ru/FilePrivilegesApproval/128")</f>
        <v>https://api-enni.alpina.ru/FilePrivilegesApproval/128</v>
      </c>
      <c r="Z1306" s="18"/>
      <c r="AS1306" s="1">
        <f>IF($A1306&lt;&gt;0,1,0)</f>
        <v>0</v>
      </c>
      <c r="AT1306" s="1">
        <f>$A1306*$B1306</f>
        <v>0</v>
      </c>
      <c r="AU1306" s="1">
        <f>$A1306*$O1306</f>
        <v>0</v>
      </c>
      <c r="AV1306" s="1">
        <f>IF($R1306=0,0,INT($A1306/$R1306))</f>
        <v>0</v>
      </c>
      <c r="AW1306" s="1">
        <f>$A1306-$AV1306*$R1306</f>
        <v>0</v>
      </c>
    </row>
    <row r="1307" ht="24.95" customHeight="1" outlineLevel="3" s="1" customFormat="1">
      <c r="A1307" s="15"/>
      <c r="B1307" s="16">
        <v>690</v>
      </c>
      <c r="C1307" s="17">
        <v>1035</v>
      </c>
      <c r="D1307" s="16">
        <v>17322</v>
      </c>
      <c r="E1307" s="18"/>
      <c r="F1307" s="18" t="s">
        <v>4313</v>
      </c>
      <c r="G1307" s="18" t="s">
        <v>4314</v>
      </c>
      <c r="H1307" s="18" t="s">
        <v>86</v>
      </c>
      <c r="I1307" s="18" t="s">
        <v>74</v>
      </c>
      <c r="J1307" s="16">
        <v>2025</v>
      </c>
      <c r="K1307" s="18" t="s">
        <v>4315</v>
      </c>
      <c r="L1307" s="16">
        <v>9785961438116</v>
      </c>
      <c r="M1307" s="18" t="s">
        <v>4316</v>
      </c>
      <c r="N1307" s="16">
        <v>288</v>
      </c>
      <c r="O1307" s="19">
        <v>0.46</v>
      </c>
      <c r="P1307" s="16">
        <v>150</v>
      </c>
      <c r="Q1307" s="16">
        <v>220</v>
      </c>
      <c r="R1307" s="16">
        <v>5</v>
      </c>
      <c r="S1307" s="18" t="s">
        <v>43</v>
      </c>
      <c r="T1307" s="18"/>
      <c r="U1307" s="17">
        <v>1000</v>
      </c>
      <c r="V1307" s="18" t="s">
        <v>77</v>
      </c>
      <c r="W1307" s="18" t="s">
        <v>184</v>
      </c>
      <c r="X1307" s="16">
        <v>10</v>
      </c>
      <c r="Y1307" s="43" t="str">
        <f>HYPERLINK("https://api-enni.alpina.ru/FilePrivilegesApproval/80","https://api-enni.alpina.ru/FilePrivilegesApproval/80")</f>
        <v>https://api-enni.alpina.ru/FilePrivilegesApproval/80</v>
      </c>
      <c r="Z1307" s="18"/>
      <c r="AS1307" s="1">
        <f>IF($A1307&lt;&gt;0,1,0)</f>
        <v>0</v>
      </c>
      <c r="AT1307" s="1">
        <f>$A1307*$B1307</f>
        <v>0</v>
      </c>
      <c r="AU1307" s="1">
        <f>$A1307*$O1307</f>
        <v>0</v>
      </c>
      <c r="AV1307" s="1">
        <f>IF($R1307=0,0,INT($A1307/$R1307))</f>
        <v>0</v>
      </c>
      <c r="AW1307" s="1">
        <f>$A1307-$AV1307*$R1307</f>
        <v>0</v>
      </c>
    </row>
    <row r="1308" ht="24.95" customHeight="1" outlineLevel="3" s="1" customFormat="1">
      <c r="A1308" s="15"/>
      <c r="B1308" s="17">
        <v>1050</v>
      </c>
      <c r="C1308" s="17">
        <v>1418</v>
      </c>
      <c r="D1308" s="16">
        <v>28830</v>
      </c>
      <c r="E1308" s="18"/>
      <c r="F1308" s="18" t="s">
        <v>4317</v>
      </c>
      <c r="G1308" s="18" t="s">
        <v>4318</v>
      </c>
      <c r="H1308" s="18" t="s">
        <v>95</v>
      </c>
      <c r="I1308" s="18" t="s">
        <v>74</v>
      </c>
      <c r="J1308" s="16">
        <v>2025</v>
      </c>
      <c r="K1308" s="18" t="s">
        <v>4319</v>
      </c>
      <c r="L1308" s="16">
        <v>9785206002409</v>
      </c>
      <c r="M1308" s="18" t="s">
        <v>4320</v>
      </c>
      <c r="N1308" s="16">
        <v>384</v>
      </c>
      <c r="O1308" s="19">
        <v>0.73</v>
      </c>
      <c r="P1308" s="16">
        <v>170</v>
      </c>
      <c r="Q1308" s="16">
        <v>240</v>
      </c>
      <c r="R1308" s="16">
        <v>5</v>
      </c>
      <c r="S1308" s="18" t="s">
        <v>123</v>
      </c>
      <c r="T1308" s="18"/>
      <c r="U1308" s="17">
        <v>1000</v>
      </c>
      <c r="V1308" s="18" t="s">
        <v>77</v>
      </c>
      <c r="W1308" s="18" t="s">
        <v>69</v>
      </c>
      <c r="X1308" s="16">
        <v>10</v>
      </c>
      <c r="Y1308" s="43" t="str">
        <f>HYPERLINK("https://api-enni.alpina.ru/FilePrivilegesApproval/372","https://api-enni.alpina.ru/FilePrivilegesApproval/372")</f>
        <v>https://api-enni.alpina.ru/FilePrivilegesApproval/372</v>
      </c>
      <c r="Z1308" s="18"/>
      <c r="AS1308" s="1">
        <f>IF($A1308&lt;&gt;0,1,0)</f>
        <v>0</v>
      </c>
      <c r="AT1308" s="1">
        <f>$A1308*$B1308</f>
        <v>0</v>
      </c>
      <c r="AU1308" s="1">
        <f>$A1308*$O1308</f>
        <v>0</v>
      </c>
      <c r="AV1308" s="1">
        <f>IF($R1308=0,0,INT($A1308/$R1308))</f>
        <v>0</v>
      </c>
      <c r="AW1308" s="1">
        <f>$A1308-$AV1308*$R1308</f>
        <v>0</v>
      </c>
    </row>
    <row r="1309" ht="24.95" customHeight="1" outlineLevel="3" s="1" customFormat="1">
      <c r="A1309" s="15"/>
      <c r="B1309" s="16">
        <v>840</v>
      </c>
      <c r="C1309" s="17">
        <v>1218</v>
      </c>
      <c r="D1309" s="16">
        <v>22998</v>
      </c>
      <c r="E1309" s="18"/>
      <c r="F1309" s="18" t="s">
        <v>4321</v>
      </c>
      <c r="G1309" s="18" t="s">
        <v>4322</v>
      </c>
      <c r="H1309" s="18" t="s">
        <v>95</v>
      </c>
      <c r="I1309" s="18"/>
      <c r="J1309" s="16">
        <v>2022</v>
      </c>
      <c r="K1309" s="18" t="s">
        <v>4323</v>
      </c>
      <c r="L1309" s="16">
        <v>9785206000894</v>
      </c>
      <c r="M1309" s="18" t="s">
        <v>4324</v>
      </c>
      <c r="N1309" s="16">
        <v>256</v>
      </c>
      <c r="O1309" s="19">
        <v>0.3</v>
      </c>
      <c r="P1309" s="16">
        <v>141</v>
      </c>
      <c r="Q1309" s="16">
        <v>210</v>
      </c>
      <c r="R1309" s="16">
        <v>14</v>
      </c>
      <c r="S1309" s="18" t="s">
        <v>43</v>
      </c>
      <c r="T1309" s="18"/>
      <c r="U1309" s="17">
        <v>3000</v>
      </c>
      <c r="V1309" s="18" t="s">
        <v>44</v>
      </c>
      <c r="W1309" s="18" t="s">
        <v>91</v>
      </c>
      <c r="X1309" s="16">
        <v>10</v>
      </c>
      <c r="Y1309" s="43" t="str">
        <f>HYPERLINK("https://api-enni.alpina.ru/FilePrivilegesApproval/167","https://api-enni.alpina.ru/FilePrivilegesApproval/167")</f>
        <v>https://api-enni.alpina.ru/FilePrivilegesApproval/167</v>
      </c>
      <c r="Z1309" s="18"/>
      <c r="AS1309" s="1">
        <f>IF($A1309&lt;&gt;0,1,0)</f>
        <v>0</v>
      </c>
      <c r="AT1309" s="1">
        <f>$A1309*$B1309</f>
        <v>0</v>
      </c>
      <c r="AU1309" s="1">
        <f>$A1309*$O1309</f>
        <v>0</v>
      </c>
      <c r="AV1309" s="1">
        <f>IF($R1309=0,0,INT($A1309/$R1309))</f>
        <v>0</v>
      </c>
      <c r="AW1309" s="1">
        <f>$A1309-$AV1309*$R1309</f>
        <v>0</v>
      </c>
    </row>
    <row r="1310" ht="24.95" customHeight="1" outlineLevel="3" s="1" customFormat="1">
      <c r="A1310" s="15"/>
      <c r="B1310" s="16">
        <v>890</v>
      </c>
      <c r="C1310" s="17">
        <v>1246</v>
      </c>
      <c r="D1310" s="16">
        <v>30821</v>
      </c>
      <c r="E1310" s="18"/>
      <c r="F1310" s="18" t="s">
        <v>4325</v>
      </c>
      <c r="G1310" s="18" t="s">
        <v>4326</v>
      </c>
      <c r="H1310" s="18" t="s">
        <v>73</v>
      </c>
      <c r="I1310" s="18" t="s">
        <v>40</v>
      </c>
      <c r="J1310" s="16">
        <v>2025</v>
      </c>
      <c r="K1310" s="18" t="s">
        <v>4327</v>
      </c>
      <c r="L1310" s="16">
        <v>9785002232956</v>
      </c>
      <c r="M1310" s="18" t="s">
        <v>4328</v>
      </c>
      <c r="N1310" s="16">
        <v>296</v>
      </c>
      <c r="O1310" s="19">
        <v>0.46</v>
      </c>
      <c r="P1310" s="16">
        <v>150</v>
      </c>
      <c r="Q1310" s="16">
        <v>220</v>
      </c>
      <c r="R1310" s="16">
        <v>14</v>
      </c>
      <c r="S1310" s="18" t="s">
        <v>43</v>
      </c>
      <c r="T1310" s="18"/>
      <c r="U1310" s="17">
        <v>2000</v>
      </c>
      <c r="V1310" s="18" t="s">
        <v>77</v>
      </c>
      <c r="W1310" s="18" t="s">
        <v>45</v>
      </c>
      <c r="X1310" s="16">
        <v>10</v>
      </c>
      <c r="Y1310" s="43" t="str">
        <f>HYPERLINK("https://api-enni.alpina.ru/FilePrivilegesApproval/952","https://api-enni.alpina.ru/FilePrivilegesApproval/952")</f>
        <v>https://api-enni.alpina.ru/FilePrivilegesApproval/952</v>
      </c>
      <c r="Z1310" s="18"/>
      <c r="AS1310" s="1">
        <f>IF($A1310&lt;&gt;0,1,0)</f>
        <v>0</v>
      </c>
      <c r="AT1310" s="1">
        <f>$A1310*$B1310</f>
        <v>0</v>
      </c>
      <c r="AU1310" s="1">
        <f>$A1310*$O1310</f>
        <v>0</v>
      </c>
      <c r="AV1310" s="1">
        <f>IF($R1310=0,0,INT($A1310/$R1310))</f>
        <v>0</v>
      </c>
      <c r="AW1310" s="1">
        <f>$A1310-$AV1310*$R1310</f>
        <v>0</v>
      </c>
    </row>
    <row r="1311" ht="24.95" customHeight="1" outlineLevel="3" s="1" customFormat="1">
      <c r="A1311" s="15"/>
      <c r="B1311" s="16">
        <v>590</v>
      </c>
      <c r="C1311" s="16">
        <v>885</v>
      </c>
      <c r="D1311" s="16">
        <v>26442</v>
      </c>
      <c r="E1311" s="18"/>
      <c r="F1311" s="18" t="s">
        <v>4329</v>
      </c>
      <c r="G1311" s="18" t="s">
        <v>4330</v>
      </c>
      <c r="H1311" s="18" t="s">
        <v>86</v>
      </c>
      <c r="I1311" s="18" t="s">
        <v>160</v>
      </c>
      <c r="J1311" s="16">
        <v>2026</v>
      </c>
      <c r="K1311" s="18" t="s">
        <v>4331</v>
      </c>
      <c r="L1311" s="16">
        <v>9785961481686</v>
      </c>
      <c r="M1311" s="18" t="s">
        <v>4332</v>
      </c>
      <c r="N1311" s="16">
        <v>240</v>
      </c>
      <c r="O1311" s="19">
        <v>0.38</v>
      </c>
      <c r="P1311" s="16">
        <v>150</v>
      </c>
      <c r="Q1311" s="16">
        <v>220</v>
      </c>
      <c r="R1311" s="16">
        <v>10</v>
      </c>
      <c r="S1311" s="18" t="s">
        <v>43</v>
      </c>
      <c r="T1311" s="18"/>
      <c r="U1311" s="17">
        <v>1000</v>
      </c>
      <c r="V1311" s="18" t="s">
        <v>77</v>
      </c>
      <c r="W1311" s="18" t="s">
        <v>184</v>
      </c>
      <c r="X1311" s="16">
        <v>10</v>
      </c>
      <c r="Y1311" s="43" t="str">
        <f>HYPERLINK("https://api-enni.alpina.ru/FilePrivilegesApproval/163","https://api-enni.alpina.ru/FilePrivilegesApproval/163")</f>
        <v>https://api-enni.alpina.ru/FilePrivilegesApproval/163</v>
      </c>
      <c r="Z1311" s="18" t="s">
        <v>629</v>
      </c>
      <c r="AS1311" s="1">
        <f>IF($A1311&lt;&gt;0,1,0)</f>
        <v>0</v>
      </c>
      <c r="AT1311" s="1">
        <f>$A1311*$B1311</f>
        <v>0</v>
      </c>
      <c r="AU1311" s="1">
        <f>$A1311*$O1311</f>
        <v>0</v>
      </c>
      <c r="AV1311" s="1">
        <f>IF($R1311=0,0,INT($A1311/$R1311))</f>
        <v>0</v>
      </c>
      <c r="AW1311" s="1">
        <f>$A1311-$AV1311*$R1311</f>
        <v>0</v>
      </c>
    </row>
    <row r="1312" ht="24.95" customHeight="1" outlineLevel="3" s="1" customFormat="1">
      <c r="A1312" s="15"/>
      <c r="B1312" s="16">
        <v>813</v>
      </c>
      <c r="C1312" s="17">
        <v>1179</v>
      </c>
      <c r="D1312" s="16">
        <v>30368</v>
      </c>
      <c r="E1312" s="18"/>
      <c r="F1312" s="18" t="s">
        <v>4333</v>
      </c>
      <c r="G1312" s="18" t="s">
        <v>4334</v>
      </c>
      <c r="H1312" s="18" t="s">
        <v>73</v>
      </c>
      <c r="I1312" s="18" t="s">
        <v>160</v>
      </c>
      <c r="J1312" s="16">
        <v>2026</v>
      </c>
      <c r="K1312" s="18" t="s">
        <v>4335</v>
      </c>
      <c r="L1312" s="16">
        <v>9785002233014</v>
      </c>
      <c r="M1312" s="18" t="s">
        <v>4336</v>
      </c>
      <c r="N1312" s="16">
        <v>328</v>
      </c>
      <c r="O1312" s="19">
        <v>0.48</v>
      </c>
      <c r="P1312" s="16">
        <v>150</v>
      </c>
      <c r="Q1312" s="16">
        <v>220</v>
      </c>
      <c r="R1312" s="16">
        <v>12</v>
      </c>
      <c r="S1312" s="18" t="s">
        <v>43</v>
      </c>
      <c r="T1312" s="18"/>
      <c r="U1312" s="17">
        <v>2500</v>
      </c>
      <c r="V1312" s="18" t="s">
        <v>77</v>
      </c>
      <c r="W1312" s="18" t="s">
        <v>45</v>
      </c>
      <c r="X1312" s="16">
        <v>10</v>
      </c>
      <c r="Y1312" s="43" t="str">
        <f>HYPERLINK("https://api-enni.alpina.ru/FilePrivilegesApproval/1117","https://api-enni.alpina.ru/FilePrivilegesApproval/1117")</f>
        <v>https://api-enni.alpina.ru/FilePrivilegesApproval/1117</v>
      </c>
      <c r="Z1312" s="18"/>
      <c r="AS1312" s="1">
        <f>IF($A1312&lt;&gt;0,1,0)</f>
        <v>0</v>
      </c>
      <c r="AT1312" s="1">
        <f>$A1312*$B1312</f>
        <v>0</v>
      </c>
      <c r="AU1312" s="1">
        <f>$A1312*$O1312</f>
        <v>0</v>
      </c>
      <c r="AV1312" s="1">
        <f>IF($R1312=0,0,INT($A1312/$R1312))</f>
        <v>0</v>
      </c>
      <c r="AW1312" s="1">
        <f>$A1312-$AV1312*$R1312</f>
        <v>0</v>
      </c>
    </row>
    <row r="1313" ht="24.95" customHeight="1" outlineLevel="3" s="1" customFormat="1">
      <c r="A1313" s="15"/>
      <c r="B1313" s="17">
        <v>1090</v>
      </c>
      <c r="C1313" s="17">
        <v>1472</v>
      </c>
      <c r="D1313" s="16">
        <v>19170</v>
      </c>
      <c r="E1313" s="18"/>
      <c r="F1313" s="18" t="s">
        <v>4337</v>
      </c>
      <c r="G1313" s="18" t="s">
        <v>4338</v>
      </c>
      <c r="H1313" s="18" t="s">
        <v>73</v>
      </c>
      <c r="I1313" s="18" t="s">
        <v>74</v>
      </c>
      <c r="J1313" s="16">
        <v>2023</v>
      </c>
      <c r="K1313" s="18" t="s">
        <v>4339</v>
      </c>
      <c r="L1313" s="16">
        <v>9785001397885</v>
      </c>
      <c r="M1313" s="18" t="s">
        <v>4340</v>
      </c>
      <c r="N1313" s="16">
        <v>472</v>
      </c>
      <c r="O1313" s="19">
        <v>0.68</v>
      </c>
      <c r="P1313" s="16">
        <v>150</v>
      </c>
      <c r="Q1313" s="16">
        <v>220</v>
      </c>
      <c r="R1313" s="16">
        <v>5</v>
      </c>
      <c r="S1313" s="18" t="s">
        <v>43</v>
      </c>
      <c r="T1313" s="18"/>
      <c r="U1313" s="17">
        <v>1000</v>
      </c>
      <c r="V1313" s="18" t="s">
        <v>77</v>
      </c>
      <c r="W1313" s="18" t="s">
        <v>69</v>
      </c>
      <c r="X1313" s="16">
        <v>10</v>
      </c>
      <c r="Y1313" s="43" t="str">
        <f>HYPERLINK("https://api-enni.alpina.ru/FilePrivilegesApproval/171","https://api-enni.alpina.ru/FilePrivilegesApproval/171")</f>
        <v>https://api-enni.alpina.ru/FilePrivilegesApproval/171</v>
      </c>
      <c r="Z1313" s="18" t="s">
        <v>410</v>
      </c>
      <c r="AS1313" s="1">
        <f>IF($A1313&lt;&gt;0,1,0)</f>
        <v>0</v>
      </c>
      <c r="AT1313" s="1">
        <f>$A1313*$B1313</f>
        <v>0</v>
      </c>
      <c r="AU1313" s="1">
        <f>$A1313*$O1313</f>
        <v>0</v>
      </c>
      <c r="AV1313" s="1">
        <f>IF($R1313=0,0,INT($A1313/$R1313))</f>
        <v>0</v>
      </c>
      <c r="AW1313" s="1">
        <f>$A1313-$AV1313*$R1313</f>
        <v>0</v>
      </c>
    </row>
    <row r="1314" ht="24.95" customHeight="1" outlineLevel="3" s="1" customFormat="1">
      <c r="A1314" s="15"/>
      <c r="B1314" s="17">
        <v>1390</v>
      </c>
      <c r="C1314" s="17">
        <v>1876</v>
      </c>
      <c r="D1314" s="16">
        <v>24930</v>
      </c>
      <c r="E1314" s="18"/>
      <c r="F1314" s="18" t="s">
        <v>4341</v>
      </c>
      <c r="G1314" s="18" t="s">
        <v>4342</v>
      </c>
      <c r="H1314" s="18" t="s">
        <v>73</v>
      </c>
      <c r="I1314" s="18"/>
      <c r="J1314" s="16">
        <v>2025</v>
      </c>
      <c r="K1314" s="18" t="s">
        <v>4343</v>
      </c>
      <c r="L1314" s="16">
        <v>9785001398219</v>
      </c>
      <c r="M1314" s="18" t="s">
        <v>4344</v>
      </c>
      <c r="N1314" s="16">
        <v>384</v>
      </c>
      <c r="O1314" s="19">
        <v>0.82</v>
      </c>
      <c r="P1314" s="16">
        <v>170</v>
      </c>
      <c r="Q1314" s="16">
        <v>230</v>
      </c>
      <c r="R1314" s="16">
        <v>4</v>
      </c>
      <c r="S1314" s="18" t="s">
        <v>52</v>
      </c>
      <c r="T1314" s="18"/>
      <c r="U1314" s="17">
        <v>1000</v>
      </c>
      <c r="V1314" s="18" t="s">
        <v>77</v>
      </c>
      <c r="W1314" s="18" t="s">
        <v>91</v>
      </c>
      <c r="X1314" s="16">
        <v>10</v>
      </c>
      <c r="Y1314" s="43" t="str">
        <f>HYPERLINK("https://api-enni.alpina.ru/FilePrivilegesApproval/233","https://api-enni.alpina.ru/FilePrivilegesApproval/233")</f>
        <v>https://api-enni.alpina.ru/FilePrivilegesApproval/233</v>
      </c>
      <c r="Z1314" s="18"/>
      <c r="AS1314" s="1">
        <f>IF($A1314&lt;&gt;0,1,0)</f>
        <v>0</v>
      </c>
      <c r="AT1314" s="1">
        <f>$A1314*$B1314</f>
        <v>0</v>
      </c>
      <c r="AU1314" s="1">
        <f>$A1314*$O1314</f>
        <v>0</v>
      </c>
      <c r="AV1314" s="1">
        <f>IF($R1314=0,0,INT($A1314/$R1314))</f>
        <v>0</v>
      </c>
      <c r="AW1314" s="1">
        <f>$A1314-$AV1314*$R1314</f>
        <v>0</v>
      </c>
    </row>
    <row r="1315" ht="24.95" customHeight="1" outlineLevel="3" s="1" customFormat="1">
      <c r="A1315" s="15"/>
      <c r="B1315" s="16">
        <v>840</v>
      </c>
      <c r="C1315" s="17">
        <v>1218</v>
      </c>
      <c r="D1315" s="16">
        <v>23828</v>
      </c>
      <c r="E1315" s="18"/>
      <c r="F1315" s="18" t="s">
        <v>4345</v>
      </c>
      <c r="G1315" s="18" t="s">
        <v>4346</v>
      </c>
      <c r="H1315" s="18" t="s">
        <v>86</v>
      </c>
      <c r="I1315" s="18" t="s">
        <v>74</v>
      </c>
      <c r="J1315" s="16">
        <v>2025</v>
      </c>
      <c r="K1315" s="18" t="s">
        <v>4347</v>
      </c>
      <c r="L1315" s="16">
        <v>9785961473704</v>
      </c>
      <c r="M1315" s="18" t="s">
        <v>4348</v>
      </c>
      <c r="N1315" s="16">
        <v>474</v>
      </c>
      <c r="O1315" s="19">
        <v>0.77</v>
      </c>
      <c r="P1315" s="16">
        <v>170</v>
      </c>
      <c r="Q1315" s="16">
        <v>240</v>
      </c>
      <c r="R1315" s="16">
        <v>4</v>
      </c>
      <c r="S1315" s="18" t="s">
        <v>123</v>
      </c>
      <c r="T1315" s="18"/>
      <c r="U1315" s="17">
        <v>2000</v>
      </c>
      <c r="V1315" s="18" t="s">
        <v>77</v>
      </c>
      <c r="W1315" s="18" t="s">
        <v>91</v>
      </c>
      <c r="X1315" s="16">
        <v>10</v>
      </c>
      <c r="Y1315" s="43" t="str">
        <f>HYPERLINK("https://api-enni.alpina.ru/FilePrivilegesApproval/163","https://api-enni.alpina.ru/FilePrivilegesApproval/163")</f>
        <v>https://api-enni.alpina.ru/FilePrivilegesApproval/163</v>
      </c>
      <c r="Z1315" s="18"/>
      <c r="AS1315" s="1">
        <f>IF($A1315&lt;&gt;0,1,0)</f>
        <v>0</v>
      </c>
      <c r="AT1315" s="1">
        <f>$A1315*$B1315</f>
        <v>0</v>
      </c>
      <c r="AU1315" s="1">
        <f>$A1315*$O1315</f>
        <v>0</v>
      </c>
      <c r="AV1315" s="1">
        <f>IF($R1315=0,0,INT($A1315/$R1315))</f>
        <v>0</v>
      </c>
      <c r="AW1315" s="1">
        <f>$A1315-$AV1315*$R1315</f>
        <v>0</v>
      </c>
    </row>
    <row r="1316" ht="24.95" customHeight="1" outlineLevel="3" s="1" customFormat="1">
      <c r="A1316" s="15"/>
      <c r="B1316" s="16">
        <v>890</v>
      </c>
      <c r="C1316" s="17">
        <v>1246</v>
      </c>
      <c r="D1316" s="16">
        <v>29241</v>
      </c>
      <c r="E1316" s="18"/>
      <c r="F1316" s="18" t="s">
        <v>4349</v>
      </c>
      <c r="G1316" s="18" t="s">
        <v>4350</v>
      </c>
      <c r="H1316" s="18" t="s">
        <v>86</v>
      </c>
      <c r="I1316" s="18" t="s">
        <v>74</v>
      </c>
      <c r="J1316" s="16">
        <v>2026</v>
      </c>
      <c r="K1316" s="18" t="s">
        <v>4351</v>
      </c>
      <c r="L1316" s="16">
        <v>9785961491821</v>
      </c>
      <c r="M1316" s="18" t="s">
        <v>4352</v>
      </c>
      <c r="N1316" s="16">
        <v>472</v>
      </c>
      <c r="O1316" s="19">
        <v>0.66</v>
      </c>
      <c r="P1316" s="16">
        <v>150</v>
      </c>
      <c r="Q1316" s="16">
        <v>220</v>
      </c>
      <c r="R1316" s="16">
        <v>10</v>
      </c>
      <c r="S1316" s="18" t="s">
        <v>43</v>
      </c>
      <c r="T1316" s="18"/>
      <c r="U1316" s="17">
        <v>1000</v>
      </c>
      <c r="V1316" s="18" t="s">
        <v>77</v>
      </c>
      <c r="W1316" s="18" t="s">
        <v>69</v>
      </c>
      <c r="X1316" s="16">
        <v>10</v>
      </c>
      <c r="Y1316" s="43" t="str">
        <f>HYPERLINK("https://api-enni.alpina.ru/FilePrivilegesApproval/500","https://api-enni.alpina.ru/FilePrivilegesApproval/500")</f>
        <v>https://api-enni.alpina.ru/FilePrivilegesApproval/500</v>
      </c>
      <c r="Z1316" s="18" t="s">
        <v>46</v>
      </c>
      <c r="AS1316" s="1">
        <f>IF($A1316&lt;&gt;0,1,0)</f>
        <v>0</v>
      </c>
      <c r="AT1316" s="1">
        <f>$A1316*$B1316</f>
        <v>0</v>
      </c>
      <c r="AU1316" s="1">
        <f>$A1316*$O1316</f>
        <v>0</v>
      </c>
      <c r="AV1316" s="1">
        <f>IF($R1316=0,0,INT($A1316/$R1316))</f>
        <v>0</v>
      </c>
      <c r="AW1316" s="1">
        <f>$A1316-$AV1316*$R1316</f>
        <v>0</v>
      </c>
    </row>
    <row r="1317" ht="24.95" customHeight="1" outlineLevel="3" s="1" customFormat="1">
      <c r="A1317" s="15"/>
      <c r="B1317" s="16">
        <v>990</v>
      </c>
      <c r="C1317" s="17">
        <v>1386</v>
      </c>
      <c r="D1317" s="16">
        <v>12392</v>
      </c>
      <c r="E1317" s="18"/>
      <c r="F1317" s="18" t="s">
        <v>4353</v>
      </c>
      <c r="G1317" s="18" t="s">
        <v>4354</v>
      </c>
      <c r="H1317" s="18" t="s">
        <v>86</v>
      </c>
      <c r="I1317" s="18"/>
      <c r="J1317" s="16">
        <v>2025</v>
      </c>
      <c r="K1317" s="18" t="s">
        <v>4355</v>
      </c>
      <c r="L1317" s="16">
        <v>9785961425031</v>
      </c>
      <c r="M1317" s="18" t="s">
        <v>4356</v>
      </c>
      <c r="N1317" s="16">
        <v>304</v>
      </c>
      <c r="O1317" s="19">
        <v>0.45</v>
      </c>
      <c r="P1317" s="16">
        <v>146</v>
      </c>
      <c r="Q1317" s="16">
        <v>216</v>
      </c>
      <c r="R1317" s="16">
        <v>10</v>
      </c>
      <c r="S1317" s="18" t="s">
        <v>43</v>
      </c>
      <c r="T1317" s="18"/>
      <c r="U1317" s="17">
        <v>1000</v>
      </c>
      <c r="V1317" s="18" t="s">
        <v>77</v>
      </c>
      <c r="W1317" s="18" t="s">
        <v>69</v>
      </c>
      <c r="X1317" s="16">
        <v>10</v>
      </c>
      <c r="Y1317" s="43" t="str">
        <f>HYPERLINK("https://api-enni.alpina.ru/FilePrivilegesApproval/22","https://api-enni.alpina.ru/FilePrivilegesApproval/22")</f>
        <v>https://api-enni.alpina.ru/FilePrivilegesApproval/22</v>
      </c>
      <c r="Z1317" s="18"/>
      <c r="AS1317" s="1">
        <f>IF($A1317&lt;&gt;0,1,0)</f>
        <v>0</v>
      </c>
      <c r="AT1317" s="1">
        <f>$A1317*$B1317</f>
        <v>0</v>
      </c>
      <c r="AU1317" s="1">
        <f>$A1317*$O1317</f>
        <v>0</v>
      </c>
      <c r="AV1317" s="1">
        <f>IF($R1317=0,0,INT($A1317/$R1317))</f>
        <v>0</v>
      </c>
      <c r="AW1317" s="1">
        <f>$A1317-$AV1317*$R1317</f>
        <v>0</v>
      </c>
    </row>
    <row r="1318" ht="24.95" customHeight="1" outlineLevel="3" s="1" customFormat="1">
      <c r="A1318" s="15"/>
      <c r="B1318" s="16">
        <v>790</v>
      </c>
      <c r="C1318" s="17">
        <v>1246</v>
      </c>
      <c r="D1318" s="16">
        <v>30613</v>
      </c>
      <c r="E1318" s="18"/>
      <c r="F1318" s="18" t="s">
        <v>4357</v>
      </c>
      <c r="G1318" s="18" t="s">
        <v>4358</v>
      </c>
      <c r="H1318" s="18" t="s">
        <v>73</v>
      </c>
      <c r="I1318" s="18" t="s">
        <v>74</v>
      </c>
      <c r="J1318" s="16">
        <v>2024</v>
      </c>
      <c r="K1318" s="18" t="s">
        <v>4359</v>
      </c>
      <c r="L1318" s="16">
        <v>9785002232659</v>
      </c>
      <c r="M1318" s="18" t="s">
        <v>4360</v>
      </c>
      <c r="N1318" s="16">
        <v>428</v>
      </c>
      <c r="O1318" s="19">
        <v>0.52</v>
      </c>
      <c r="P1318" s="16">
        <v>140</v>
      </c>
      <c r="Q1318" s="16">
        <v>210</v>
      </c>
      <c r="R1318" s="16">
        <v>12</v>
      </c>
      <c r="S1318" s="18" t="s">
        <v>43</v>
      </c>
      <c r="T1318" s="18"/>
      <c r="U1318" s="17">
        <v>2000</v>
      </c>
      <c r="V1318" s="18" t="s">
        <v>44</v>
      </c>
      <c r="W1318" s="18" t="s">
        <v>69</v>
      </c>
      <c r="X1318" s="16">
        <v>10</v>
      </c>
      <c r="Y1318" s="43" t="str">
        <f>HYPERLINK("https://api-enni.alpina.ru/FilePrivilegesApproval/175","https://api-enni.alpina.ru/FilePrivilegesApproval/175")</f>
        <v>https://api-enni.alpina.ru/FilePrivilegesApproval/175</v>
      </c>
      <c r="Z1318" s="18"/>
      <c r="AS1318" s="1">
        <f>IF($A1318&lt;&gt;0,1,0)</f>
        <v>0</v>
      </c>
      <c r="AT1318" s="1">
        <f>$A1318*$B1318</f>
        <v>0</v>
      </c>
      <c r="AU1318" s="1">
        <f>$A1318*$O1318</f>
        <v>0</v>
      </c>
      <c r="AV1318" s="1">
        <f>IF($R1318=0,0,INT($A1318/$R1318))</f>
        <v>0</v>
      </c>
      <c r="AW1318" s="1">
        <f>$A1318-$AV1318*$R1318</f>
        <v>0</v>
      </c>
    </row>
    <row r="1319" ht="21.95" customHeight="1" outlineLevel="3" s="1" customFormat="1">
      <c r="A1319" s="15"/>
      <c r="B1319" s="16">
        <v>690</v>
      </c>
      <c r="C1319" s="17">
        <v>1035</v>
      </c>
      <c r="D1319" s="16">
        <v>34876</v>
      </c>
      <c r="E1319" s="18"/>
      <c r="F1319" s="18" t="s">
        <v>402</v>
      </c>
      <c r="G1319" s="18" t="s">
        <v>403</v>
      </c>
      <c r="H1319" s="18" t="s">
        <v>73</v>
      </c>
      <c r="I1319" s="18" t="s">
        <v>74</v>
      </c>
      <c r="J1319" s="16">
        <v>2026</v>
      </c>
      <c r="K1319" s="18" t="s">
        <v>404</v>
      </c>
      <c r="L1319" s="16">
        <v>9785002237098</v>
      </c>
      <c r="M1319" s="18" t="s">
        <v>405</v>
      </c>
      <c r="N1319" s="16">
        <v>270</v>
      </c>
      <c r="O1319" s="19">
        <v>0.37</v>
      </c>
      <c r="P1319" s="16">
        <v>130</v>
      </c>
      <c r="Q1319" s="16">
        <v>210</v>
      </c>
      <c r="R1319" s="16">
        <v>16</v>
      </c>
      <c r="S1319" s="18" t="s">
        <v>90</v>
      </c>
      <c r="T1319" s="18"/>
      <c r="U1319" s="17">
        <v>2500</v>
      </c>
      <c r="V1319" s="18" t="s">
        <v>77</v>
      </c>
      <c r="W1319" s="18" t="s">
        <v>45</v>
      </c>
      <c r="X1319" s="16">
        <v>22</v>
      </c>
      <c r="Y1319" s="43" t="str">
        <f>HYPERLINK("","")</f>
      </c>
      <c r="Z1319" s="18" t="s">
        <v>246</v>
      </c>
      <c r="AS1319" s="1">
        <f>IF($A1319&lt;&gt;0,1,0)</f>
        <v>0</v>
      </c>
      <c r="AT1319" s="1">
        <f>$A1319*$B1319</f>
        <v>0</v>
      </c>
      <c r="AU1319" s="1">
        <f>$A1319*$O1319</f>
        <v>0</v>
      </c>
      <c r="AV1319" s="1">
        <f>IF($R1319=0,0,INT($A1319/$R1319))</f>
        <v>0</v>
      </c>
      <c r="AW1319" s="1">
        <f>$A1319-$AV1319*$R1319</f>
        <v>0</v>
      </c>
    </row>
    <row r="1320" ht="11.1" customHeight="1" outlineLevel="2">
      <c r="A1320" s="41" t="s">
        <v>4361</v>
      </c>
      <c r="B1320" s="41"/>
      <c r="C1320" s="41"/>
      <c r="D1320" s="41"/>
      <c r="E1320" s="41"/>
      <c r="F1320" s="41"/>
      <c r="G1320" s="41"/>
      <c r="H1320" s="41"/>
      <c r="I1320" s="41"/>
      <c r="J1320" s="41"/>
      <c r="K1320" s="41"/>
      <c r="L1320" s="41"/>
      <c r="M1320" s="41"/>
      <c r="N1320" s="41"/>
      <c r="O1320" s="41"/>
      <c r="P1320" s="41"/>
      <c r="Q1320" s="41"/>
      <c r="R1320" s="41"/>
      <c r="S1320" s="41"/>
      <c r="T1320" s="41"/>
      <c r="U1320" s="41"/>
      <c r="V1320" s="41"/>
      <c r="W1320" s="41"/>
      <c r="X1320" s="41"/>
      <c r="Y1320" s="41"/>
      <c r="Z1320" s="24"/>
    </row>
    <row r="1321" ht="24.95" customHeight="1" outlineLevel="3" s="1" customFormat="1">
      <c r="A1321" s="15"/>
      <c r="B1321" s="17">
        <v>2690</v>
      </c>
      <c r="C1321" s="17">
        <v>3497</v>
      </c>
      <c r="D1321" s="16">
        <v>26691</v>
      </c>
      <c r="E1321" s="18"/>
      <c r="F1321" s="18" t="s">
        <v>4362</v>
      </c>
      <c r="G1321" s="18" t="s">
        <v>4363</v>
      </c>
      <c r="H1321" s="18" t="s">
        <v>73</v>
      </c>
      <c r="I1321" s="18"/>
      <c r="J1321" s="16">
        <v>2026</v>
      </c>
      <c r="K1321" s="18" t="s">
        <v>4364</v>
      </c>
      <c r="L1321" s="16">
        <v>9785001398226</v>
      </c>
      <c r="M1321" s="18" t="s">
        <v>4365</v>
      </c>
      <c r="N1321" s="17">
        <v>1184</v>
      </c>
      <c r="O1321" s="19">
        <v>1.62</v>
      </c>
      <c r="P1321" s="16">
        <v>170</v>
      </c>
      <c r="Q1321" s="16">
        <v>220</v>
      </c>
      <c r="R1321" s="16">
        <v>2</v>
      </c>
      <c r="S1321" s="18" t="s">
        <v>52</v>
      </c>
      <c r="T1321" s="18"/>
      <c r="U1321" s="17">
        <v>2000</v>
      </c>
      <c r="V1321" s="18" t="s">
        <v>54</v>
      </c>
      <c r="W1321" s="18" t="s">
        <v>45</v>
      </c>
      <c r="X1321" s="16">
        <v>10</v>
      </c>
      <c r="Y1321" s="43" t="str">
        <f>HYPERLINK("https://api-enni.alpina.ru/FilePrivilegesApproval/171","https://api-enni.alpina.ru/FilePrivilegesApproval/171")</f>
        <v>https://api-enni.alpina.ru/FilePrivilegesApproval/171</v>
      </c>
      <c r="Z1321" s="18" t="s">
        <v>744</v>
      </c>
      <c r="AS1321" s="1">
        <f>IF($A1321&lt;&gt;0,1,0)</f>
        <v>0</v>
      </c>
      <c r="AT1321" s="1">
        <f>$A1321*$B1321</f>
        <v>0</v>
      </c>
      <c r="AU1321" s="1">
        <f>$A1321*$O1321</f>
        <v>0</v>
      </c>
      <c r="AV1321" s="1">
        <f>IF($R1321=0,0,INT($A1321/$R1321))</f>
        <v>0</v>
      </c>
      <c r="AW1321" s="1">
        <f>$A1321-$AV1321*$R1321</f>
        <v>0</v>
      </c>
    </row>
    <row r="1322" ht="24.95" customHeight="1" outlineLevel="3" s="1" customFormat="1">
      <c r="A1322" s="15"/>
      <c r="B1322" s="16">
        <v>750</v>
      </c>
      <c r="C1322" s="17">
        <v>1088</v>
      </c>
      <c r="D1322" s="16">
        <v>31799</v>
      </c>
      <c r="E1322" s="18"/>
      <c r="F1322" s="18" t="s">
        <v>4366</v>
      </c>
      <c r="G1322" s="18" t="s">
        <v>4367</v>
      </c>
      <c r="H1322" s="18" t="s">
        <v>73</v>
      </c>
      <c r="I1322" s="18" t="s">
        <v>74</v>
      </c>
      <c r="J1322" s="16">
        <v>2026</v>
      </c>
      <c r="K1322" s="18" t="s">
        <v>4368</v>
      </c>
      <c r="L1322" s="16">
        <v>9785002234240</v>
      </c>
      <c r="M1322" s="18" t="s">
        <v>4369</v>
      </c>
      <c r="N1322" s="16">
        <v>282</v>
      </c>
      <c r="O1322" s="19">
        <v>0.38</v>
      </c>
      <c r="P1322" s="16">
        <v>130</v>
      </c>
      <c r="Q1322" s="16">
        <v>210</v>
      </c>
      <c r="R1322" s="16">
        <v>14</v>
      </c>
      <c r="S1322" s="18" t="s">
        <v>90</v>
      </c>
      <c r="T1322" s="18"/>
      <c r="U1322" s="17">
        <v>2000</v>
      </c>
      <c r="V1322" s="18" t="s">
        <v>77</v>
      </c>
      <c r="W1322" s="18" t="s">
        <v>45</v>
      </c>
      <c r="X1322" s="16">
        <v>10</v>
      </c>
      <c r="Y1322" s="43" t="str">
        <f>HYPERLINK("https://api-enni.alpina.ru/FilePrivilegesApproval/1191","https://api-enni.alpina.ru/FilePrivilegesApproval/1191")</f>
        <v>https://api-enni.alpina.ru/FilePrivilegesApproval/1191</v>
      </c>
      <c r="Z1322" s="18" t="s">
        <v>744</v>
      </c>
      <c r="AS1322" s="1">
        <f>IF($A1322&lt;&gt;0,1,0)</f>
        <v>0</v>
      </c>
      <c r="AT1322" s="1">
        <f>$A1322*$B1322</f>
        <v>0</v>
      </c>
      <c r="AU1322" s="1">
        <f>$A1322*$O1322</f>
        <v>0</v>
      </c>
      <c r="AV1322" s="1">
        <f>IF($R1322=0,0,INT($A1322/$R1322))</f>
        <v>0</v>
      </c>
      <c r="AW1322" s="1">
        <f>$A1322-$AV1322*$R1322</f>
        <v>0</v>
      </c>
    </row>
    <row r="1323" ht="24.95" customHeight="1" outlineLevel="3" s="1" customFormat="1">
      <c r="A1323" s="15"/>
      <c r="B1323" s="17">
        <v>1990</v>
      </c>
      <c r="C1323" s="17">
        <v>2587</v>
      </c>
      <c r="D1323" s="16">
        <v>29550</v>
      </c>
      <c r="E1323" s="18"/>
      <c r="F1323" s="18" t="s">
        <v>799</v>
      </c>
      <c r="G1323" s="18" t="s">
        <v>800</v>
      </c>
      <c r="H1323" s="18" t="s">
        <v>73</v>
      </c>
      <c r="I1323" s="18"/>
      <c r="J1323" s="16">
        <v>2025</v>
      </c>
      <c r="K1323" s="18" t="s">
        <v>801</v>
      </c>
      <c r="L1323" s="16">
        <v>9785002231508</v>
      </c>
      <c r="M1323" s="18" t="s">
        <v>802</v>
      </c>
      <c r="N1323" s="16">
        <v>928</v>
      </c>
      <c r="O1323" s="19">
        <v>1.08</v>
      </c>
      <c r="P1323" s="16">
        <v>170</v>
      </c>
      <c r="Q1323" s="16">
        <v>220</v>
      </c>
      <c r="R1323" s="16">
        <v>2</v>
      </c>
      <c r="S1323" s="18" t="s">
        <v>52</v>
      </c>
      <c r="T1323" s="18"/>
      <c r="U1323" s="17">
        <v>2000</v>
      </c>
      <c r="V1323" s="18" t="s">
        <v>54</v>
      </c>
      <c r="W1323" s="18" t="s">
        <v>45</v>
      </c>
      <c r="X1323" s="16">
        <v>22</v>
      </c>
      <c r="Y1323" s="43" t="str">
        <f>HYPERLINK("","")</f>
      </c>
      <c r="Z1323" s="18"/>
      <c r="AS1323" s="1">
        <f>IF($A1323&lt;&gt;0,1,0)</f>
        <v>0</v>
      </c>
      <c r="AT1323" s="1">
        <f>$A1323*$B1323</f>
        <v>0</v>
      </c>
      <c r="AU1323" s="1">
        <f>$A1323*$O1323</f>
        <v>0</v>
      </c>
      <c r="AV1323" s="1">
        <f>IF($R1323=0,0,INT($A1323/$R1323))</f>
        <v>0</v>
      </c>
      <c r="AW1323" s="1">
        <f>$A1323-$AV1323*$R1323</f>
        <v>0</v>
      </c>
    </row>
    <row r="1324" ht="24.95" customHeight="1" outlineLevel="3" s="1" customFormat="1">
      <c r="A1324" s="15"/>
      <c r="B1324" s="16">
        <v>690</v>
      </c>
      <c r="C1324" s="17">
        <v>1035</v>
      </c>
      <c r="D1324" s="16">
        <v>26923</v>
      </c>
      <c r="E1324" s="18"/>
      <c r="F1324" s="18" t="s">
        <v>4370</v>
      </c>
      <c r="G1324" s="18" t="s">
        <v>4371</v>
      </c>
      <c r="H1324" s="18" t="s">
        <v>171</v>
      </c>
      <c r="I1324" s="18"/>
      <c r="J1324" s="16">
        <v>2023</v>
      </c>
      <c r="K1324" s="18" t="s">
        <v>4372</v>
      </c>
      <c r="L1324" s="16">
        <v>9785001398516</v>
      </c>
      <c r="M1324" s="18" t="s">
        <v>4373</v>
      </c>
      <c r="N1324" s="16">
        <v>176</v>
      </c>
      <c r="O1324" s="19">
        <v>0.44</v>
      </c>
      <c r="P1324" s="16">
        <v>170</v>
      </c>
      <c r="Q1324" s="16">
        <v>220</v>
      </c>
      <c r="R1324" s="16">
        <v>10</v>
      </c>
      <c r="S1324" s="18" t="s">
        <v>52</v>
      </c>
      <c r="T1324" s="18"/>
      <c r="U1324" s="17">
        <v>2000</v>
      </c>
      <c r="V1324" s="18" t="s">
        <v>77</v>
      </c>
      <c r="W1324" s="18" t="s">
        <v>69</v>
      </c>
      <c r="X1324" s="16">
        <v>10</v>
      </c>
      <c r="Y1324" s="43" t="str">
        <f>HYPERLINK("https://api-enni.alpina.ru/FilePrivilegesApproval/241","https://api-enni.alpina.ru/FilePrivilegesApproval/241")</f>
        <v>https://api-enni.alpina.ru/FilePrivilegesApproval/241</v>
      </c>
      <c r="Z1324" s="18"/>
      <c r="AS1324" s="1">
        <f>IF($A1324&lt;&gt;0,1,0)</f>
        <v>0</v>
      </c>
      <c r="AT1324" s="1">
        <f>$A1324*$B1324</f>
        <v>0</v>
      </c>
      <c r="AU1324" s="1">
        <f>$A1324*$O1324</f>
        <v>0</v>
      </c>
      <c r="AV1324" s="1">
        <f>IF($R1324=0,0,INT($A1324/$R1324))</f>
        <v>0</v>
      </c>
      <c r="AW1324" s="1">
        <f>$A1324-$AV1324*$R1324</f>
        <v>0</v>
      </c>
    </row>
    <row r="1325" ht="21.95" customHeight="1" outlineLevel="3" s="1" customFormat="1">
      <c r="A1325" s="15"/>
      <c r="B1325" s="17">
        <v>1090</v>
      </c>
      <c r="C1325" s="17">
        <v>1472</v>
      </c>
      <c r="D1325" s="16">
        <v>33568</v>
      </c>
      <c r="E1325" s="18"/>
      <c r="F1325" s="18" t="s">
        <v>338</v>
      </c>
      <c r="G1325" s="18" t="s">
        <v>339</v>
      </c>
      <c r="H1325" s="18" t="s">
        <v>73</v>
      </c>
      <c r="I1325" s="18" t="s">
        <v>74</v>
      </c>
      <c r="J1325" s="16">
        <v>2026</v>
      </c>
      <c r="K1325" s="18" t="s">
        <v>340</v>
      </c>
      <c r="L1325" s="16">
        <v>9785002235667</v>
      </c>
      <c r="M1325" s="18" t="s">
        <v>341</v>
      </c>
      <c r="N1325" s="16">
        <v>536</v>
      </c>
      <c r="O1325" s="19">
        <v>0.75</v>
      </c>
      <c r="P1325" s="16">
        <v>150</v>
      </c>
      <c r="Q1325" s="16">
        <v>220</v>
      </c>
      <c r="R1325" s="16">
        <v>8</v>
      </c>
      <c r="S1325" s="18" t="s">
        <v>43</v>
      </c>
      <c r="T1325" s="18"/>
      <c r="U1325" s="17">
        <v>5000</v>
      </c>
      <c r="V1325" s="18" t="s">
        <v>77</v>
      </c>
      <c r="W1325" s="18" t="s">
        <v>45</v>
      </c>
      <c r="X1325" s="16">
        <v>22</v>
      </c>
      <c r="Y1325" s="43" t="str">
        <f>HYPERLINK("","")</f>
      </c>
      <c r="Z1325" s="18" t="s">
        <v>342</v>
      </c>
      <c r="AS1325" s="1">
        <f>IF($A1325&lt;&gt;0,1,0)</f>
        <v>0</v>
      </c>
      <c r="AT1325" s="1">
        <f>$A1325*$B1325</f>
        <v>0</v>
      </c>
      <c r="AU1325" s="1">
        <f>$A1325*$O1325</f>
        <v>0</v>
      </c>
      <c r="AV1325" s="1">
        <f>IF($R1325=0,0,INT($A1325/$R1325))</f>
        <v>0</v>
      </c>
      <c r="AW1325" s="1">
        <f>$A1325-$AV1325*$R1325</f>
        <v>0</v>
      </c>
    </row>
    <row r="1326" ht="24.95" customHeight="1" outlineLevel="3" s="1" customFormat="1">
      <c r="A1326" s="15"/>
      <c r="B1326" s="16">
        <v>890</v>
      </c>
      <c r="C1326" s="17">
        <v>1246</v>
      </c>
      <c r="D1326" s="16">
        <v>32032</v>
      </c>
      <c r="E1326" s="18"/>
      <c r="F1326" s="18" t="s">
        <v>4374</v>
      </c>
      <c r="G1326" s="18" t="s">
        <v>4375</v>
      </c>
      <c r="H1326" s="18" t="s">
        <v>73</v>
      </c>
      <c r="I1326" s="18"/>
      <c r="J1326" s="16">
        <v>2025</v>
      </c>
      <c r="K1326" s="18" t="s">
        <v>4376</v>
      </c>
      <c r="L1326" s="16">
        <v>9785002234691</v>
      </c>
      <c r="M1326" s="18" t="s">
        <v>4377</v>
      </c>
      <c r="N1326" s="16">
        <v>400</v>
      </c>
      <c r="O1326" s="19">
        <v>0.44</v>
      </c>
      <c r="P1326" s="16">
        <v>150</v>
      </c>
      <c r="Q1326" s="16">
        <v>220</v>
      </c>
      <c r="R1326" s="16">
        <v>8</v>
      </c>
      <c r="S1326" s="18" t="s">
        <v>43</v>
      </c>
      <c r="T1326" s="18"/>
      <c r="U1326" s="17">
        <v>1500</v>
      </c>
      <c r="V1326" s="18" t="s">
        <v>77</v>
      </c>
      <c r="W1326" s="18" t="s">
        <v>45</v>
      </c>
      <c r="X1326" s="16">
        <v>10</v>
      </c>
      <c r="Y1326" s="43" t="str">
        <f>HYPERLINK("https://api-enni.alpina.ru/FilePrivilegesApproval/919","https://api-enni.alpina.ru/FilePrivilegesApproval/919")</f>
        <v>https://api-enni.alpina.ru/FilePrivilegesApproval/919</v>
      </c>
      <c r="Z1326" s="18"/>
      <c r="AS1326" s="1">
        <f>IF($A1326&lt;&gt;0,1,0)</f>
        <v>0</v>
      </c>
      <c r="AT1326" s="1">
        <f>$A1326*$B1326</f>
        <v>0</v>
      </c>
      <c r="AU1326" s="1">
        <f>$A1326*$O1326</f>
        <v>0</v>
      </c>
      <c r="AV1326" s="1">
        <f>IF($R1326=0,0,INT($A1326/$R1326))</f>
        <v>0</v>
      </c>
      <c r="AW1326" s="1">
        <f>$A1326-$AV1326*$R1326</f>
        <v>0</v>
      </c>
    </row>
    <row r="1327" ht="24.95" customHeight="1" outlineLevel="3" s="1" customFormat="1">
      <c r="A1327" s="15"/>
      <c r="B1327" s="16">
        <v>890</v>
      </c>
      <c r="C1327" s="17">
        <v>1246</v>
      </c>
      <c r="D1327" s="16">
        <v>29203</v>
      </c>
      <c r="E1327" s="18"/>
      <c r="F1327" s="18" t="s">
        <v>4378</v>
      </c>
      <c r="G1327" s="18" t="s">
        <v>4379</v>
      </c>
      <c r="H1327" s="18" t="s">
        <v>73</v>
      </c>
      <c r="I1327" s="18"/>
      <c r="J1327" s="16">
        <v>2025</v>
      </c>
      <c r="K1327" s="18" t="s">
        <v>4380</v>
      </c>
      <c r="L1327" s="16">
        <v>9785002231225</v>
      </c>
      <c r="M1327" s="18" t="s">
        <v>4381</v>
      </c>
      <c r="N1327" s="16">
        <v>240</v>
      </c>
      <c r="O1327" s="19">
        <v>0.54</v>
      </c>
      <c r="P1327" s="16">
        <v>170</v>
      </c>
      <c r="Q1327" s="16">
        <v>220</v>
      </c>
      <c r="R1327" s="16">
        <v>8</v>
      </c>
      <c r="S1327" s="18" t="s">
        <v>52</v>
      </c>
      <c r="T1327" s="18"/>
      <c r="U1327" s="17">
        <v>2000</v>
      </c>
      <c r="V1327" s="18" t="s">
        <v>77</v>
      </c>
      <c r="W1327" s="18" t="s">
        <v>91</v>
      </c>
      <c r="X1327" s="16">
        <v>10</v>
      </c>
      <c r="Y1327" s="43" t="str">
        <f>HYPERLINK("https://api-enni.alpina.ru/FilePrivilegesApproval/763","https://api-enni.alpina.ru/FilePrivilegesApproval/763")</f>
        <v>https://api-enni.alpina.ru/FilePrivilegesApproval/763</v>
      </c>
      <c r="Z1327" s="18"/>
      <c r="AS1327" s="1">
        <f>IF($A1327&lt;&gt;0,1,0)</f>
        <v>0</v>
      </c>
      <c r="AT1327" s="1">
        <f>$A1327*$B1327</f>
        <v>0</v>
      </c>
      <c r="AU1327" s="1">
        <f>$A1327*$O1327</f>
        <v>0</v>
      </c>
      <c r="AV1327" s="1">
        <f>IF($R1327=0,0,INT($A1327/$R1327))</f>
        <v>0</v>
      </c>
      <c r="AW1327" s="1">
        <f>$A1327-$AV1327*$R1327</f>
        <v>0</v>
      </c>
    </row>
    <row r="1328" ht="11.1" customHeight="1" outlineLevel="2">
      <c r="A1328" s="41" t="s">
        <v>4382</v>
      </c>
      <c r="B1328" s="41"/>
      <c r="C1328" s="41"/>
      <c r="D1328" s="41"/>
      <c r="E1328" s="41"/>
      <c r="F1328" s="41"/>
      <c r="G1328" s="41"/>
      <c r="H1328" s="41"/>
      <c r="I1328" s="41"/>
      <c r="J1328" s="41"/>
      <c r="K1328" s="41"/>
      <c r="L1328" s="41"/>
      <c r="M1328" s="41"/>
      <c r="N1328" s="41"/>
      <c r="O1328" s="41"/>
      <c r="P1328" s="41"/>
      <c r="Q1328" s="41"/>
      <c r="R1328" s="41"/>
      <c r="S1328" s="41"/>
      <c r="T1328" s="41"/>
      <c r="U1328" s="41"/>
      <c r="V1328" s="41"/>
      <c r="W1328" s="41"/>
      <c r="X1328" s="41"/>
      <c r="Y1328" s="41"/>
      <c r="Z1328" s="24"/>
    </row>
    <row r="1329" ht="24.95" customHeight="1" outlineLevel="3" s="1" customFormat="1">
      <c r="A1329" s="15"/>
      <c r="B1329" s="16">
        <v>790</v>
      </c>
      <c r="C1329" s="17">
        <v>1146</v>
      </c>
      <c r="D1329" s="16">
        <v>22915</v>
      </c>
      <c r="E1329" s="18"/>
      <c r="F1329" s="18" t="s">
        <v>4383</v>
      </c>
      <c r="G1329" s="18" t="s">
        <v>4384</v>
      </c>
      <c r="H1329" s="18" t="s">
        <v>86</v>
      </c>
      <c r="I1329" s="18"/>
      <c r="J1329" s="16">
        <v>2025</v>
      </c>
      <c r="K1329" s="18" t="s">
        <v>4385</v>
      </c>
      <c r="L1329" s="16">
        <v>9785961482713</v>
      </c>
      <c r="M1329" s="18" t="s">
        <v>4386</v>
      </c>
      <c r="N1329" s="16">
        <v>392</v>
      </c>
      <c r="O1329" s="19">
        <v>0.61</v>
      </c>
      <c r="P1329" s="16">
        <v>150</v>
      </c>
      <c r="Q1329" s="16">
        <v>220</v>
      </c>
      <c r="R1329" s="16">
        <v>10</v>
      </c>
      <c r="S1329" s="18" t="s">
        <v>43</v>
      </c>
      <c r="T1329" s="18"/>
      <c r="U1329" s="17">
        <v>1000</v>
      </c>
      <c r="V1329" s="18" t="s">
        <v>44</v>
      </c>
      <c r="W1329" s="18" t="s">
        <v>91</v>
      </c>
      <c r="X1329" s="16">
        <v>10</v>
      </c>
      <c r="Y1329" s="43" t="str">
        <f>HYPERLINK("https://api-enni.alpina.ru/FilePrivilegesApproval/363","https://api-enni.alpina.ru/FilePrivilegesApproval/363")</f>
        <v>https://api-enni.alpina.ru/FilePrivilegesApproval/363</v>
      </c>
      <c r="Z1329" s="18"/>
      <c r="AS1329" s="1">
        <f>IF($A1329&lt;&gt;0,1,0)</f>
        <v>0</v>
      </c>
      <c r="AT1329" s="1">
        <f>$A1329*$B1329</f>
        <v>0</v>
      </c>
      <c r="AU1329" s="1">
        <f>$A1329*$O1329</f>
        <v>0</v>
      </c>
      <c r="AV1329" s="1">
        <f>IF($R1329=0,0,INT($A1329/$R1329))</f>
        <v>0</v>
      </c>
      <c r="AW1329" s="1">
        <f>$A1329-$AV1329*$R1329</f>
        <v>0</v>
      </c>
    </row>
    <row r="1330" ht="24.95" customHeight="1" outlineLevel="3" s="1" customFormat="1">
      <c r="A1330" s="15"/>
      <c r="B1330" s="16">
        <v>790</v>
      </c>
      <c r="C1330" s="17">
        <v>1146</v>
      </c>
      <c r="D1330" s="16">
        <v>24111</v>
      </c>
      <c r="E1330" s="18"/>
      <c r="F1330" s="18" t="s">
        <v>4387</v>
      </c>
      <c r="G1330" s="18" t="s">
        <v>4388</v>
      </c>
      <c r="H1330" s="18" t="s">
        <v>73</v>
      </c>
      <c r="I1330" s="18" t="s">
        <v>74</v>
      </c>
      <c r="J1330" s="16">
        <v>2024</v>
      </c>
      <c r="K1330" s="18" t="s">
        <v>4389</v>
      </c>
      <c r="L1330" s="16">
        <v>9785001398707</v>
      </c>
      <c r="M1330" s="18" t="s">
        <v>4390</v>
      </c>
      <c r="N1330" s="16">
        <v>332</v>
      </c>
      <c r="O1330" s="19">
        <v>0.29</v>
      </c>
      <c r="P1330" s="16">
        <v>140</v>
      </c>
      <c r="Q1330" s="16">
        <v>210</v>
      </c>
      <c r="R1330" s="16">
        <v>10</v>
      </c>
      <c r="S1330" s="18" t="s">
        <v>43</v>
      </c>
      <c r="T1330" s="18"/>
      <c r="U1330" s="17">
        <v>3000</v>
      </c>
      <c r="V1330" s="18" t="s">
        <v>44</v>
      </c>
      <c r="W1330" s="18" t="s">
        <v>69</v>
      </c>
      <c r="X1330" s="16">
        <v>10</v>
      </c>
      <c r="Y1330" s="43" t="str">
        <f>HYPERLINK("https://api-enni.alpina.ru/FilePrivilegesApproval/386","https://api-enni.alpina.ru/FilePrivilegesApproval/386")</f>
        <v>https://api-enni.alpina.ru/FilePrivilegesApproval/386</v>
      </c>
      <c r="Z1330" s="18"/>
      <c r="AS1330" s="1">
        <f>IF($A1330&lt;&gt;0,1,0)</f>
        <v>0</v>
      </c>
      <c r="AT1330" s="1">
        <f>$A1330*$B1330</f>
        <v>0</v>
      </c>
      <c r="AU1330" s="1">
        <f>$A1330*$O1330</f>
        <v>0</v>
      </c>
      <c r="AV1330" s="1">
        <f>IF($R1330=0,0,INT($A1330/$R1330))</f>
        <v>0</v>
      </c>
      <c r="AW1330" s="1">
        <f>$A1330-$AV1330*$R1330</f>
        <v>0</v>
      </c>
    </row>
    <row r="1331" ht="24.95" customHeight="1" outlineLevel="3" s="1" customFormat="1">
      <c r="A1331" s="25"/>
      <c r="B1331" s="26">
        <v>790</v>
      </c>
      <c r="C1331" s="29">
        <v>1146</v>
      </c>
      <c r="D1331" s="26">
        <v>25183</v>
      </c>
      <c r="E1331" s="27"/>
      <c r="F1331" s="27" t="s">
        <v>4391</v>
      </c>
      <c r="G1331" s="27" t="s">
        <v>4392</v>
      </c>
      <c r="H1331" s="27" t="s">
        <v>95</v>
      </c>
      <c r="I1331" s="27" t="s">
        <v>74</v>
      </c>
      <c r="J1331" s="26">
        <v>2022</v>
      </c>
      <c r="K1331" s="27" t="s">
        <v>4393</v>
      </c>
      <c r="L1331" s="26">
        <v>9785907534643</v>
      </c>
      <c r="M1331" s="27" t="s">
        <v>4394</v>
      </c>
      <c r="N1331" s="26">
        <v>280</v>
      </c>
      <c r="O1331" s="28">
        <v>0.45</v>
      </c>
      <c r="P1331" s="26">
        <v>146</v>
      </c>
      <c r="Q1331" s="26">
        <v>216</v>
      </c>
      <c r="R1331" s="26">
        <v>8</v>
      </c>
      <c r="S1331" s="27" t="s">
        <v>43</v>
      </c>
      <c r="T1331" s="27"/>
      <c r="U1331" s="29">
        <v>1200</v>
      </c>
      <c r="V1331" s="27" t="s">
        <v>77</v>
      </c>
      <c r="W1331" s="27" t="s">
        <v>69</v>
      </c>
      <c r="X1331" s="26">
        <v>10</v>
      </c>
      <c r="Y1331" s="45" t="str">
        <f>HYPERLINK("https://api-enni.alpina.ru/FilePrivilegesApproval/237","https://api-enni.alpina.ru/FilePrivilegesApproval/237")</f>
        <v>https://api-enni.alpina.ru/FilePrivilegesApproval/237</v>
      </c>
      <c r="Z1331" s="27"/>
      <c r="AS1331" s="1">
        <f>IF($A1331&lt;&gt;0,1,0)</f>
        <v>0</v>
      </c>
      <c r="AT1331" s="1">
        <f>$A1331*$B1331</f>
        <v>0</v>
      </c>
      <c r="AU1331" s="1">
        <f>$A1331*$O1331</f>
        <v>0</v>
      </c>
      <c r="AV1331" s="1">
        <f>IF($R1331=0,0,INT($A1331/$R1331))</f>
        <v>0</v>
      </c>
      <c r="AW1331" s="1">
        <f>$A1331-$AV1331*$R1331</f>
        <v>0</v>
      </c>
    </row>
    <row r="1332" ht="11.1" customHeight="1" outlineLevel="2">
      <c r="A1332" s="41" t="s">
        <v>4395</v>
      </c>
      <c r="B1332" s="41"/>
      <c r="C1332" s="41"/>
      <c r="D1332" s="41"/>
      <c r="E1332" s="41"/>
      <c r="F1332" s="41"/>
      <c r="G1332" s="41"/>
      <c r="H1332" s="41"/>
      <c r="I1332" s="41"/>
      <c r="J1332" s="41"/>
      <c r="K1332" s="41"/>
      <c r="L1332" s="41"/>
      <c r="M1332" s="41"/>
      <c r="N1332" s="41"/>
      <c r="O1332" s="41"/>
      <c r="P1332" s="41"/>
      <c r="Q1332" s="41"/>
      <c r="R1332" s="41"/>
      <c r="S1332" s="41"/>
      <c r="T1332" s="41"/>
      <c r="U1332" s="41"/>
      <c r="V1332" s="41"/>
      <c r="W1332" s="41"/>
      <c r="X1332" s="41"/>
      <c r="Y1332" s="41"/>
      <c r="Z1332" s="24"/>
    </row>
    <row r="1333" ht="24.95" customHeight="1" outlineLevel="3" s="1" customFormat="1">
      <c r="A1333" s="15"/>
      <c r="B1333" s="16">
        <v>590</v>
      </c>
      <c r="C1333" s="16">
        <v>885</v>
      </c>
      <c r="D1333" s="16">
        <v>17981</v>
      </c>
      <c r="E1333" s="18"/>
      <c r="F1333" s="18" t="s">
        <v>4396</v>
      </c>
      <c r="G1333" s="18" t="s">
        <v>4397</v>
      </c>
      <c r="H1333" s="18" t="s">
        <v>86</v>
      </c>
      <c r="I1333" s="18" t="s">
        <v>74</v>
      </c>
      <c r="J1333" s="16">
        <v>2024</v>
      </c>
      <c r="K1333" s="18" t="s">
        <v>4398</v>
      </c>
      <c r="L1333" s="16">
        <v>9785961432725</v>
      </c>
      <c r="M1333" s="18" t="s">
        <v>4399</v>
      </c>
      <c r="N1333" s="16">
        <v>448</v>
      </c>
      <c r="O1333" s="19">
        <v>0.64</v>
      </c>
      <c r="P1333" s="16">
        <v>150</v>
      </c>
      <c r="Q1333" s="16">
        <v>220</v>
      </c>
      <c r="R1333" s="16">
        <v>10</v>
      </c>
      <c r="S1333" s="18" t="s">
        <v>43</v>
      </c>
      <c r="T1333" s="18"/>
      <c r="U1333" s="17">
        <v>3000</v>
      </c>
      <c r="V1333" s="18" t="s">
        <v>77</v>
      </c>
      <c r="W1333" s="18" t="s">
        <v>45</v>
      </c>
      <c r="X1333" s="16">
        <v>10</v>
      </c>
      <c r="Y1333" s="43" t="str">
        <f>HYPERLINK("https://api-enni.alpina.ru/FilePrivilegesApproval/302","https://api-enni.alpina.ru/FilePrivilegesApproval/302")</f>
        <v>https://api-enni.alpina.ru/FilePrivilegesApproval/302</v>
      </c>
      <c r="Z1333" s="18"/>
      <c r="AS1333" s="1">
        <f>IF($A1333&lt;&gt;0,1,0)</f>
        <v>0</v>
      </c>
      <c r="AT1333" s="1">
        <f>$A1333*$B1333</f>
        <v>0</v>
      </c>
      <c r="AU1333" s="1">
        <f>$A1333*$O1333</f>
        <v>0</v>
      </c>
      <c r="AV1333" s="1">
        <f>IF($R1333=0,0,INT($A1333/$R1333))</f>
        <v>0</v>
      </c>
      <c r="AW1333" s="1">
        <f>$A1333-$AV1333*$R1333</f>
        <v>0</v>
      </c>
    </row>
    <row r="1334" ht="24.95" customHeight="1" outlineLevel="3" s="1" customFormat="1">
      <c r="A1334" s="15"/>
      <c r="B1334" s="16">
        <v>890</v>
      </c>
      <c r="C1334" s="17">
        <v>1246</v>
      </c>
      <c r="D1334" s="16">
        <v>20674</v>
      </c>
      <c r="E1334" s="18"/>
      <c r="F1334" s="18" t="s">
        <v>4400</v>
      </c>
      <c r="G1334" s="18" t="s">
        <v>4401</v>
      </c>
      <c r="H1334" s="18" t="s">
        <v>73</v>
      </c>
      <c r="I1334" s="18" t="s">
        <v>74</v>
      </c>
      <c r="J1334" s="16">
        <v>2024</v>
      </c>
      <c r="K1334" s="18" t="s">
        <v>4402</v>
      </c>
      <c r="L1334" s="16">
        <v>9785002230945</v>
      </c>
      <c r="M1334" s="18" t="s">
        <v>4403</v>
      </c>
      <c r="N1334" s="16">
        <v>448</v>
      </c>
      <c r="O1334" s="19">
        <v>0.52</v>
      </c>
      <c r="P1334" s="16">
        <v>150</v>
      </c>
      <c r="Q1334" s="16">
        <v>220</v>
      </c>
      <c r="R1334" s="16">
        <v>8</v>
      </c>
      <c r="S1334" s="18" t="s">
        <v>43</v>
      </c>
      <c r="T1334" s="18"/>
      <c r="U1334" s="17">
        <v>2000</v>
      </c>
      <c r="V1334" s="18" t="s">
        <v>77</v>
      </c>
      <c r="W1334" s="18" t="s">
        <v>91</v>
      </c>
      <c r="X1334" s="16">
        <v>10</v>
      </c>
      <c r="Y1334" s="43" t="str">
        <f>HYPERLINK("https://api-enni.alpina.ru/FilePrivilegesApproval/317","https://api-enni.alpina.ru/FilePrivilegesApproval/317")</f>
        <v>https://api-enni.alpina.ru/FilePrivilegesApproval/317</v>
      </c>
      <c r="Z1334" s="18"/>
      <c r="AS1334" s="1">
        <f>IF($A1334&lt;&gt;0,1,0)</f>
        <v>0</v>
      </c>
      <c r="AT1334" s="1">
        <f>$A1334*$B1334</f>
        <v>0</v>
      </c>
      <c r="AU1334" s="1">
        <f>$A1334*$O1334</f>
        <v>0</v>
      </c>
      <c r="AV1334" s="1">
        <f>IF($R1334=0,0,INT($A1334/$R1334))</f>
        <v>0</v>
      </c>
      <c r="AW1334" s="1">
        <f>$A1334-$AV1334*$R1334</f>
        <v>0</v>
      </c>
    </row>
    <row r="1335" ht="24.95" customHeight="1" outlineLevel="3" s="1" customFormat="1">
      <c r="A1335" s="15"/>
      <c r="B1335" s="17">
        <v>1090</v>
      </c>
      <c r="C1335" s="17">
        <v>1472</v>
      </c>
      <c r="D1335" s="16">
        <v>31391</v>
      </c>
      <c r="E1335" s="18"/>
      <c r="F1335" s="18" t="s">
        <v>4404</v>
      </c>
      <c r="G1335" s="18" t="s">
        <v>4405</v>
      </c>
      <c r="H1335" s="18" t="s">
        <v>86</v>
      </c>
      <c r="I1335" s="18" t="s">
        <v>40</v>
      </c>
      <c r="J1335" s="16">
        <v>2025</v>
      </c>
      <c r="K1335" s="18" t="s">
        <v>4406</v>
      </c>
      <c r="L1335" s="16">
        <v>9785961498516</v>
      </c>
      <c r="M1335" s="18" t="s">
        <v>4407</v>
      </c>
      <c r="N1335" s="16">
        <v>291</v>
      </c>
      <c r="O1335" s="19">
        <v>0.59</v>
      </c>
      <c r="P1335" s="16">
        <v>170</v>
      </c>
      <c r="Q1335" s="16">
        <v>240</v>
      </c>
      <c r="R1335" s="16">
        <v>8</v>
      </c>
      <c r="S1335" s="18" t="s">
        <v>123</v>
      </c>
      <c r="T1335" s="18"/>
      <c r="U1335" s="17">
        <v>2000</v>
      </c>
      <c r="V1335" s="18" t="s">
        <v>44</v>
      </c>
      <c r="W1335" s="18" t="s">
        <v>69</v>
      </c>
      <c r="X1335" s="16">
        <v>10</v>
      </c>
      <c r="Y1335" s="43" t="str">
        <f>HYPERLINK("https://api-enni.alpina.ru/FilePrivilegesApproval/921","https://api-enni.alpina.ru/FilePrivilegesApproval/921")</f>
        <v>https://api-enni.alpina.ru/FilePrivilegesApproval/921</v>
      </c>
      <c r="Z1335" s="18"/>
      <c r="AS1335" s="1">
        <f>IF($A1335&lt;&gt;0,1,0)</f>
        <v>0</v>
      </c>
      <c r="AT1335" s="1">
        <f>$A1335*$B1335</f>
        <v>0</v>
      </c>
      <c r="AU1335" s="1">
        <f>$A1335*$O1335</f>
        <v>0</v>
      </c>
      <c r="AV1335" s="1">
        <f>IF($R1335=0,0,INT($A1335/$R1335))</f>
        <v>0</v>
      </c>
      <c r="AW1335" s="1">
        <f>$A1335-$AV1335*$R1335</f>
        <v>0</v>
      </c>
    </row>
    <row r="1336" ht="24.95" customHeight="1" outlineLevel="3" s="1" customFormat="1">
      <c r="A1336" s="15"/>
      <c r="B1336" s="16">
        <v>640</v>
      </c>
      <c r="C1336" s="16">
        <v>960</v>
      </c>
      <c r="D1336" s="16">
        <v>24713</v>
      </c>
      <c r="E1336" s="18"/>
      <c r="F1336" s="18" t="s">
        <v>4408</v>
      </c>
      <c r="G1336" s="18" t="s">
        <v>4409</v>
      </c>
      <c r="H1336" s="18" t="s">
        <v>86</v>
      </c>
      <c r="I1336" s="18" t="s">
        <v>74</v>
      </c>
      <c r="J1336" s="16">
        <v>2023</v>
      </c>
      <c r="K1336" s="18" t="s">
        <v>4410</v>
      </c>
      <c r="L1336" s="16">
        <v>9785961476972</v>
      </c>
      <c r="M1336" s="18" t="s">
        <v>4411</v>
      </c>
      <c r="N1336" s="16">
        <v>224</v>
      </c>
      <c r="O1336" s="19">
        <v>0.37</v>
      </c>
      <c r="P1336" s="16">
        <v>150</v>
      </c>
      <c r="Q1336" s="16">
        <v>220</v>
      </c>
      <c r="R1336" s="16">
        <v>20</v>
      </c>
      <c r="S1336" s="18" t="s">
        <v>43</v>
      </c>
      <c r="T1336" s="18"/>
      <c r="U1336" s="17">
        <v>2500</v>
      </c>
      <c r="V1336" s="18" t="s">
        <v>77</v>
      </c>
      <c r="W1336" s="18" t="s">
        <v>91</v>
      </c>
      <c r="X1336" s="16">
        <v>10</v>
      </c>
      <c r="Y1336" s="43" t="str">
        <f>HYPERLINK("https://api-enni.alpina.ru/FilePrivilegesApproval/177","https://api-enni.alpina.ru/FilePrivilegesApproval/177")</f>
        <v>https://api-enni.alpina.ru/FilePrivilegesApproval/177</v>
      </c>
      <c r="Z1336" s="18"/>
      <c r="AS1336" s="1">
        <f>IF($A1336&lt;&gt;0,1,0)</f>
        <v>0</v>
      </c>
      <c r="AT1336" s="1">
        <f>$A1336*$B1336</f>
        <v>0</v>
      </c>
      <c r="AU1336" s="1">
        <f>$A1336*$O1336</f>
        <v>0</v>
      </c>
      <c r="AV1336" s="1">
        <f>IF($R1336=0,0,INT($A1336/$R1336))</f>
        <v>0</v>
      </c>
      <c r="AW1336" s="1">
        <f>$A1336-$AV1336*$R1336</f>
        <v>0</v>
      </c>
    </row>
    <row r="1337" ht="24.95" customHeight="1" outlineLevel="3" s="1" customFormat="1">
      <c r="A1337" s="15"/>
      <c r="B1337" s="16">
        <v>640</v>
      </c>
      <c r="C1337" s="16">
        <v>960</v>
      </c>
      <c r="D1337" s="16">
        <v>28024</v>
      </c>
      <c r="E1337" s="18"/>
      <c r="F1337" s="18" t="s">
        <v>4412</v>
      </c>
      <c r="G1337" s="18" t="s">
        <v>4413</v>
      </c>
      <c r="H1337" s="18" t="s">
        <v>86</v>
      </c>
      <c r="I1337" s="18"/>
      <c r="J1337" s="16">
        <v>2024</v>
      </c>
      <c r="K1337" s="18" t="s">
        <v>4414</v>
      </c>
      <c r="L1337" s="16">
        <v>9785961487053</v>
      </c>
      <c r="M1337" s="18" t="s">
        <v>4415</v>
      </c>
      <c r="N1337" s="16">
        <v>330</v>
      </c>
      <c r="O1337" s="19">
        <v>0.38</v>
      </c>
      <c r="P1337" s="16">
        <v>150</v>
      </c>
      <c r="Q1337" s="16">
        <v>220</v>
      </c>
      <c r="R1337" s="16">
        <v>8</v>
      </c>
      <c r="S1337" s="18" t="s">
        <v>43</v>
      </c>
      <c r="T1337" s="18"/>
      <c r="U1337" s="17">
        <v>2000</v>
      </c>
      <c r="V1337" s="18" t="s">
        <v>77</v>
      </c>
      <c r="W1337" s="18" t="s">
        <v>69</v>
      </c>
      <c r="X1337" s="16">
        <v>10</v>
      </c>
      <c r="Y1337" s="43" t="str">
        <f>HYPERLINK("https://api-enni.alpina.ru/FilePrivilegesApproval/363","https://api-enni.alpina.ru/FilePrivilegesApproval/363")</f>
        <v>https://api-enni.alpina.ru/FilePrivilegesApproval/363</v>
      </c>
      <c r="Z1337" s="18"/>
      <c r="AS1337" s="1">
        <f>IF($A1337&lt;&gt;0,1,0)</f>
        <v>0</v>
      </c>
      <c r="AT1337" s="1">
        <f>$A1337*$B1337</f>
        <v>0</v>
      </c>
      <c r="AU1337" s="1">
        <f>$A1337*$O1337</f>
        <v>0</v>
      </c>
      <c r="AV1337" s="1">
        <f>IF($R1337=0,0,INT($A1337/$R1337))</f>
        <v>0</v>
      </c>
      <c r="AW1337" s="1">
        <f>$A1337-$AV1337*$R1337</f>
        <v>0</v>
      </c>
    </row>
    <row r="1338" ht="24.95" customHeight="1" outlineLevel="3" s="1" customFormat="1">
      <c r="A1338" s="15"/>
      <c r="B1338" s="16">
        <v>790</v>
      </c>
      <c r="C1338" s="17">
        <v>1146</v>
      </c>
      <c r="D1338" s="16">
        <v>9145</v>
      </c>
      <c r="E1338" s="18"/>
      <c r="F1338" s="18" t="s">
        <v>3044</v>
      </c>
      <c r="G1338" s="18" t="s">
        <v>4416</v>
      </c>
      <c r="H1338" s="18" t="s">
        <v>86</v>
      </c>
      <c r="I1338" s="18"/>
      <c r="J1338" s="16">
        <v>2025</v>
      </c>
      <c r="K1338" s="18" t="s">
        <v>4417</v>
      </c>
      <c r="L1338" s="16">
        <v>9785961413830</v>
      </c>
      <c r="M1338" s="18" t="s">
        <v>4418</v>
      </c>
      <c r="N1338" s="16">
        <v>315</v>
      </c>
      <c r="O1338" s="19">
        <v>0.65</v>
      </c>
      <c r="P1338" s="16">
        <v>190</v>
      </c>
      <c r="Q1338" s="16">
        <v>240</v>
      </c>
      <c r="R1338" s="16">
        <v>5</v>
      </c>
      <c r="S1338" s="18" t="s">
        <v>328</v>
      </c>
      <c r="T1338" s="18"/>
      <c r="U1338" s="17">
        <v>4000</v>
      </c>
      <c r="V1338" s="18" t="s">
        <v>1667</v>
      </c>
      <c r="W1338" s="18" t="s">
        <v>45</v>
      </c>
      <c r="X1338" s="16">
        <v>10</v>
      </c>
      <c r="Y1338" s="43" t="str">
        <f>HYPERLINK("https://api-enni.alpina.ru/FilePrivilegesApproval/152","https://api-enni.alpina.ru/FilePrivilegesApproval/152")</f>
        <v>https://api-enni.alpina.ru/FilePrivilegesApproval/152</v>
      </c>
      <c r="Z1338" s="18"/>
      <c r="AS1338" s="1">
        <f>IF($A1338&lt;&gt;0,1,0)</f>
        <v>0</v>
      </c>
      <c r="AT1338" s="1">
        <f>$A1338*$B1338</f>
        <v>0</v>
      </c>
      <c r="AU1338" s="1">
        <f>$A1338*$O1338</f>
        <v>0</v>
      </c>
      <c r="AV1338" s="1">
        <f>IF($R1338=0,0,INT($A1338/$R1338))</f>
        <v>0</v>
      </c>
      <c r="AW1338" s="1">
        <f>$A1338-$AV1338*$R1338</f>
        <v>0</v>
      </c>
    </row>
    <row r="1339" ht="24.95" customHeight="1" outlineLevel="3" s="1" customFormat="1">
      <c r="A1339" s="15"/>
      <c r="B1339" s="16">
        <v>590</v>
      </c>
      <c r="C1339" s="16">
        <v>885</v>
      </c>
      <c r="D1339" s="16">
        <v>19478</v>
      </c>
      <c r="E1339" s="18"/>
      <c r="F1339" s="18" t="s">
        <v>4419</v>
      </c>
      <c r="G1339" s="18" t="s">
        <v>4420</v>
      </c>
      <c r="H1339" s="18" t="s">
        <v>86</v>
      </c>
      <c r="I1339" s="18" t="s">
        <v>74</v>
      </c>
      <c r="J1339" s="16">
        <v>2022</v>
      </c>
      <c r="K1339" s="18" t="s">
        <v>4421</v>
      </c>
      <c r="L1339" s="16">
        <v>9785961464443</v>
      </c>
      <c r="M1339" s="18" t="s">
        <v>4422</v>
      </c>
      <c r="N1339" s="16">
        <v>310</v>
      </c>
      <c r="O1339" s="19">
        <v>0.46</v>
      </c>
      <c r="P1339" s="16">
        <v>146</v>
      </c>
      <c r="Q1339" s="16">
        <v>216</v>
      </c>
      <c r="R1339" s="16">
        <v>12</v>
      </c>
      <c r="S1339" s="18" t="s">
        <v>43</v>
      </c>
      <c r="T1339" s="18"/>
      <c r="U1339" s="17">
        <v>1500</v>
      </c>
      <c r="V1339" s="18" t="s">
        <v>77</v>
      </c>
      <c r="W1339" s="18" t="s">
        <v>45</v>
      </c>
      <c r="X1339" s="16">
        <v>10</v>
      </c>
      <c r="Y1339" s="43" t="str">
        <f>HYPERLINK("https://api-enni.alpina.ru/FilePrivilegesApproval/135","https://api-enni.alpina.ru/FilePrivilegesApproval/135")</f>
        <v>https://api-enni.alpina.ru/FilePrivilegesApproval/135</v>
      </c>
      <c r="Z1339" s="18"/>
      <c r="AS1339" s="1">
        <f>IF($A1339&lt;&gt;0,1,0)</f>
        <v>0</v>
      </c>
      <c r="AT1339" s="1">
        <f>$A1339*$B1339</f>
        <v>0</v>
      </c>
      <c r="AU1339" s="1">
        <f>$A1339*$O1339</f>
        <v>0</v>
      </c>
      <c r="AV1339" s="1">
        <f>IF($R1339=0,0,INT($A1339/$R1339))</f>
        <v>0</v>
      </c>
      <c r="AW1339" s="1">
        <f>$A1339-$AV1339*$R1339</f>
        <v>0</v>
      </c>
    </row>
    <row r="1340" ht="24.95" customHeight="1" outlineLevel="3" s="1" customFormat="1">
      <c r="A1340" s="15"/>
      <c r="B1340" s="16">
        <v>590</v>
      </c>
      <c r="C1340" s="16">
        <v>885</v>
      </c>
      <c r="D1340" s="16">
        <v>26211</v>
      </c>
      <c r="E1340" s="18"/>
      <c r="F1340" s="18" t="s">
        <v>3044</v>
      </c>
      <c r="G1340" s="18" t="s">
        <v>4423</v>
      </c>
      <c r="H1340" s="18" t="s">
        <v>86</v>
      </c>
      <c r="I1340" s="18"/>
      <c r="J1340" s="16">
        <v>2025</v>
      </c>
      <c r="K1340" s="18" t="s">
        <v>4424</v>
      </c>
      <c r="L1340" s="16">
        <v>9785961480764</v>
      </c>
      <c r="M1340" s="18" t="s">
        <v>4425</v>
      </c>
      <c r="N1340" s="16">
        <v>220</v>
      </c>
      <c r="O1340" s="19">
        <v>0.28</v>
      </c>
      <c r="P1340" s="16">
        <v>150</v>
      </c>
      <c r="Q1340" s="16">
        <v>210</v>
      </c>
      <c r="R1340" s="16">
        <v>20</v>
      </c>
      <c r="S1340" s="18" t="s">
        <v>43</v>
      </c>
      <c r="T1340" s="18"/>
      <c r="U1340" s="17">
        <v>1000</v>
      </c>
      <c r="V1340" s="18" t="s">
        <v>44</v>
      </c>
      <c r="W1340" s="18" t="s">
        <v>45</v>
      </c>
      <c r="X1340" s="16">
        <v>10</v>
      </c>
      <c r="Y1340" s="43" t="str">
        <f>HYPERLINK("https://api-enni.alpina.ru/FilePrivilegesApproval/299","https://api-enni.alpina.ru/FilePrivilegesApproval/299")</f>
        <v>https://api-enni.alpina.ru/FilePrivilegesApproval/299</v>
      </c>
      <c r="Z1340" s="18"/>
      <c r="AS1340" s="1">
        <f>IF($A1340&lt;&gt;0,1,0)</f>
        <v>0</v>
      </c>
      <c r="AT1340" s="1">
        <f>$A1340*$B1340</f>
        <v>0</v>
      </c>
      <c r="AU1340" s="1">
        <f>$A1340*$O1340</f>
        <v>0</v>
      </c>
      <c r="AV1340" s="1">
        <f>IF($R1340=0,0,INT($A1340/$R1340))</f>
        <v>0</v>
      </c>
      <c r="AW1340" s="1">
        <f>$A1340-$AV1340*$R1340</f>
        <v>0</v>
      </c>
    </row>
    <row r="1341" ht="24.95" customHeight="1" outlineLevel="3" s="1" customFormat="1">
      <c r="A1341" s="15"/>
      <c r="B1341" s="16">
        <v>790</v>
      </c>
      <c r="C1341" s="17">
        <v>1146</v>
      </c>
      <c r="D1341" s="16">
        <v>32841</v>
      </c>
      <c r="E1341" s="18"/>
      <c r="F1341" s="18" t="s">
        <v>4426</v>
      </c>
      <c r="G1341" s="18" t="s">
        <v>4427</v>
      </c>
      <c r="H1341" s="18" t="s">
        <v>86</v>
      </c>
      <c r="I1341" s="18" t="s">
        <v>74</v>
      </c>
      <c r="J1341" s="16">
        <v>2026</v>
      </c>
      <c r="K1341" s="18" t="s">
        <v>4428</v>
      </c>
      <c r="L1341" s="16">
        <v>9785006303188</v>
      </c>
      <c r="M1341" s="18" t="s">
        <v>4429</v>
      </c>
      <c r="N1341" s="16">
        <v>336</v>
      </c>
      <c r="O1341" s="19">
        <v>0.51</v>
      </c>
      <c r="P1341" s="16">
        <v>150</v>
      </c>
      <c r="Q1341" s="16">
        <v>220</v>
      </c>
      <c r="R1341" s="16">
        <v>12</v>
      </c>
      <c r="S1341" s="18" t="s">
        <v>43</v>
      </c>
      <c r="T1341" s="18"/>
      <c r="U1341" s="17">
        <v>2000</v>
      </c>
      <c r="V1341" s="18" t="s">
        <v>77</v>
      </c>
      <c r="W1341" s="18" t="s">
        <v>45</v>
      </c>
      <c r="X1341" s="16">
        <v>10</v>
      </c>
      <c r="Y1341" s="43" t="str">
        <f>HYPERLINK("https://api-enni.alpina.ru/FilePrivilegesApproval/1163","https://api-enni.alpina.ru/FilePrivilegesApproval/1163")</f>
        <v>https://api-enni.alpina.ru/FilePrivilegesApproval/1163</v>
      </c>
      <c r="Z1341" s="18" t="s">
        <v>744</v>
      </c>
      <c r="AS1341" s="1">
        <f>IF($A1341&lt;&gt;0,1,0)</f>
        <v>0</v>
      </c>
      <c r="AT1341" s="1">
        <f>$A1341*$B1341</f>
        <v>0</v>
      </c>
      <c r="AU1341" s="1">
        <f>$A1341*$O1341</f>
        <v>0</v>
      </c>
      <c r="AV1341" s="1">
        <f>IF($R1341=0,0,INT($A1341/$R1341))</f>
        <v>0</v>
      </c>
      <c r="AW1341" s="1">
        <f>$A1341-$AV1341*$R1341</f>
        <v>0</v>
      </c>
    </row>
    <row r="1342" ht="24.95" customHeight="1" outlineLevel="3" s="1" customFormat="1">
      <c r="A1342" s="15"/>
      <c r="B1342" s="16">
        <v>490</v>
      </c>
      <c r="C1342" s="16">
        <v>760</v>
      </c>
      <c r="D1342" s="16">
        <v>25640</v>
      </c>
      <c r="E1342" s="18"/>
      <c r="F1342" s="18" t="s">
        <v>4430</v>
      </c>
      <c r="G1342" s="18" t="s">
        <v>4431</v>
      </c>
      <c r="H1342" s="18" t="s">
        <v>86</v>
      </c>
      <c r="I1342" s="18"/>
      <c r="J1342" s="16">
        <v>2023</v>
      </c>
      <c r="K1342" s="18" t="s">
        <v>4432</v>
      </c>
      <c r="L1342" s="16">
        <v>9785961478266</v>
      </c>
      <c r="M1342" s="18" t="s">
        <v>4433</v>
      </c>
      <c r="N1342" s="16">
        <v>208</v>
      </c>
      <c r="O1342" s="19">
        <v>0.26</v>
      </c>
      <c r="P1342" s="16">
        <v>140</v>
      </c>
      <c r="Q1342" s="16">
        <v>210</v>
      </c>
      <c r="R1342" s="16">
        <v>20</v>
      </c>
      <c r="S1342" s="18" t="s">
        <v>43</v>
      </c>
      <c r="T1342" s="18"/>
      <c r="U1342" s="17">
        <v>2000</v>
      </c>
      <c r="V1342" s="18" t="s">
        <v>44</v>
      </c>
      <c r="W1342" s="18" t="s">
        <v>91</v>
      </c>
      <c r="X1342" s="16">
        <v>10</v>
      </c>
      <c r="Y1342" s="43" t="str">
        <f>HYPERLINK("https://api-enni.alpina.ru/FilePrivilegesApproval/296","https://api-enni.alpina.ru/FilePrivilegesApproval/296")</f>
        <v>https://api-enni.alpina.ru/FilePrivilegesApproval/296</v>
      </c>
      <c r="Z1342" s="18"/>
      <c r="AS1342" s="1">
        <f>IF($A1342&lt;&gt;0,1,0)</f>
        <v>0</v>
      </c>
      <c r="AT1342" s="1">
        <f>$A1342*$B1342</f>
        <v>0</v>
      </c>
      <c r="AU1342" s="1">
        <f>$A1342*$O1342</f>
        <v>0</v>
      </c>
      <c r="AV1342" s="1">
        <f>IF($R1342=0,0,INT($A1342/$R1342))</f>
        <v>0</v>
      </c>
      <c r="AW1342" s="1">
        <f>$A1342-$AV1342*$R1342</f>
        <v>0</v>
      </c>
    </row>
    <row r="1343" ht="24.95" customHeight="1" outlineLevel="3" s="1" customFormat="1">
      <c r="A1343" s="15"/>
      <c r="B1343" s="16">
        <v>690</v>
      </c>
      <c r="C1343" s="17">
        <v>1035</v>
      </c>
      <c r="D1343" s="16">
        <v>28755</v>
      </c>
      <c r="E1343" s="18"/>
      <c r="F1343" s="18" t="s">
        <v>4434</v>
      </c>
      <c r="G1343" s="18" t="s">
        <v>4435</v>
      </c>
      <c r="H1343" s="18" t="s">
        <v>86</v>
      </c>
      <c r="I1343" s="18"/>
      <c r="J1343" s="16">
        <v>2024</v>
      </c>
      <c r="K1343" s="18" t="s">
        <v>4436</v>
      </c>
      <c r="L1343" s="16">
        <v>9785961489958</v>
      </c>
      <c r="M1343" s="18" t="s">
        <v>4437</v>
      </c>
      <c r="N1343" s="16">
        <v>220</v>
      </c>
      <c r="O1343" s="19">
        <v>0.44</v>
      </c>
      <c r="P1343" s="16">
        <v>150</v>
      </c>
      <c r="Q1343" s="16">
        <v>220</v>
      </c>
      <c r="R1343" s="16">
        <v>14</v>
      </c>
      <c r="S1343" s="18" t="s">
        <v>43</v>
      </c>
      <c r="T1343" s="18"/>
      <c r="U1343" s="17">
        <v>2000</v>
      </c>
      <c r="V1343" s="18" t="s">
        <v>77</v>
      </c>
      <c r="W1343" s="18" t="s">
        <v>69</v>
      </c>
      <c r="X1343" s="16">
        <v>10</v>
      </c>
      <c r="Y1343" s="43" t="str">
        <f>HYPERLINK("https://api-enni.alpina.ru/FilePrivilegesApproval/371","https://api-enni.alpina.ru/FilePrivilegesApproval/371")</f>
        <v>https://api-enni.alpina.ru/FilePrivilegesApproval/371</v>
      </c>
      <c r="Z1343" s="18"/>
      <c r="AS1343" s="1">
        <f>IF($A1343&lt;&gt;0,1,0)</f>
        <v>0</v>
      </c>
      <c r="AT1343" s="1">
        <f>$A1343*$B1343</f>
        <v>0</v>
      </c>
      <c r="AU1343" s="1">
        <f>$A1343*$O1343</f>
        <v>0</v>
      </c>
      <c r="AV1343" s="1">
        <f>IF($R1343=0,0,INT($A1343/$R1343))</f>
        <v>0</v>
      </c>
      <c r="AW1343" s="1">
        <f>$A1343-$AV1343*$R1343</f>
        <v>0</v>
      </c>
    </row>
    <row r="1344" ht="24.95" customHeight="1" outlineLevel="3" s="1" customFormat="1">
      <c r="A1344" s="15"/>
      <c r="B1344" s="16">
        <v>390</v>
      </c>
      <c r="C1344" s="16">
        <v>624</v>
      </c>
      <c r="D1344" s="16">
        <v>30574</v>
      </c>
      <c r="E1344" s="18"/>
      <c r="F1344" s="18" t="s">
        <v>4438</v>
      </c>
      <c r="G1344" s="18" t="s">
        <v>4439</v>
      </c>
      <c r="H1344" s="18" t="s">
        <v>86</v>
      </c>
      <c r="I1344" s="18" t="s">
        <v>74</v>
      </c>
      <c r="J1344" s="16">
        <v>2024</v>
      </c>
      <c r="K1344" s="18" t="s">
        <v>4440</v>
      </c>
      <c r="L1344" s="16">
        <v>9785961495898</v>
      </c>
      <c r="M1344" s="18" t="s">
        <v>4441</v>
      </c>
      <c r="N1344" s="16">
        <v>266</v>
      </c>
      <c r="O1344" s="19">
        <v>0.18</v>
      </c>
      <c r="P1344" s="16">
        <v>120</v>
      </c>
      <c r="Q1344" s="16">
        <v>170</v>
      </c>
      <c r="R1344" s="16">
        <v>20</v>
      </c>
      <c r="S1344" s="18" t="s">
        <v>190</v>
      </c>
      <c r="T1344" s="18" t="s">
        <v>1597</v>
      </c>
      <c r="U1344" s="17">
        <v>2000</v>
      </c>
      <c r="V1344" s="18" t="s">
        <v>44</v>
      </c>
      <c r="W1344" s="18" t="s">
        <v>69</v>
      </c>
      <c r="X1344" s="16">
        <v>10</v>
      </c>
      <c r="Y1344" s="43" t="str">
        <f>HYPERLINK("https://api-enni.alpina.ru/FilePrivilegesApproval/405","https://api-enni.alpina.ru/FilePrivilegesApproval/405")</f>
        <v>https://api-enni.alpina.ru/FilePrivilegesApproval/405</v>
      </c>
      <c r="Z1344" s="18"/>
      <c r="AS1344" s="1">
        <f>IF($A1344&lt;&gt;0,1,0)</f>
        <v>0</v>
      </c>
      <c r="AT1344" s="1">
        <f>$A1344*$B1344</f>
        <v>0</v>
      </c>
      <c r="AU1344" s="1">
        <f>$A1344*$O1344</f>
        <v>0</v>
      </c>
      <c r="AV1344" s="1">
        <f>IF($R1344=0,0,INT($A1344/$R1344))</f>
        <v>0</v>
      </c>
      <c r="AW1344" s="1">
        <f>$A1344-$AV1344*$R1344</f>
        <v>0</v>
      </c>
    </row>
    <row r="1345" ht="24.95" customHeight="1" outlineLevel="3" s="1" customFormat="1">
      <c r="A1345" s="15"/>
      <c r="B1345" s="16">
        <v>590</v>
      </c>
      <c r="C1345" s="16">
        <v>885</v>
      </c>
      <c r="D1345" s="16">
        <v>25235</v>
      </c>
      <c r="E1345" s="18"/>
      <c r="F1345" s="18" t="s">
        <v>4442</v>
      </c>
      <c r="G1345" s="18" t="s">
        <v>4443</v>
      </c>
      <c r="H1345" s="18" t="s">
        <v>86</v>
      </c>
      <c r="I1345" s="18" t="s">
        <v>74</v>
      </c>
      <c r="J1345" s="16">
        <v>2026</v>
      </c>
      <c r="K1345" s="18" t="s">
        <v>4444</v>
      </c>
      <c r="L1345" s="16">
        <v>9785961477191</v>
      </c>
      <c r="M1345" s="18" t="s">
        <v>4445</v>
      </c>
      <c r="N1345" s="16">
        <v>214</v>
      </c>
      <c r="O1345" s="19">
        <v>0.4</v>
      </c>
      <c r="P1345" s="16">
        <v>150</v>
      </c>
      <c r="Q1345" s="16">
        <v>220</v>
      </c>
      <c r="R1345" s="16">
        <v>10</v>
      </c>
      <c r="S1345" s="18" t="s">
        <v>43</v>
      </c>
      <c r="T1345" s="18"/>
      <c r="U1345" s="17">
        <v>1000</v>
      </c>
      <c r="V1345" s="18" t="s">
        <v>77</v>
      </c>
      <c r="W1345" s="18" t="s">
        <v>69</v>
      </c>
      <c r="X1345" s="16">
        <v>10</v>
      </c>
      <c r="Y1345" s="43" t="str">
        <f>HYPERLINK("https://api-enni.alpina.ru/FilePrivilegesApproval/157","https://api-enni.alpina.ru/FilePrivilegesApproval/157")</f>
        <v>https://api-enni.alpina.ru/FilePrivilegesApproval/157</v>
      </c>
      <c r="Z1345" s="18"/>
      <c r="AS1345" s="1">
        <f>IF($A1345&lt;&gt;0,1,0)</f>
        <v>0</v>
      </c>
      <c r="AT1345" s="1">
        <f>$A1345*$B1345</f>
        <v>0</v>
      </c>
      <c r="AU1345" s="1">
        <f>$A1345*$O1345</f>
        <v>0</v>
      </c>
      <c r="AV1345" s="1">
        <f>IF($R1345=0,0,INT($A1345/$R1345))</f>
        <v>0</v>
      </c>
      <c r="AW1345" s="1">
        <f>$A1345-$AV1345*$R1345</f>
        <v>0</v>
      </c>
    </row>
    <row r="1346" ht="24.95" customHeight="1" outlineLevel="3" s="1" customFormat="1">
      <c r="A1346" s="15"/>
      <c r="B1346" s="16">
        <v>390</v>
      </c>
      <c r="C1346" s="16">
        <v>624</v>
      </c>
      <c r="D1346" s="16">
        <v>30744</v>
      </c>
      <c r="E1346" s="18"/>
      <c r="F1346" s="18" t="s">
        <v>4442</v>
      </c>
      <c r="G1346" s="18" t="s">
        <v>4446</v>
      </c>
      <c r="H1346" s="18" t="s">
        <v>86</v>
      </c>
      <c r="I1346" s="18" t="s">
        <v>74</v>
      </c>
      <c r="J1346" s="16">
        <v>2025</v>
      </c>
      <c r="K1346" s="18" t="s">
        <v>4447</v>
      </c>
      <c r="L1346" s="16">
        <v>9785961496413</v>
      </c>
      <c r="M1346" s="18" t="s">
        <v>4448</v>
      </c>
      <c r="N1346" s="16">
        <v>262</v>
      </c>
      <c r="O1346" s="19">
        <v>0.18</v>
      </c>
      <c r="P1346" s="16">
        <v>120</v>
      </c>
      <c r="Q1346" s="16">
        <v>170</v>
      </c>
      <c r="R1346" s="16">
        <v>12</v>
      </c>
      <c r="S1346" s="18" t="s">
        <v>190</v>
      </c>
      <c r="T1346" s="18" t="s">
        <v>1597</v>
      </c>
      <c r="U1346" s="17">
        <v>6000</v>
      </c>
      <c r="V1346" s="18" t="s">
        <v>44</v>
      </c>
      <c r="W1346" s="18" t="s">
        <v>69</v>
      </c>
      <c r="X1346" s="16">
        <v>10</v>
      </c>
      <c r="Y1346" s="43" t="str">
        <f>HYPERLINK("https://api-enni.alpina.ru/FilePrivilegesApproval/405","https://api-enni.alpina.ru/FilePrivilegesApproval/405")</f>
        <v>https://api-enni.alpina.ru/FilePrivilegesApproval/405</v>
      </c>
      <c r="Z1346" s="18"/>
      <c r="AS1346" s="1">
        <f>IF($A1346&lt;&gt;0,1,0)</f>
        <v>0</v>
      </c>
      <c r="AT1346" s="1">
        <f>$A1346*$B1346</f>
        <v>0</v>
      </c>
      <c r="AU1346" s="1">
        <f>$A1346*$O1346</f>
        <v>0</v>
      </c>
      <c r="AV1346" s="1">
        <f>IF($R1346=0,0,INT($A1346/$R1346))</f>
        <v>0</v>
      </c>
      <c r="AW1346" s="1">
        <f>$A1346-$AV1346*$R1346</f>
        <v>0</v>
      </c>
    </row>
    <row r="1347" ht="24.95" customHeight="1" outlineLevel="3" s="1" customFormat="1">
      <c r="A1347" s="15"/>
      <c r="B1347" s="16">
        <v>590</v>
      </c>
      <c r="C1347" s="16">
        <v>885</v>
      </c>
      <c r="D1347" s="16">
        <v>33084</v>
      </c>
      <c r="E1347" s="18"/>
      <c r="F1347" s="18" t="s">
        <v>4449</v>
      </c>
      <c r="G1347" s="18" t="s">
        <v>4450</v>
      </c>
      <c r="H1347" s="18" t="s">
        <v>86</v>
      </c>
      <c r="I1347" s="18" t="s">
        <v>87</v>
      </c>
      <c r="J1347" s="16">
        <v>2026</v>
      </c>
      <c r="K1347" s="18" t="s">
        <v>4451</v>
      </c>
      <c r="L1347" s="16">
        <v>9785006300828</v>
      </c>
      <c r="M1347" s="18" t="s">
        <v>4452</v>
      </c>
      <c r="N1347" s="16">
        <v>262</v>
      </c>
      <c r="O1347" s="19">
        <v>0.41</v>
      </c>
      <c r="P1347" s="16">
        <v>150</v>
      </c>
      <c r="Q1347" s="16">
        <v>220</v>
      </c>
      <c r="R1347" s="16">
        <v>14</v>
      </c>
      <c r="S1347" s="18" t="s">
        <v>43</v>
      </c>
      <c r="T1347" s="18"/>
      <c r="U1347" s="17">
        <v>3000</v>
      </c>
      <c r="V1347" s="18" t="s">
        <v>77</v>
      </c>
      <c r="W1347" s="18" t="s">
        <v>69</v>
      </c>
      <c r="X1347" s="16">
        <v>10</v>
      </c>
      <c r="Y1347" s="43" t="str">
        <f>HYPERLINK("https://api-enni.alpina.ru/FilePrivilegesApproval/965","https://api-enni.alpina.ru/FilePrivilegesApproval/965")</f>
        <v>https://api-enni.alpina.ru/FilePrivilegesApproval/965</v>
      </c>
      <c r="Z1347" s="18"/>
      <c r="AS1347" s="1">
        <f>IF($A1347&lt;&gt;0,1,0)</f>
        <v>0</v>
      </c>
      <c r="AT1347" s="1">
        <f>$A1347*$B1347</f>
        <v>0</v>
      </c>
      <c r="AU1347" s="1">
        <f>$A1347*$O1347</f>
        <v>0</v>
      </c>
      <c r="AV1347" s="1">
        <f>IF($R1347=0,0,INT($A1347/$R1347))</f>
        <v>0</v>
      </c>
      <c r="AW1347" s="1">
        <f>$A1347-$AV1347*$R1347</f>
        <v>0</v>
      </c>
    </row>
    <row r="1348" ht="24.95" customHeight="1" outlineLevel="3" s="1" customFormat="1">
      <c r="A1348" s="15"/>
      <c r="B1348" s="16">
        <v>590</v>
      </c>
      <c r="C1348" s="16">
        <v>885</v>
      </c>
      <c r="D1348" s="16">
        <v>31950</v>
      </c>
      <c r="E1348" s="18"/>
      <c r="F1348" s="18" t="s">
        <v>3044</v>
      </c>
      <c r="G1348" s="18" t="s">
        <v>4453</v>
      </c>
      <c r="H1348" s="18" t="s">
        <v>86</v>
      </c>
      <c r="I1348" s="18"/>
      <c r="J1348" s="16">
        <v>2025</v>
      </c>
      <c r="K1348" s="18" t="s">
        <v>4454</v>
      </c>
      <c r="L1348" s="16">
        <v>9785006300712</v>
      </c>
      <c r="M1348" s="18" t="s">
        <v>4455</v>
      </c>
      <c r="N1348" s="16">
        <v>197</v>
      </c>
      <c r="O1348" s="19">
        <v>0.34</v>
      </c>
      <c r="P1348" s="16">
        <v>150</v>
      </c>
      <c r="Q1348" s="16">
        <v>220</v>
      </c>
      <c r="R1348" s="16">
        <v>20</v>
      </c>
      <c r="S1348" s="18" t="s">
        <v>43</v>
      </c>
      <c r="T1348" s="18"/>
      <c r="U1348" s="17">
        <v>4000</v>
      </c>
      <c r="V1348" s="18" t="s">
        <v>77</v>
      </c>
      <c r="W1348" s="18" t="s">
        <v>69</v>
      </c>
      <c r="X1348" s="16">
        <v>10</v>
      </c>
      <c r="Y1348" s="43" t="str">
        <f>HYPERLINK("https://api-enni.alpina.ru/FilePrivilegesApproval/755","https://api-enni.alpina.ru/FilePrivilegesApproval/755")</f>
        <v>https://api-enni.alpina.ru/FilePrivilegesApproval/755</v>
      </c>
      <c r="Z1348" s="18"/>
      <c r="AS1348" s="1">
        <f>IF($A1348&lt;&gt;0,1,0)</f>
        <v>0</v>
      </c>
      <c r="AT1348" s="1">
        <f>$A1348*$B1348</f>
        <v>0</v>
      </c>
      <c r="AU1348" s="1">
        <f>$A1348*$O1348</f>
        <v>0</v>
      </c>
      <c r="AV1348" s="1">
        <f>IF($R1348=0,0,INT($A1348/$R1348))</f>
        <v>0</v>
      </c>
      <c r="AW1348" s="1">
        <f>$A1348-$AV1348*$R1348</f>
        <v>0</v>
      </c>
    </row>
    <row r="1349" ht="24.95" customHeight="1" outlineLevel="3" s="1" customFormat="1">
      <c r="A1349" s="25"/>
      <c r="B1349" s="26">
        <v>590</v>
      </c>
      <c r="C1349" s="26">
        <v>885</v>
      </c>
      <c r="D1349" s="26">
        <v>17907</v>
      </c>
      <c r="E1349" s="27"/>
      <c r="F1349" s="27" t="s">
        <v>2331</v>
      </c>
      <c r="G1349" s="27" t="s">
        <v>4456</v>
      </c>
      <c r="H1349" s="27" t="s">
        <v>86</v>
      </c>
      <c r="I1349" s="27" t="s">
        <v>74</v>
      </c>
      <c r="J1349" s="26">
        <v>2021</v>
      </c>
      <c r="K1349" s="27" t="s">
        <v>4457</v>
      </c>
      <c r="L1349" s="26">
        <v>9785961440317</v>
      </c>
      <c r="M1349" s="27" t="s">
        <v>4458</v>
      </c>
      <c r="N1349" s="26">
        <v>270</v>
      </c>
      <c r="O1349" s="28">
        <v>0.42</v>
      </c>
      <c r="P1349" s="26">
        <v>146</v>
      </c>
      <c r="Q1349" s="26">
        <v>216</v>
      </c>
      <c r="R1349" s="26">
        <v>14</v>
      </c>
      <c r="S1349" s="27" t="s">
        <v>43</v>
      </c>
      <c r="T1349" s="27"/>
      <c r="U1349" s="29">
        <v>3000</v>
      </c>
      <c r="V1349" s="27" t="s">
        <v>77</v>
      </c>
      <c r="W1349" s="27" t="s">
        <v>69</v>
      </c>
      <c r="X1349" s="26">
        <v>10</v>
      </c>
      <c r="Y1349" s="45" t="str">
        <f>HYPERLINK("https://api-enni.alpina.ru/FilePrivilegesApproval/72","https://api-enni.alpina.ru/FilePrivilegesApproval/72")</f>
        <v>https://api-enni.alpina.ru/FilePrivilegesApproval/72</v>
      </c>
      <c r="Z1349" s="27"/>
      <c r="AS1349" s="1">
        <f>IF($A1349&lt;&gt;0,1,0)</f>
        <v>0</v>
      </c>
      <c r="AT1349" s="1">
        <f>$A1349*$B1349</f>
        <v>0</v>
      </c>
      <c r="AU1349" s="1">
        <f>$A1349*$O1349</f>
        <v>0</v>
      </c>
      <c r="AV1349" s="1">
        <f>IF($R1349=0,0,INT($A1349/$R1349))</f>
        <v>0</v>
      </c>
      <c r="AW1349" s="1">
        <f>$A1349-$AV1349*$R1349</f>
        <v>0</v>
      </c>
    </row>
    <row r="1350" ht="24.95" customHeight="1" outlineLevel="3" s="1" customFormat="1">
      <c r="A1350" s="15"/>
      <c r="B1350" s="16">
        <v>590</v>
      </c>
      <c r="C1350" s="16">
        <v>885</v>
      </c>
      <c r="D1350" s="16">
        <v>18946</v>
      </c>
      <c r="E1350" s="18"/>
      <c r="F1350" s="18" t="s">
        <v>4459</v>
      </c>
      <c r="G1350" s="18" t="s">
        <v>4460</v>
      </c>
      <c r="H1350" s="18" t="s">
        <v>86</v>
      </c>
      <c r="I1350" s="18" t="s">
        <v>74</v>
      </c>
      <c r="J1350" s="16">
        <v>2022</v>
      </c>
      <c r="K1350" s="18" t="s">
        <v>4461</v>
      </c>
      <c r="L1350" s="16">
        <v>9785961478389</v>
      </c>
      <c r="M1350" s="18" t="s">
        <v>4462</v>
      </c>
      <c r="N1350" s="16">
        <v>245</v>
      </c>
      <c r="O1350" s="19">
        <v>0.4</v>
      </c>
      <c r="P1350" s="16">
        <v>146</v>
      </c>
      <c r="Q1350" s="16">
        <v>216</v>
      </c>
      <c r="R1350" s="16">
        <v>14</v>
      </c>
      <c r="S1350" s="18" t="s">
        <v>43</v>
      </c>
      <c r="T1350" s="18"/>
      <c r="U1350" s="17">
        <v>1500</v>
      </c>
      <c r="V1350" s="18" t="s">
        <v>77</v>
      </c>
      <c r="W1350" s="18" t="s">
        <v>91</v>
      </c>
      <c r="X1350" s="16">
        <v>10</v>
      </c>
      <c r="Y1350" s="43" t="str">
        <f>HYPERLINK("https://api-enni.alpina.ru/FilePrivilegesApproval/140","https://api-enni.alpina.ru/FilePrivilegesApproval/140")</f>
        <v>https://api-enni.alpina.ru/FilePrivilegesApproval/140</v>
      </c>
      <c r="Z1350" s="18"/>
      <c r="AS1350" s="1">
        <f>IF($A1350&lt;&gt;0,1,0)</f>
        <v>0</v>
      </c>
      <c r="AT1350" s="1">
        <f>$A1350*$B1350</f>
        <v>0</v>
      </c>
      <c r="AU1350" s="1">
        <f>$A1350*$O1350</f>
        <v>0</v>
      </c>
      <c r="AV1350" s="1">
        <f>IF($R1350=0,0,INT($A1350/$R1350))</f>
        <v>0</v>
      </c>
      <c r="AW1350" s="1">
        <f>$A1350-$AV1350*$R1350</f>
        <v>0</v>
      </c>
    </row>
    <row r="1351" ht="24.95" customHeight="1" outlineLevel="3" s="1" customFormat="1">
      <c r="A1351" s="15"/>
      <c r="B1351" s="16">
        <v>420</v>
      </c>
      <c r="C1351" s="16">
        <v>651</v>
      </c>
      <c r="D1351" s="16">
        <v>33658</v>
      </c>
      <c r="E1351" s="18"/>
      <c r="F1351" s="18" t="s">
        <v>4463</v>
      </c>
      <c r="G1351" s="18" t="s">
        <v>4464</v>
      </c>
      <c r="H1351" s="18" t="s">
        <v>73</v>
      </c>
      <c r="I1351" s="18" t="s">
        <v>74</v>
      </c>
      <c r="J1351" s="16">
        <v>2026</v>
      </c>
      <c r="K1351" s="18" t="s">
        <v>4465</v>
      </c>
      <c r="L1351" s="16">
        <v>9785002235735</v>
      </c>
      <c r="M1351" s="18" t="s">
        <v>4466</v>
      </c>
      <c r="N1351" s="16">
        <v>368</v>
      </c>
      <c r="O1351" s="19">
        <v>0.24</v>
      </c>
      <c r="P1351" s="16">
        <v>120</v>
      </c>
      <c r="Q1351" s="16">
        <v>170</v>
      </c>
      <c r="R1351" s="16">
        <v>16</v>
      </c>
      <c r="S1351" s="18" t="s">
        <v>190</v>
      </c>
      <c r="T1351" s="18"/>
      <c r="U1351" s="17">
        <v>2000</v>
      </c>
      <c r="V1351" s="18" t="s">
        <v>44</v>
      </c>
      <c r="W1351" s="18" t="s">
        <v>45</v>
      </c>
      <c r="X1351" s="16">
        <v>10</v>
      </c>
      <c r="Y1351" s="43" t="str">
        <f>HYPERLINK("https://api-enni.alpina.ru/FilePrivilegesApproval/318","https://api-enni.alpina.ru/FilePrivilegesApproval/318")</f>
        <v>https://api-enni.alpina.ru/FilePrivilegesApproval/318</v>
      </c>
      <c r="Z1351" s="18"/>
      <c r="AS1351" s="1">
        <f>IF($A1351&lt;&gt;0,1,0)</f>
        <v>0</v>
      </c>
      <c r="AT1351" s="1">
        <f>$A1351*$B1351</f>
        <v>0</v>
      </c>
      <c r="AU1351" s="1">
        <f>$A1351*$O1351</f>
        <v>0</v>
      </c>
      <c r="AV1351" s="1">
        <f>IF($R1351=0,0,INT($A1351/$R1351))</f>
        <v>0</v>
      </c>
      <c r="AW1351" s="1">
        <f>$A1351-$AV1351*$R1351</f>
        <v>0</v>
      </c>
    </row>
    <row r="1352" ht="24.95" customHeight="1" outlineLevel="3" s="1" customFormat="1">
      <c r="A1352" s="15"/>
      <c r="B1352" s="16">
        <v>640</v>
      </c>
      <c r="C1352" s="16">
        <v>960</v>
      </c>
      <c r="D1352" s="16">
        <v>32989</v>
      </c>
      <c r="E1352" s="18"/>
      <c r="F1352" s="18" t="s">
        <v>1092</v>
      </c>
      <c r="G1352" s="18" t="s">
        <v>4467</v>
      </c>
      <c r="H1352" s="18" t="s">
        <v>86</v>
      </c>
      <c r="I1352" s="18"/>
      <c r="J1352" s="16">
        <v>2026</v>
      </c>
      <c r="K1352" s="18" t="s">
        <v>4468</v>
      </c>
      <c r="L1352" s="16">
        <v>9785006303621</v>
      </c>
      <c r="M1352" s="18" t="s">
        <v>4469</v>
      </c>
      <c r="N1352" s="16">
        <v>290</v>
      </c>
      <c r="O1352" s="19">
        <v>0.45</v>
      </c>
      <c r="P1352" s="16">
        <v>150</v>
      </c>
      <c r="Q1352" s="16">
        <v>220</v>
      </c>
      <c r="R1352" s="16">
        <v>12</v>
      </c>
      <c r="S1352" s="18" t="s">
        <v>43</v>
      </c>
      <c r="T1352" s="18"/>
      <c r="U1352" s="17">
        <v>3000</v>
      </c>
      <c r="V1352" s="18" t="s">
        <v>77</v>
      </c>
      <c r="W1352" s="18" t="s">
        <v>45</v>
      </c>
      <c r="X1352" s="16">
        <v>10</v>
      </c>
      <c r="Y1352" s="43" t="str">
        <f>HYPERLINK("https://api-enni.alpina.ru/FilePrivilegesApproval/1189","https://api-enni.alpina.ru/FilePrivilegesApproval/1189")</f>
        <v>https://api-enni.alpina.ru/FilePrivilegesApproval/1189</v>
      </c>
      <c r="Z1352" s="18" t="s">
        <v>1958</v>
      </c>
      <c r="AS1352" s="1">
        <f>IF($A1352&lt;&gt;0,1,0)</f>
        <v>0</v>
      </c>
      <c r="AT1352" s="1">
        <f>$A1352*$B1352</f>
        <v>0</v>
      </c>
      <c r="AU1352" s="1">
        <f>$A1352*$O1352</f>
        <v>0</v>
      </c>
      <c r="AV1352" s="1">
        <f>IF($R1352=0,0,INT($A1352/$R1352))</f>
        <v>0</v>
      </c>
      <c r="AW1352" s="1">
        <f>$A1352-$AV1352*$R1352</f>
        <v>0</v>
      </c>
    </row>
    <row r="1353" ht="24.95" customHeight="1" outlineLevel="3" s="1" customFormat="1">
      <c r="A1353" s="15"/>
      <c r="B1353" s="16">
        <v>940</v>
      </c>
      <c r="C1353" s="17">
        <v>1316</v>
      </c>
      <c r="D1353" s="16">
        <v>19471</v>
      </c>
      <c r="E1353" s="18"/>
      <c r="F1353" s="18" t="s">
        <v>4470</v>
      </c>
      <c r="G1353" s="18" t="s">
        <v>4471</v>
      </c>
      <c r="H1353" s="18" t="s">
        <v>73</v>
      </c>
      <c r="I1353" s="18" t="s">
        <v>74</v>
      </c>
      <c r="J1353" s="16">
        <v>2024</v>
      </c>
      <c r="K1353" s="18" t="s">
        <v>4472</v>
      </c>
      <c r="L1353" s="16">
        <v>9785002231935</v>
      </c>
      <c r="M1353" s="18" t="s">
        <v>4473</v>
      </c>
      <c r="N1353" s="16">
        <v>398</v>
      </c>
      <c r="O1353" s="19">
        <v>0.59</v>
      </c>
      <c r="P1353" s="16">
        <v>150</v>
      </c>
      <c r="Q1353" s="16">
        <v>220</v>
      </c>
      <c r="R1353" s="16">
        <v>10</v>
      </c>
      <c r="S1353" s="18" t="s">
        <v>43</v>
      </c>
      <c r="T1353" s="18"/>
      <c r="U1353" s="17">
        <v>2000</v>
      </c>
      <c r="V1353" s="18" t="s">
        <v>77</v>
      </c>
      <c r="W1353" s="18" t="s">
        <v>91</v>
      </c>
      <c r="X1353" s="16">
        <v>10</v>
      </c>
      <c r="Y1353" s="43" t="str">
        <f>HYPERLINK("https://api-enni.alpina.ru/FilePrivilegesApproval/377","https://api-enni.alpina.ru/FilePrivilegesApproval/377")</f>
        <v>https://api-enni.alpina.ru/FilePrivilegesApproval/377</v>
      </c>
      <c r="Z1353" s="18"/>
      <c r="AS1353" s="1">
        <f>IF($A1353&lt;&gt;0,1,0)</f>
        <v>0</v>
      </c>
      <c r="AT1353" s="1">
        <f>$A1353*$B1353</f>
        <v>0</v>
      </c>
      <c r="AU1353" s="1">
        <f>$A1353*$O1353</f>
        <v>0</v>
      </c>
      <c r="AV1353" s="1">
        <f>IF($R1353=0,0,INT($A1353/$R1353))</f>
        <v>0</v>
      </c>
      <c r="AW1353" s="1">
        <f>$A1353-$AV1353*$R1353</f>
        <v>0</v>
      </c>
    </row>
    <row r="1354" ht="24.95" customHeight="1" outlineLevel="3" s="1" customFormat="1">
      <c r="A1354" s="25"/>
      <c r="B1354" s="26">
        <v>590</v>
      </c>
      <c r="C1354" s="26">
        <v>885</v>
      </c>
      <c r="D1354" s="26">
        <v>17388</v>
      </c>
      <c r="E1354" s="27"/>
      <c r="F1354" s="27" t="s">
        <v>3219</v>
      </c>
      <c r="G1354" s="27" t="s">
        <v>4474</v>
      </c>
      <c r="H1354" s="27" t="s">
        <v>86</v>
      </c>
      <c r="I1354" s="27" t="s">
        <v>74</v>
      </c>
      <c r="J1354" s="26">
        <v>2021</v>
      </c>
      <c r="K1354" s="27" t="s">
        <v>4475</v>
      </c>
      <c r="L1354" s="26">
        <v>9785961430653</v>
      </c>
      <c r="M1354" s="27" t="s">
        <v>4476</v>
      </c>
      <c r="N1354" s="26">
        <v>352</v>
      </c>
      <c r="O1354" s="28">
        <v>0.69</v>
      </c>
      <c r="P1354" s="26">
        <v>168</v>
      </c>
      <c r="Q1354" s="26">
        <v>241</v>
      </c>
      <c r="R1354" s="26">
        <v>4</v>
      </c>
      <c r="S1354" s="27" t="s">
        <v>123</v>
      </c>
      <c r="T1354" s="27"/>
      <c r="U1354" s="29">
        <v>2000</v>
      </c>
      <c r="V1354" s="27" t="s">
        <v>77</v>
      </c>
      <c r="W1354" s="27" t="s">
        <v>91</v>
      </c>
      <c r="X1354" s="26">
        <v>10</v>
      </c>
      <c r="Y1354" s="45" t="str">
        <f>HYPERLINK("https://api-enni.alpina.ru/FilePrivilegesApproval/111","https://api-enni.alpina.ru/FilePrivilegesApproval/111")</f>
        <v>https://api-enni.alpina.ru/FilePrivilegesApproval/111</v>
      </c>
      <c r="Z1354" s="27"/>
      <c r="AS1354" s="1">
        <f>IF($A1354&lt;&gt;0,1,0)</f>
        <v>0</v>
      </c>
      <c r="AT1354" s="1">
        <f>$A1354*$B1354</f>
        <v>0</v>
      </c>
      <c r="AU1354" s="1">
        <f>$A1354*$O1354</f>
        <v>0</v>
      </c>
      <c r="AV1354" s="1">
        <f>IF($R1354=0,0,INT($A1354/$R1354))</f>
        <v>0</v>
      </c>
      <c r="AW1354" s="1">
        <f>$A1354-$AV1354*$R1354</f>
        <v>0</v>
      </c>
    </row>
    <row r="1355" ht="24.95" customHeight="1" outlineLevel="3" s="1" customFormat="1">
      <c r="A1355" s="25"/>
      <c r="B1355" s="26">
        <v>510</v>
      </c>
      <c r="C1355" s="26">
        <v>790</v>
      </c>
      <c r="D1355" s="26">
        <v>11670</v>
      </c>
      <c r="E1355" s="27"/>
      <c r="F1355" s="27" t="s">
        <v>4477</v>
      </c>
      <c r="G1355" s="27" t="s">
        <v>4478</v>
      </c>
      <c r="H1355" s="27" t="s">
        <v>86</v>
      </c>
      <c r="I1355" s="27" t="s">
        <v>764</v>
      </c>
      <c r="J1355" s="26">
        <v>2019</v>
      </c>
      <c r="K1355" s="27" t="s">
        <v>4479</v>
      </c>
      <c r="L1355" s="26">
        <v>9785961421521</v>
      </c>
      <c r="M1355" s="27" t="s">
        <v>4480</v>
      </c>
      <c r="N1355" s="26">
        <v>325</v>
      </c>
      <c r="O1355" s="28">
        <v>0.48</v>
      </c>
      <c r="P1355" s="26">
        <v>146</v>
      </c>
      <c r="Q1355" s="26">
        <v>216</v>
      </c>
      <c r="R1355" s="26">
        <v>12</v>
      </c>
      <c r="S1355" s="27" t="s">
        <v>43</v>
      </c>
      <c r="T1355" s="27"/>
      <c r="U1355" s="29">
        <v>2000</v>
      </c>
      <c r="V1355" s="27" t="s">
        <v>77</v>
      </c>
      <c r="W1355" s="27" t="s">
        <v>91</v>
      </c>
      <c r="X1355" s="26">
        <v>10</v>
      </c>
      <c r="Y1355" s="45" t="str">
        <f>HYPERLINK("https://api-enni.alpina.ru/FilePrivilegesApproval/15","https://api-enni.alpina.ru/FilePrivilegesApproval/15")</f>
        <v>https://api-enni.alpina.ru/FilePrivilegesApproval/15</v>
      </c>
      <c r="Z1355" s="27"/>
      <c r="AS1355" s="1">
        <f>IF($A1355&lt;&gt;0,1,0)</f>
        <v>0</v>
      </c>
      <c r="AT1355" s="1">
        <f>$A1355*$B1355</f>
        <v>0</v>
      </c>
      <c r="AU1355" s="1">
        <f>$A1355*$O1355</f>
        <v>0</v>
      </c>
      <c r="AV1355" s="1">
        <f>IF($R1355=0,0,INT($A1355/$R1355))</f>
        <v>0</v>
      </c>
      <c r="AW1355" s="1">
        <f>$A1355-$AV1355*$R1355</f>
        <v>0</v>
      </c>
    </row>
    <row r="1356" ht="24.95" customHeight="1" outlineLevel="3" s="1" customFormat="1">
      <c r="A1356" s="15"/>
      <c r="B1356" s="16">
        <v>590</v>
      </c>
      <c r="C1356" s="16">
        <v>885</v>
      </c>
      <c r="D1356" s="16">
        <v>12459</v>
      </c>
      <c r="E1356" s="18"/>
      <c r="F1356" s="18" t="s">
        <v>4481</v>
      </c>
      <c r="G1356" s="18" t="s">
        <v>4482</v>
      </c>
      <c r="H1356" s="18" t="s">
        <v>86</v>
      </c>
      <c r="I1356" s="18" t="s">
        <v>74</v>
      </c>
      <c r="J1356" s="16">
        <v>2021</v>
      </c>
      <c r="K1356" s="18" t="s">
        <v>4483</v>
      </c>
      <c r="L1356" s="16">
        <v>9785961425437</v>
      </c>
      <c r="M1356" s="18" t="s">
        <v>4484</v>
      </c>
      <c r="N1356" s="16">
        <v>221</v>
      </c>
      <c r="O1356" s="19">
        <v>0.38</v>
      </c>
      <c r="P1356" s="16">
        <v>146</v>
      </c>
      <c r="Q1356" s="16">
        <v>216</v>
      </c>
      <c r="R1356" s="16">
        <v>16</v>
      </c>
      <c r="S1356" s="18" t="s">
        <v>43</v>
      </c>
      <c r="T1356" s="18"/>
      <c r="U1356" s="17">
        <v>2000</v>
      </c>
      <c r="V1356" s="18" t="s">
        <v>77</v>
      </c>
      <c r="W1356" s="18" t="s">
        <v>91</v>
      </c>
      <c r="X1356" s="16">
        <v>10</v>
      </c>
      <c r="Y1356" s="43" t="str">
        <f>HYPERLINK("https://api-enni.alpina.ru/FilePrivilegesApproval/100","https://api-enni.alpina.ru/FilePrivilegesApproval/100")</f>
        <v>https://api-enni.alpina.ru/FilePrivilegesApproval/100</v>
      </c>
      <c r="Z1356" s="18"/>
      <c r="AS1356" s="1">
        <f>IF($A1356&lt;&gt;0,1,0)</f>
        <v>0</v>
      </c>
      <c r="AT1356" s="1">
        <f>$A1356*$B1356</f>
        <v>0</v>
      </c>
      <c r="AU1356" s="1">
        <f>$A1356*$O1356</f>
        <v>0</v>
      </c>
      <c r="AV1356" s="1">
        <f>IF($R1356=0,0,INT($A1356/$R1356))</f>
        <v>0</v>
      </c>
      <c r="AW1356" s="1">
        <f>$A1356-$AV1356*$R1356</f>
        <v>0</v>
      </c>
    </row>
    <row r="1357" ht="11.1" customHeight="1" outlineLevel="2">
      <c r="A1357" s="41" t="s">
        <v>4485</v>
      </c>
      <c r="B1357" s="41"/>
      <c r="C1357" s="41"/>
      <c r="D1357" s="41"/>
      <c r="E1357" s="41"/>
      <c r="F1357" s="41"/>
      <c r="G1357" s="41"/>
      <c r="H1357" s="41"/>
      <c r="I1357" s="41"/>
      <c r="J1357" s="41"/>
      <c r="K1357" s="41"/>
      <c r="L1357" s="41"/>
      <c r="M1357" s="41"/>
      <c r="N1357" s="41"/>
      <c r="O1357" s="41"/>
      <c r="P1357" s="41"/>
      <c r="Q1357" s="41"/>
      <c r="R1357" s="41"/>
      <c r="S1357" s="41"/>
      <c r="T1357" s="41"/>
      <c r="U1357" s="41"/>
      <c r="V1357" s="41"/>
      <c r="W1357" s="41"/>
      <c r="X1357" s="41"/>
      <c r="Y1357" s="41"/>
      <c r="Z1357" s="24"/>
    </row>
    <row r="1358" ht="24.95" customHeight="1" outlineLevel="3" s="1" customFormat="1">
      <c r="A1358" s="15"/>
      <c r="B1358" s="17">
        <v>1590</v>
      </c>
      <c r="C1358" s="17">
        <v>2067</v>
      </c>
      <c r="D1358" s="16">
        <v>2913</v>
      </c>
      <c r="E1358" s="18"/>
      <c r="F1358" s="18" t="s">
        <v>602</v>
      </c>
      <c r="G1358" s="18" t="s">
        <v>4486</v>
      </c>
      <c r="H1358" s="18" t="s">
        <v>95</v>
      </c>
      <c r="I1358" s="18" t="s">
        <v>74</v>
      </c>
      <c r="J1358" s="16">
        <v>2023</v>
      </c>
      <c r="K1358" s="18" t="s">
        <v>4487</v>
      </c>
      <c r="L1358" s="16">
        <v>9785961420982</v>
      </c>
      <c r="M1358" s="18" t="s">
        <v>4488</v>
      </c>
      <c r="N1358" s="16">
        <v>752</v>
      </c>
      <c r="O1358" s="19">
        <v>1.13</v>
      </c>
      <c r="P1358" s="16">
        <v>168</v>
      </c>
      <c r="Q1358" s="16">
        <v>241</v>
      </c>
      <c r="R1358" s="16">
        <v>3</v>
      </c>
      <c r="S1358" s="18" t="s">
        <v>123</v>
      </c>
      <c r="T1358" s="18"/>
      <c r="U1358" s="17">
        <v>1500</v>
      </c>
      <c r="V1358" s="18" t="s">
        <v>77</v>
      </c>
      <c r="W1358" s="18" t="s">
        <v>45</v>
      </c>
      <c r="X1358" s="16">
        <v>10</v>
      </c>
      <c r="Y1358" s="43" t="str">
        <f>HYPERLINK("https://api-enni.alpina.ru/FilePrivilegesApproval/2","https://api-enni.alpina.ru/FilePrivilegesApproval/2")</f>
        <v>https://api-enni.alpina.ru/FilePrivilegesApproval/2</v>
      </c>
      <c r="Z1358" s="18"/>
      <c r="AS1358" s="1">
        <f>IF($A1358&lt;&gt;0,1,0)</f>
        <v>0</v>
      </c>
      <c r="AT1358" s="1">
        <f>$A1358*$B1358</f>
        <v>0</v>
      </c>
      <c r="AU1358" s="1">
        <f>$A1358*$O1358</f>
        <v>0</v>
      </c>
      <c r="AV1358" s="1">
        <f>IF($R1358=0,0,INT($A1358/$R1358))</f>
        <v>0</v>
      </c>
      <c r="AW1358" s="1">
        <f>$A1358-$AV1358*$R1358</f>
        <v>0</v>
      </c>
    </row>
    <row r="1359" ht="24.95" customHeight="1" outlineLevel="3" s="1" customFormat="1">
      <c r="A1359" s="15"/>
      <c r="B1359" s="17">
        <v>1990</v>
      </c>
      <c r="C1359" s="17">
        <v>2587</v>
      </c>
      <c r="D1359" s="16">
        <v>4681</v>
      </c>
      <c r="E1359" s="18"/>
      <c r="F1359" s="18" t="s">
        <v>602</v>
      </c>
      <c r="G1359" s="18" t="s">
        <v>603</v>
      </c>
      <c r="H1359" s="18" t="s">
        <v>95</v>
      </c>
      <c r="I1359" s="18" t="s">
        <v>74</v>
      </c>
      <c r="J1359" s="16">
        <v>2022</v>
      </c>
      <c r="K1359" s="18" t="s">
        <v>604</v>
      </c>
      <c r="L1359" s="16">
        <v>9785961437881</v>
      </c>
      <c r="M1359" s="18" t="s">
        <v>605</v>
      </c>
      <c r="N1359" s="16">
        <v>960</v>
      </c>
      <c r="O1359" s="19">
        <v>1.44</v>
      </c>
      <c r="P1359" s="16">
        <v>168</v>
      </c>
      <c r="Q1359" s="16">
        <v>241</v>
      </c>
      <c r="R1359" s="16">
        <v>2</v>
      </c>
      <c r="S1359" s="18" t="s">
        <v>123</v>
      </c>
      <c r="T1359" s="18"/>
      <c r="U1359" s="17">
        <v>3000</v>
      </c>
      <c r="V1359" s="18" t="s">
        <v>77</v>
      </c>
      <c r="W1359" s="18" t="s">
        <v>184</v>
      </c>
      <c r="X1359" s="16">
        <v>10</v>
      </c>
      <c r="Y1359" s="43" t="str">
        <f>HYPERLINK("https://api-enni.alpina.ru/FilePrivilegesApproval/2","https://api-enni.alpina.ru/FilePrivilegesApproval/2")</f>
        <v>https://api-enni.alpina.ru/FilePrivilegesApproval/2</v>
      </c>
      <c r="Z1359" s="18"/>
      <c r="AS1359" s="1">
        <f>IF($A1359&lt;&gt;0,1,0)</f>
        <v>0</v>
      </c>
      <c r="AT1359" s="1">
        <f>$A1359*$B1359</f>
        <v>0</v>
      </c>
      <c r="AU1359" s="1">
        <f>$A1359*$O1359</f>
        <v>0</v>
      </c>
      <c r="AV1359" s="1">
        <f>IF($R1359=0,0,INT($A1359/$R1359))</f>
        <v>0</v>
      </c>
      <c r="AW1359" s="1">
        <f>$A1359-$AV1359*$R1359</f>
        <v>0</v>
      </c>
    </row>
    <row r="1360" ht="21.95" customHeight="1" outlineLevel="3" s="1" customFormat="1">
      <c r="A1360" s="15"/>
      <c r="B1360" s="17">
        <v>1210</v>
      </c>
      <c r="C1360" s="17">
        <v>1634</v>
      </c>
      <c r="D1360" s="16">
        <v>31342</v>
      </c>
      <c r="E1360" s="18"/>
      <c r="F1360" s="18" t="s">
        <v>3889</v>
      </c>
      <c r="G1360" s="18" t="s">
        <v>4489</v>
      </c>
      <c r="H1360" s="18" t="s">
        <v>95</v>
      </c>
      <c r="I1360" s="18"/>
      <c r="J1360" s="16">
        <v>2025</v>
      </c>
      <c r="K1360" s="18" t="s">
        <v>4490</v>
      </c>
      <c r="L1360" s="16">
        <v>9785206003659</v>
      </c>
      <c r="M1360" s="18" t="s">
        <v>4491</v>
      </c>
      <c r="N1360" s="16">
        <v>248</v>
      </c>
      <c r="O1360" s="19">
        <v>0.48</v>
      </c>
      <c r="P1360" s="16">
        <v>150</v>
      </c>
      <c r="Q1360" s="16">
        <v>220</v>
      </c>
      <c r="R1360" s="16">
        <v>8</v>
      </c>
      <c r="S1360" s="18" t="s">
        <v>43</v>
      </c>
      <c r="T1360" s="18"/>
      <c r="U1360" s="17">
        <v>2002</v>
      </c>
      <c r="V1360" s="18" t="s">
        <v>77</v>
      </c>
      <c r="W1360" s="18" t="s">
        <v>91</v>
      </c>
      <c r="X1360" s="16">
        <v>22</v>
      </c>
      <c r="Y1360" s="43" t="str">
        <f>HYPERLINK("","")</f>
      </c>
      <c r="Z1360" s="18"/>
      <c r="AS1360" s="1">
        <f>IF($A1360&lt;&gt;0,1,0)</f>
        <v>0</v>
      </c>
      <c r="AT1360" s="1">
        <f>$A1360*$B1360</f>
        <v>0</v>
      </c>
      <c r="AU1360" s="1">
        <f>$A1360*$O1360</f>
        <v>0</v>
      </c>
      <c r="AV1360" s="1">
        <f>IF($R1360=0,0,INT($A1360/$R1360))</f>
        <v>0</v>
      </c>
      <c r="AW1360" s="1">
        <f>$A1360-$AV1360*$R1360</f>
        <v>0</v>
      </c>
    </row>
    <row r="1361" ht="24.95" customHeight="1" outlineLevel="3" s="1" customFormat="1">
      <c r="A1361" s="15"/>
      <c r="B1361" s="16">
        <v>990</v>
      </c>
      <c r="C1361" s="17">
        <v>1386</v>
      </c>
      <c r="D1361" s="16">
        <v>33253</v>
      </c>
      <c r="E1361" s="18"/>
      <c r="F1361" s="18" t="s">
        <v>4492</v>
      </c>
      <c r="G1361" s="18" t="s">
        <v>4493</v>
      </c>
      <c r="H1361" s="18" t="s">
        <v>86</v>
      </c>
      <c r="I1361" s="18" t="s">
        <v>74</v>
      </c>
      <c r="J1361" s="16">
        <v>2026</v>
      </c>
      <c r="K1361" s="18" t="s">
        <v>4494</v>
      </c>
      <c r="L1361" s="16">
        <v>9785006304055</v>
      </c>
      <c r="M1361" s="18" t="s">
        <v>4495</v>
      </c>
      <c r="N1361" s="16">
        <v>416</v>
      </c>
      <c r="O1361" s="19">
        <v>0.6</v>
      </c>
      <c r="P1361" s="16">
        <v>150</v>
      </c>
      <c r="Q1361" s="16">
        <v>220</v>
      </c>
      <c r="R1361" s="16">
        <v>10</v>
      </c>
      <c r="S1361" s="18" t="s">
        <v>43</v>
      </c>
      <c r="T1361" s="18"/>
      <c r="U1361" s="17">
        <v>3000</v>
      </c>
      <c r="V1361" s="18" t="s">
        <v>77</v>
      </c>
      <c r="W1361" s="18" t="s">
        <v>69</v>
      </c>
      <c r="X1361" s="16">
        <v>10</v>
      </c>
      <c r="Y1361" s="43" t="str">
        <f>HYPERLINK("https://api-enni.alpina.ru/FilePrivilegesApproval/1052","https://api-enni.alpina.ru/FilePrivilegesApproval/1052")</f>
        <v>https://api-enni.alpina.ru/FilePrivilegesApproval/1052</v>
      </c>
      <c r="Z1361" s="18"/>
      <c r="AS1361" s="1">
        <f>IF($A1361&lt;&gt;0,1,0)</f>
        <v>0</v>
      </c>
      <c r="AT1361" s="1">
        <f>$A1361*$B1361</f>
        <v>0</v>
      </c>
      <c r="AU1361" s="1">
        <f>$A1361*$O1361</f>
        <v>0</v>
      </c>
      <c r="AV1361" s="1">
        <f>IF($R1361=0,0,INT($A1361/$R1361))</f>
        <v>0</v>
      </c>
      <c r="AW1361" s="1">
        <f>$A1361-$AV1361*$R1361</f>
        <v>0</v>
      </c>
    </row>
    <row r="1362" ht="11.1" customHeight="1" outlineLevel="2">
      <c r="A1362" s="41" t="s">
        <v>4496</v>
      </c>
      <c r="B1362" s="41"/>
      <c r="C1362" s="41"/>
      <c r="D1362" s="41"/>
      <c r="E1362" s="41"/>
      <c r="F1362" s="41"/>
      <c r="G1362" s="41"/>
      <c r="H1362" s="41"/>
      <c r="I1362" s="41"/>
      <c r="J1362" s="41"/>
      <c r="K1362" s="41"/>
      <c r="L1362" s="41"/>
      <c r="M1362" s="41"/>
      <c r="N1362" s="41"/>
      <c r="O1362" s="41"/>
      <c r="P1362" s="41"/>
      <c r="Q1362" s="41"/>
      <c r="R1362" s="41"/>
      <c r="S1362" s="41"/>
      <c r="T1362" s="41"/>
      <c r="U1362" s="41"/>
      <c r="V1362" s="41"/>
      <c r="W1362" s="41"/>
      <c r="X1362" s="41"/>
      <c r="Y1362" s="41"/>
      <c r="Z1362" s="24"/>
    </row>
    <row r="1363" ht="24.95" customHeight="1" outlineLevel="3" s="1" customFormat="1">
      <c r="A1363" s="15"/>
      <c r="B1363" s="16">
        <v>690</v>
      </c>
      <c r="C1363" s="17">
        <v>1035</v>
      </c>
      <c r="D1363" s="16">
        <v>33843</v>
      </c>
      <c r="E1363" s="18"/>
      <c r="F1363" s="18" t="s">
        <v>4497</v>
      </c>
      <c r="G1363" s="18" t="s">
        <v>4498</v>
      </c>
      <c r="H1363" s="18" t="s">
        <v>95</v>
      </c>
      <c r="I1363" s="18"/>
      <c r="J1363" s="16">
        <v>2025</v>
      </c>
      <c r="K1363" s="18" t="s">
        <v>4499</v>
      </c>
      <c r="L1363" s="16">
        <v>9785206004830</v>
      </c>
      <c r="M1363" s="18" t="s">
        <v>4500</v>
      </c>
      <c r="N1363" s="16">
        <v>336</v>
      </c>
      <c r="O1363" s="19">
        <v>0.62</v>
      </c>
      <c r="P1363" s="16">
        <v>160</v>
      </c>
      <c r="Q1363" s="16">
        <v>220</v>
      </c>
      <c r="R1363" s="16">
        <v>6</v>
      </c>
      <c r="S1363" s="18" t="s">
        <v>52</v>
      </c>
      <c r="T1363" s="18"/>
      <c r="U1363" s="17">
        <v>5010</v>
      </c>
      <c r="V1363" s="18" t="s">
        <v>44</v>
      </c>
      <c r="W1363" s="18" t="s">
        <v>69</v>
      </c>
      <c r="X1363" s="16">
        <v>10</v>
      </c>
      <c r="Y1363" s="43" t="str">
        <f>HYPERLINK("https://api-enni.alpina.ru/FilePrivilegesApproval/994","https://api-enni.alpina.ru/FilePrivilegesApproval/994")</f>
        <v>https://api-enni.alpina.ru/FilePrivilegesApproval/994</v>
      </c>
      <c r="Z1363" s="18"/>
      <c r="AS1363" s="1">
        <f>IF($A1363&lt;&gt;0,1,0)</f>
        <v>0</v>
      </c>
      <c r="AT1363" s="1">
        <f>$A1363*$B1363</f>
        <v>0</v>
      </c>
      <c r="AU1363" s="1">
        <f>$A1363*$O1363</f>
        <v>0</v>
      </c>
      <c r="AV1363" s="1">
        <f>IF($R1363=0,0,INT($A1363/$R1363))</f>
        <v>0</v>
      </c>
      <c r="AW1363" s="1">
        <f>$A1363-$AV1363*$R1363</f>
        <v>0</v>
      </c>
    </row>
    <row r="1364" ht="24.95" customHeight="1" outlineLevel="3" s="1" customFormat="1">
      <c r="A1364" s="15"/>
      <c r="B1364" s="16">
        <v>690</v>
      </c>
      <c r="C1364" s="17">
        <v>1035</v>
      </c>
      <c r="D1364" s="16">
        <v>32929</v>
      </c>
      <c r="E1364" s="18"/>
      <c r="F1364" s="18" t="s">
        <v>4501</v>
      </c>
      <c r="G1364" s="18" t="s">
        <v>4502</v>
      </c>
      <c r="H1364" s="18" t="s">
        <v>86</v>
      </c>
      <c r="I1364" s="18"/>
      <c r="J1364" s="16">
        <v>2025</v>
      </c>
      <c r="K1364" s="18" t="s">
        <v>4503</v>
      </c>
      <c r="L1364" s="16">
        <v>9785006303416</v>
      </c>
      <c r="M1364" s="18" t="s">
        <v>4504</v>
      </c>
      <c r="N1364" s="16">
        <v>287</v>
      </c>
      <c r="O1364" s="19">
        <v>0.44</v>
      </c>
      <c r="P1364" s="16">
        <v>150</v>
      </c>
      <c r="Q1364" s="16">
        <v>220</v>
      </c>
      <c r="R1364" s="16">
        <v>14</v>
      </c>
      <c r="S1364" s="18" t="s">
        <v>43</v>
      </c>
      <c r="T1364" s="18"/>
      <c r="U1364" s="17">
        <v>2000</v>
      </c>
      <c r="V1364" s="18" t="s">
        <v>77</v>
      </c>
      <c r="W1364" s="18" t="s">
        <v>69</v>
      </c>
      <c r="X1364" s="16">
        <v>10</v>
      </c>
      <c r="Y1364" s="43" t="str">
        <f>HYPERLINK("https://api-enni.alpina.ru/FilePrivilegesApproval/883","https://api-enni.alpina.ru/FilePrivilegesApproval/883")</f>
        <v>https://api-enni.alpina.ru/FilePrivilegesApproval/883</v>
      </c>
      <c r="Z1364" s="18"/>
      <c r="AS1364" s="1">
        <f>IF($A1364&lt;&gt;0,1,0)</f>
        <v>0</v>
      </c>
      <c r="AT1364" s="1">
        <f>$A1364*$B1364</f>
        <v>0</v>
      </c>
      <c r="AU1364" s="1">
        <f>$A1364*$O1364</f>
        <v>0</v>
      </c>
      <c r="AV1364" s="1">
        <f>IF($R1364=0,0,INT($A1364/$R1364))</f>
        <v>0</v>
      </c>
      <c r="AW1364" s="1">
        <f>$A1364-$AV1364*$R1364</f>
        <v>0</v>
      </c>
    </row>
    <row r="1365" ht="24.95" customHeight="1" outlineLevel="3" s="1" customFormat="1">
      <c r="A1365" s="15"/>
      <c r="B1365" s="16">
        <v>790</v>
      </c>
      <c r="C1365" s="17">
        <v>1146</v>
      </c>
      <c r="D1365" s="16">
        <v>31813</v>
      </c>
      <c r="E1365" s="18"/>
      <c r="F1365" s="18" t="s">
        <v>4505</v>
      </c>
      <c r="G1365" s="18" t="s">
        <v>4506</v>
      </c>
      <c r="H1365" s="18" t="s">
        <v>86</v>
      </c>
      <c r="I1365" s="18"/>
      <c r="J1365" s="16">
        <v>2026</v>
      </c>
      <c r="K1365" s="18" t="s">
        <v>4507</v>
      </c>
      <c r="L1365" s="16">
        <v>9785006300255</v>
      </c>
      <c r="M1365" s="18" t="s">
        <v>4508</v>
      </c>
      <c r="N1365" s="16">
        <v>272</v>
      </c>
      <c r="O1365" s="19">
        <v>0.42</v>
      </c>
      <c r="P1365" s="16">
        <v>150</v>
      </c>
      <c r="Q1365" s="16">
        <v>220</v>
      </c>
      <c r="R1365" s="16">
        <v>14</v>
      </c>
      <c r="S1365" s="18" t="s">
        <v>43</v>
      </c>
      <c r="T1365" s="18"/>
      <c r="U1365" s="17">
        <v>2000</v>
      </c>
      <c r="V1365" s="18" t="s">
        <v>77</v>
      </c>
      <c r="W1365" s="18" t="s">
        <v>69</v>
      </c>
      <c r="X1365" s="16">
        <v>10</v>
      </c>
      <c r="Y1365" s="43" t="str">
        <f>HYPERLINK("https://api-enni.alpina.ru/FilePrivilegesApproval/1009","https://api-enni.alpina.ru/FilePrivilegesApproval/1009")</f>
        <v>https://api-enni.alpina.ru/FilePrivilegesApproval/1009</v>
      </c>
      <c r="Z1365" s="18" t="s">
        <v>744</v>
      </c>
      <c r="AS1365" s="1">
        <f>IF($A1365&lt;&gt;0,1,0)</f>
        <v>0</v>
      </c>
      <c r="AT1365" s="1">
        <f>$A1365*$B1365</f>
        <v>0</v>
      </c>
      <c r="AU1365" s="1">
        <f>$A1365*$O1365</f>
        <v>0</v>
      </c>
      <c r="AV1365" s="1">
        <f>IF($R1365=0,0,INT($A1365/$R1365))</f>
        <v>0</v>
      </c>
      <c r="AW1365" s="1">
        <f>$A1365-$AV1365*$R1365</f>
        <v>0</v>
      </c>
    </row>
    <row r="1366" ht="24.95" customHeight="1" outlineLevel="3" s="1" customFormat="1">
      <c r="A1366" s="15"/>
      <c r="B1366" s="16">
        <v>690</v>
      </c>
      <c r="C1366" s="17">
        <v>1035</v>
      </c>
      <c r="D1366" s="16">
        <v>32030</v>
      </c>
      <c r="E1366" s="18"/>
      <c r="F1366" s="18" t="s">
        <v>4509</v>
      </c>
      <c r="G1366" s="18" t="s">
        <v>4510</v>
      </c>
      <c r="H1366" s="18" t="s">
        <v>86</v>
      </c>
      <c r="I1366" s="18" t="s">
        <v>74</v>
      </c>
      <c r="J1366" s="16">
        <v>2026</v>
      </c>
      <c r="K1366" s="18" t="s">
        <v>4511</v>
      </c>
      <c r="L1366" s="16">
        <v>9785006300910</v>
      </c>
      <c r="M1366" s="18" t="s">
        <v>4512</v>
      </c>
      <c r="N1366" s="16">
        <v>280</v>
      </c>
      <c r="O1366" s="19">
        <v>0.37</v>
      </c>
      <c r="P1366" s="16">
        <v>140</v>
      </c>
      <c r="Q1366" s="16">
        <v>210</v>
      </c>
      <c r="R1366" s="16">
        <v>12</v>
      </c>
      <c r="S1366" s="18" t="s">
        <v>43</v>
      </c>
      <c r="T1366" s="18"/>
      <c r="U1366" s="17">
        <v>2000</v>
      </c>
      <c r="V1366" s="18" t="s">
        <v>77</v>
      </c>
      <c r="W1366" s="18" t="s">
        <v>69</v>
      </c>
      <c r="X1366" s="16">
        <v>10</v>
      </c>
      <c r="Y1366" s="43" t="str">
        <f>HYPERLINK("https://api-enni.alpina.ru/FilePrivilegesApproval/1009","https://api-enni.alpina.ru/FilePrivilegesApproval/1009")</f>
        <v>https://api-enni.alpina.ru/FilePrivilegesApproval/1009</v>
      </c>
      <c r="Z1366" s="18"/>
      <c r="AS1366" s="1">
        <f>IF($A1366&lt;&gt;0,1,0)</f>
        <v>0</v>
      </c>
      <c r="AT1366" s="1">
        <f>$A1366*$B1366</f>
        <v>0</v>
      </c>
      <c r="AU1366" s="1">
        <f>$A1366*$O1366</f>
        <v>0</v>
      </c>
      <c r="AV1366" s="1">
        <f>IF($R1366=0,0,INT($A1366/$R1366))</f>
        <v>0</v>
      </c>
      <c r="AW1366" s="1">
        <f>$A1366-$AV1366*$R1366</f>
        <v>0</v>
      </c>
    </row>
    <row r="1367" ht="21.95" customHeight="1" outlineLevel="3" s="1" customFormat="1">
      <c r="A1367" s="15"/>
      <c r="B1367" s="17">
        <v>1718</v>
      </c>
      <c r="C1367" s="17">
        <v>2233</v>
      </c>
      <c r="D1367" s="16">
        <v>35870</v>
      </c>
      <c r="E1367" s="18"/>
      <c r="F1367" s="18" t="s">
        <v>4513</v>
      </c>
      <c r="G1367" s="18" t="s">
        <v>4514</v>
      </c>
      <c r="H1367" s="18" t="s">
        <v>95</v>
      </c>
      <c r="I1367" s="18"/>
      <c r="J1367" s="16">
        <v>2025</v>
      </c>
      <c r="K1367" s="18" t="s">
        <v>4515</v>
      </c>
      <c r="L1367" s="16">
        <v>9785206006063</v>
      </c>
      <c r="M1367" s="18" t="s">
        <v>4516</v>
      </c>
      <c r="N1367" s="16">
        <v>368</v>
      </c>
      <c r="O1367" s="19">
        <v>0.91</v>
      </c>
      <c r="P1367" s="16">
        <v>170</v>
      </c>
      <c r="Q1367" s="16">
        <v>220</v>
      </c>
      <c r="R1367" s="16">
        <v>5</v>
      </c>
      <c r="S1367" s="18" t="s">
        <v>52</v>
      </c>
      <c r="T1367" s="18"/>
      <c r="U1367" s="17">
        <v>5000</v>
      </c>
      <c r="V1367" s="18" t="s">
        <v>77</v>
      </c>
      <c r="W1367" s="18" t="s">
        <v>45</v>
      </c>
      <c r="X1367" s="16">
        <v>22</v>
      </c>
      <c r="Y1367" s="43" t="str">
        <f>HYPERLINK("","")</f>
      </c>
      <c r="Z1367" s="18"/>
      <c r="AS1367" s="1">
        <f>IF($A1367&lt;&gt;0,1,0)</f>
        <v>0</v>
      </c>
      <c r="AT1367" s="1">
        <f>$A1367*$B1367</f>
        <v>0</v>
      </c>
      <c r="AU1367" s="1">
        <f>$A1367*$O1367</f>
        <v>0</v>
      </c>
      <c r="AV1367" s="1">
        <f>IF($R1367=0,0,INT($A1367/$R1367))</f>
        <v>0</v>
      </c>
      <c r="AW1367" s="1">
        <f>$A1367-$AV1367*$R1367</f>
        <v>0</v>
      </c>
    </row>
    <row r="1368" ht="11.1" customHeight="1" outlineLevel="2">
      <c r="A1368" s="41" t="s">
        <v>4517</v>
      </c>
      <c r="B1368" s="41"/>
      <c r="C1368" s="41"/>
      <c r="D1368" s="41"/>
      <c r="E1368" s="41"/>
      <c r="F1368" s="41"/>
      <c r="G1368" s="41"/>
      <c r="H1368" s="41"/>
      <c r="I1368" s="41"/>
      <c r="J1368" s="41"/>
      <c r="K1368" s="41"/>
      <c r="L1368" s="41"/>
      <c r="M1368" s="41"/>
      <c r="N1368" s="41"/>
      <c r="O1368" s="41"/>
      <c r="P1368" s="41"/>
      <c r="Q1368" s="41"/>
      <c r="R1368" s="41"/>
      <c r="S1368" s="41"/>
      <c r="T1368" s="41"/>
      <c r="U1368" s="41"/>
      <c r="V1368" s="41"/>
      <c r="W1368" s="41"/>
      <c r="X1368" s="41"/>
      <c r="Y1368" s="41"/>
      <c r="Z1368" s="24"/>
    </row>
    <row r="1369" ht="24.95" customHeight="1" outlineLevel="3" s="1" customFormat="1">
      <c r="A1369" s="15"/>
      <c r="B1369" s="16">
        <v>590</v>
      </c>
      <c r="C1369" s="16">
        <v>885</v>
      </c>
      <c r="D1369" s="16">
        <v>27423</v>
      </c>
      <c r="E1369" s="18"/>
      <c r="F1369" s="18" t="s">
        <v>4518</v>
      </c>
      <c r="G1369" s="18" t="s">
        <v>4519</v>
      </c>
      <c r="H1369" s="18" t="s">
        <v>86</v>
      </c>
      <c r="I1369" s="18"/>
      <c r="J1369" s="16">
        <v>2025</v>
      </c>
      <c r="K1369" s="18" t="s">
        <v>4520</v>
      </c>
      <c r="L1369" s="16">
        <v>9785961484939</v>
      </c>
      <c r="M1369" s="18" t="s">
        <v>4521</v>
      </c>
      <c r="N1369" s="16">
        <v>264</v>
      </c>
      <c r="O1369" s="19">
        <v>0.33</v>
      </c>
      <c r="P1369" s="16">
        <v>140</v>
      </c>
      <c r="Q1369" s="16">
        <v>210</v>
      </c>
      <c r="R1369" s="16">
        <v>16</v>
      </c>
      <c r="S1369" s="18" t="s">
        <v>43</v>
      </c>
      <c r="T1369" s="18"/>
      <c r="U1369" s="17">
        <v>8000</v>
      </c>
      <c r="V1369" s="18" t="s">
        <v>44</v>
      </c>
      <c r="W1369" s="18" t="s">
        <v>45</v>
      </c>
      <c r="X1369" s="16">
        <v>10</v>
      </c>
      <c r="Y1369" s="43" t="str">
        <f>HYPERLINK("https://api-enni.alpina.ru/FilePrivilegesApproval/200","https://api-enni.alpina.ru/FilePrivilegesApproval/200")</f>
        <v>https://api-enni.alpina.ru/FilePrivilegesApproval/200</v>
      </c>
      <c r="Z1369" s="18"/>
      <c r="AS1369" s="1">
        <f>IF($A1369&lt;&gt;0,1,0)</f>
        <v>0</v>
      </c>
      <c r="AT1369" s="1">
        <f>$A1369*$B1369</f>
        <v>0</v>
      </c>
      <c r="AU1369" s="1">
        <f>$A1369*$O1369</f>
        <v>0</v>
      </c>
      <c r="AV1369" s="1">
        <f>IF($R1369=0,0,INT($A1369/$R1369))</f>
        <v>0</v>
      </c>
      <c r="AW1369" s="1">
        <f>$A1369-$AV1369*$R1369</f>
        <v>0</v>
      </c>
    </row>
    <row r="1370" ht="24.95" customHeight="1" outlineLevel="3" s="1" customFormat="1">
      <c r="A1370" s="15"/>
      <c r="B1370" s="16">
        <v>740</v>
      </c>
      <c r="C1370" s="17">
        <v>1073</v>
      </c>
      <c r="D1370" s="16">
        <v>27558</v>
      </c>
      <c r="E1370" s="18"/>
      <c r="F1370" s="18" t="s">
        <v>3817</v>
      </c>
      <c r="G1370" s="18" t="s">
        <v>4522</v>
      </c>
      <c r="H1370" s="18" t="s">
        <v>86</v>
      </c>
      <c r="I1370" s="18"/>
      <c r="J1370" s="16">
        <v>2026</v>
      </c>
      <c r="K1370" s="18" t="s">
        <v>4523</v>
      </c>
      <c r="L1370" s="16">
        <v>9785961485615</v>
      </c>
      <c r="M1370" s="18" t="s">
        <v>4524</v>
      </c>
      <c r="N1370" s="16">
        <v>278</v>
      </c>
      <c r="O1370" s="19">
        <v>0.4</v>
      </c>
      <c r="P1370" s="16">
        <v>140</v>
      </c>
      <c r="Q1370" s="16">
        <v>210</v>
      </c>
      <c r="R1370" s="16">
        <v>12</v>
      </c>
      <c r="S1370" s="18" t="s">
        <v>43</v>
      </c>
      <c r="T1370" s="18"/>
      <c r="U1370" s="17">
        <v>3000</v>
      </c>
      <c r="V1370" s="18" t="s">
        <v>44</v>
      </c>
      <c r="W1370" s="18" t="s">
        <v>45</v>
      </c>
      <c r="X1370" s="16">
        <v>10</v>
      </c>
      <c r="Y1370" s="43" t="str">
        <f>HYPERLINK("https://api-enni.alpina.ru/FilePrivilegesApproval/172","https://api-enni.alpina.ru/FilePrivilegesApproval/172")</f>
        <v>https://api-enni.alpina.ru/FilePrivilegesApproval/172</v>
      </c>
      <c r="Z1370" s="18"/>
      <c r="AS1370" s="1">
        <f>IF($A1370&lt;&gt;0,1,0)</f>
        <v>0</v>
      </c>
      <c r="AT1370" s="1">
        <f>$A1370*$B1370</f>
        <v>0</v>
      </c>
      <c r="AU1370" s="1">
        <f>$A1370*$O1370</f>
        <v>0</v>
      </c>
      <c r="AV1370" s="1">
        <f>IF($R1370=0,0,INT($A1370/$R1370))</f>
        <v>0</v>
      </c>
      <c r="AW1370" s="1">
        <f>$A1370-$AV1370*$R1370</f>
        <v>0</v>
      </c>
    </row>
    <row r="1371" ht="24.95" customHeight="1" outlineLevel="3" s="1" customFormat="1">
      <c r="A1371" s="15"/>
      <c r="B1371" s="16">
        <v>740</v>
      </c>
      <c r="C1371" s="17">
        <v>1073</v>
      </c>
      <c r="D1371" s="16">
        <v>29385</v>
      </c>
      <c r="E1371" s="18"/>
      <c r="F1371" s="18" t="s">
        <v>3817</v>
      </c>
      <c r="G1371" s="18" t="s">
        <v>4525</v>
      </c>
      <c r="H1371" s="18" t="s">
        <v>86</v>
      </c>
      <c r="I1371" s="18"/>
      <c r="J1371" s="16">
        <v>2026</v>
      </c>
      <c r="K1371" s="18" t="s">
        <v>4526</v>
      </c>
      <c r="L1371" s="16">
        <v>9785961492316</v>
      </c>
      <c r="M1371" s="18" t="s">
        <v>4527</v>
      </c>
      <c r="N1371" s="16">
        <v>376</v>
      </c>
      <c r="O1371" s="19">
        <v>0.45</v>
      </c>
      <c r="P1371" s="16">
        <v>140</v>
      </c>
      <c r="Q1371" s="16">
        <v>210</v>
      </c>
      <c r="R1371" s="16">
        <v>10</v>
      </c>
      <c r="S1371" s="18" t="s">
        <v>43</v>
      </c>
      <c r="T1371" s="18"/>
      <c r="U1371" s="17">
        <v>3000</v>
      </c>
      <c r="V1371" s="18" t="s">
        <v>44</v>
      </c>
      <c r="W1371" s="18" t="s">
        <v>45</v>
      </c>
      <c r="X1371" s="16">
        <v>10</v>
      </c>
      <c r="Y1371" s="43" t="str">
        <f>HYPERLINK("https://api-enni.alpina.ru/FilePrivilegesApproval/293","https://api-enni.alpina.ru/FilePrivilegesApproval/293")</f>
        <v>https://api-enni.alpina.ru/FilePrivilegesApproval/293</v>
      </c>
      <c r="Z1371" s="18"/>
      <c r="AS1371" s="1">
        <f>IF($A1371&lt;&gt;0,1,0)</f>
        <v>0</v>
      </c>
      <c r="AT1371" s="1">
        <f>$A1371*$B1371</f>
        <v>0</v>
      </c>
      <c r="AU1371" s="1">
        <f>$A1371*$O1371</f>
        <v>0</v>
      </c>
      <c r="AV1371" s="1">
        <f>IF($R1371=0,0,INT($A1371/$R1371))</f>
        <v>0</v>
      </c>
      <c r="AW1371" s="1">
        <f>$A1371-$AV1371*$R1371</f>
        <v>0</v>
      </c>
    </row>
    <row r="1372" ht="24.95" customHeight="1" outlineLevel="3" s="1" customFormat="1">
      <c r="A1372" s="15"/>
      <c r="B1372" s="16">
        <v>640</v>
      </c>
      <c r="C1372" s="16">
        <v>960</v>
      </c>
      <c r="D1372" s="16">
        <v>32619</v>
      </c>
      <c r="E1372" s="18"/>
      <c r="F1372" s="18" t="s">
        <v>3044</v>
      </c>
      <c r="G1372" s="18" t="s">
        <v>4528</v>
      </c>
      <c r="H1372" s="18" t="s">
        <v>86</v>
      </c>
      <c r="I1372" s="18"/>
      <c r="J1372" s="16">
        <v>2025</v>
      </c>
      <c r="K1372" s="18" t="s">
        <v>4529</v>
      </c>
      <c r="L1372" s="16">
        <v>9785006302747</v>
      </c>
      <c r="M1372" s="18" t="s">
        <v>4530</v>
      </c>
      <c r="N1372" s="16">
        <v>222</v>
      </c>
      <c r="O1372" s="19">
        <v>0.38</v>
      </c>
      <c r="P1372" s="16">
        <v>150</v>
      </c>
      <c r="Q1372" s="16">
        <v>220</v>
      </c>
      <c r="R1372" s="16">
        <v>16</v>
      </c>
      <c r="S1372" s="18" t="s">
        <v>43</v>
      </c>
      <c r="T1372" s="18"/>
      <c r="U1372" s="17">
        <v>2000</v>
      </c>
      <c r="V1372" s="18" t="s">
        <v>77</v>
      </c>
      <c r="W1372" s="18" t="s">
        <v>45</v>
      </c>
      <c r="X1372" s="16">
        <v>10</v>
      </c>
      <c r="Y1372" s="43" t="str">
        <f>HYPERLINK("https://api-enni.alpina.ru/FilePrivilegesApproval/1049","https://api-enni.alpina.ru/FilePrivilegesApproval/1049")</f>
        <v>https://api-enni.alpina.ru/FilePrivilegesApproval/1049</v>
      </c>
      <c r="Z1372" s="18"/>
      <c r="AS1372" s="1">
        <f>IF($A1372&lt;&gt;0,1,0)</f>
        <v>0</v>
      </c>
      <c r="AT1372" s="1">
        <f>$A1372*$B1372</f>
        <v>0</v>
      </c>
      <c r="AU1372" s="1">
        <f>$A1372*$O1372</f>
        <v>0</v>
      </c>
      <c r="AV1372" s="1">
        <f>IF($R1372=0,0,INT($A1372/$R1372))</f>
        <v>0</v>
      </c>
      <c r="AW1372" s="1">
        <f>$A1372-$AV1372*$R1372</f>
        <v>0</v>
      </c>
    </row>
    <row r="1373" ht="24.95" customHeight="1" outlineLevel="3" s="1" customFormat="1">
      <c r="A1373" s="15"/>
      <c r="B1373" s="16">
        <v>640</v>
      </c>
      <c r="C1373" s="16">
        <v>960</v>
      </c>
      <c r="D1373" s="16">
        <v>31537</v>
      </c>
      <c r="E1373" s="18"/>
      <c r="F1373" s="18" t="s">
        <v>4531</v>
      </c>
      <c r="G1373" s="18" t="s">
        <v>4532</v>
      </c>
      <c r="H1373" s="18" t="s">
        <v>86</v>
      </c>
      <c r="I1373" s="18" t="s">
        <v>160</v>
      </c>
      <c r="J1373" s="16">
        <v>2025</v>
      </c>
      <c r="K1373" s="18" t="s">
        <v>4533</v>
      </c>
      <c r="L1373" s="16">
        <v>9785961499186</v>
      </c>
      <c r="M1373" s="18" t="s">
        <v>4534</v>
      </c>
      <c r="N1373" s="16">
        <v>311</v>
      </c>
      <c r="O1373" s="19">
        <v>0.47</v>
      </c>
      <c r="P1373" s="16">
        <v>150</v>
      </c>
      <c r="Q1373" s="16">
        <v>220</v>
      </c>
      <c r="R1373" s="16">
        <v>14</v>
      </c>
      <c r="S1373" s="18" t="s">
        <v>43</v>
      </c>
      <c r="T1373" s="18"/>
      <c r="U1373" s="17">
        <v>2000</v>
      </c>
      <c r="V1373" s="18" t="s">
        <v>77</v>
      </c>
      <c r="W1373" s="18" t="s">
        <v>69</v>
      </c>
      <c r="X1373" s="16">
        <v>10</v>
      </c>
      <c r="Y1373" s="43" t="str">
        <f>HYPERLINK("https://api-enni.alpina.ru/FilePrivilegesApproval/856","https://api-enni.alpina.ru/FilePrivilegesApproval/856")</f>
        <v>https://api-enni.alpina.ru/FilePrivilegesApproval/856</v>
      </c>
      <c r="Z1373" s="18"/>
      <c r="AS1373" s="1">
        <f>IF($A1373&lt;&gt;0,1,0)</f>
        <v>0</v>
      </c>
      <c r="AT1373" s="1">
        <f>$A1373*$B1373</f>
        <v>0</v>
      </c>
      <c r="AU1373" s="1">
        <f>$A1373*$O1373</f>
        <v>0</v>
      </c>
      <c r="AV1373" s="1">
        <f>IF($R1373=0,0,INT($A1373/$R1373))</f>
        <v>0</v>
      </c>
      <c r="AW1373" s="1">
        <f>$A1373-$AV1373*$R1373</f>
        <v>0</v>
      </c>
    </row>
    <row r="1374" ht="24.95" customHeight="1" outlineLevel="3" s="1" customFormat="1">
      <c r="A1374" s="15"/>
      <c r="B1374" s="16">
        <v>840</v>
      </c>
      <c r="C1374" s="17">
        <v>1218</v>
      </c>
      <c r="D1374" s="16">
        <v>17984</v>
      </c>
      <c r="E1374" s="18"/>
      <c r="F1374" s="18" t="s">
        <v>4535</v>
      </c>
      <c r="G1374" s="18" t="s">
        <v>4536</v>
      </c>
      <c r="H1374" s="18" t="s">
        <v>86</v>
      </c>
      <c r="I1374" s="18" t="s">
        <v>74</v>
      </c>
      <c r="J1374" s="16">
        <v>2025</v>
      </c>
      <c r="K1374" s="18" t="s">
        <v>4537</v>
      </c>
      <c r="L1374" s="16">
        <v>9785961432787</v>
      </c>
      <c r="M1374" s="18" t="s">
        <v>4538</v>
      </c>
      <c r="N1374" s="16">
        <v>172</v>
      </c>
      <c r="O1374" s="19">
        <v>0.48</v>
      </c>
      <c r="P1374" s="16">
        <v>180</v>
      </c>
      <c r="Q1374" s="16">
        <v>240</v>
      </c>
      <c r="R1374" s="16">
        <v>10</v>
      </c>
      <c r="S1374" s="18" t="s">
        <v>123</v>
      </c>
      <c r="T1374" s="18"/>
      <c r="U1374" s="17">
        <v>2500</v>
      </c>
      <c r="V1374" s="18" t="s">
        <v>77</v>
      </c>
      <c r="W1374" s="18" t="s">
        <v>45</v>
      </c>
      <c r="X1374" s="16">
        <v>10</v>
      </c>
      <c r="Y1374" s="43" t="str">
        <f>HYPERLINK("https://api-enni.alpina.ru/FilePrivilegesApproval/542","https://api-enni.alpina.ru/FilePrivilegesApproval/542")</f>
        <v>https://api-enni.alpina.ru/FilePrivilegesApproval/542</v>
      </c>
      <c r="Z1374" s="18"/>
      <c r="AS1374" s="1">
        <f>IF($A1374&lt;&gt;0,1,0)</f>
        <v>0</v>
      </c>
      <c r="AT1374" s="1">
        <f>$A1374*$B1374</f>
        <v>0</v>
      </c>
      <c r="AU1374" s="1">
        <f>$A1374*$O1374</f>
        <v>0</v>
      </c>
      <c r="AV1374" s="1">
        <f>IF($R1374=0,0,INT($A1374/$R1374))</f>
        <v>0</v>
      </c>
      <c r="AW1374" s="1">
        <f>$A1374-$AV1374*$R1374</f>
        <v>0</v>
      </c>
    </row>
    <row r="1375" ht="24.95" customHeight="1" outlineLevel="3" s="1" customFormat="1">
      <c r="A1375" s="15"/>
      <c r="B1375" s="16">
        <v>550</v>
      </c>
      <c r="C1375" s="16">
        <v>852</v>
      </c>
      <c r="D1375" s="16">
        <v>29724</v>
      </c>
      <c r="E1375" s="18"/>
      <c r="F1375" s="18" t="s">
        <v>1645</v>
      </c>
      <c r="G1375" s="18" t="s">
        <v>4539</v>
      </c>
      <c r="H1375" s="18" t="s">
        <v>86</v>
      </c>
      <c r="I1375" s="18" t="s">
        <v>74</v>
      </c>
      <c r="J1375" s="16">
        <v>2025</v>
      </c>
      <c r="K1375" s="18" t="s">
        <v>4540</v>
      </c>
      <c r="L1375" s="16">
        <v>9785961493603</v>
      </c>
      <c r="M1375" s="18" t="s">
        <v>4541</v>
      </c>
      <c r="N1375" s="16">
        <v>384</v>
      </c>
      <c r="O1375" s="19">
        <v>0.56</v>
      </c>
      <c r="P1375" s="16">
        <v>150</v>
      </c>
      <c r="Q1375" s="16">
        <v>220</v>
      </c>
      <c r="R1375" s="16">
        <v>12</v>
      </c>
      <c r="S1375" s="18" t="s">
        <v>43</v>
      </c>
      <c r="T1375" s="18"/>
      <c r="U1375" s="17">
        <v>2000</v>
      </c>
      <c r="V1375" s="18" t="s">
        <v>77</v>
      </c>
      <c r="W1375" s="18" t="s">
        <v>45</v>
      </c>
      <c r="X1375" s="16">
        <v>10</v>
      </c>
      <c r="Y1375" s="43" t="str">
        <f>HYPERLINK("https://api-enni.alpina.ru/FilePrivilegesApproval/815","https://api-enni.alpina.ru/FilePrivilegesApproval/815")</f>
        <v>https://api-enni.alpina.ru/FilePrivilegesApproval/815</v>
      </c>
      <c r="Z1375" s="18"/>
      <c r="AS1375" s="1">
        <f>IF($A1375&lt;&gt;0,1,0)</f>
        <v>0</v>
      </c>
      <c r="AT1375" s="1">
        <f>$A1375*$B1375</f>
        <v>0</v>
      </c>
      <c r="AU1375" s="1">
        <f>$A1375*$O1375</f>
        <v>0</v>
      </c>
      <c r="AV1375" s="1">
        <f>IF($R1375=0,0,INT($A1375/$R1375))</f>
        <v>0</v>
      </c>
      <c r="AW1375" s="1">
        <f>$A1375-$AV1375*$R1375</f>
        <v>0</v>
      </c>
    </row>
    <row r="1376" ht="24.95" customHeight="1" outlineLevel="3" s="1" customFormat="1">
      <c r="A1376" s="15"/>
      <c r="B1376" s="16">
        <v>690</v>
      </c>
      <c r="C1376" s="17">
        <v>1035</v>
      </c>
      <c r="D1376" s="16">
        <v>30457</v>
      </c>
      <c r="E1376" s="18"/>
      <c r="F1376" s="18" t="s">
        <v>4542</v>
      </c>
      <c r="G1376" s="18" t="s">
        <v>4543</v>
      </c>
      <c r="H1376" s="18" t="s">
        <v>86</v>
      </c>
      <c r="I1376" s="18" t="s">
        <v>65</v>
      </c>
      <c r="J1376" s="16">
        <v>2025</v>
      </c>
      <c r="K1376" s="18" t="s">
        <v>4544</v>
      </c>
      <c r="L1376" s="16">
        <v>9785961495546</v>
      </c>
      <c r="M1376" s="18" t="s">
        <v>4545</v>
      </c>
      <c r="N1376" s="16">
        <v>318</v>
      </c>
      <c r="O1376" s="19">
        <v>0.48</v>
      </c>
      <c r="P1376" s="16">
        <v>150</v>
      </c>
      <c r="Q1376" s="16">
        <v>220</v>
      </c>
      <c r="R1376" s="16">
        <v>12</v>
      </c>
      <c r="S1376" s="18" t="s">
        <v>43</v>
      </c>
      <c r="T1376" s="18"/>
      <c r="U1376" s="17">
        <v>2000</v>
      </c>
      <c r="V1376" s="18" t="s">
        <v>77</v>
      </c>
      <c r="W1376" s="18" t="s">
        <v>69</v>
      </c>
      <c r="X1376" s="16">
        <v>10</v>
      </c>
      <c r="Y1376" s="43" t="str">
        <f>HYPERLINK("https://api-enni.alpina.ru/FilePrivilegesApproval/856","https://api-enni.alpina.ru/FilePrivilegesApproval/856")</f>
        <v>https://api-enni.alpina.ru/FilePrivilegesApproval/856</v>
      </c>
      <c r="Z1376" s="18"/>
      <c r="AS1376" s="1">
        <f>IF($A1376&lt;&gt;0,1,0)</f>
        <v>0</v>
      </c>
      <c r="AT1376" s="1">
        <f>$A1376*$B1376</f>
        <v>0</v>
      </c>
      <c r="AU1376" s="1">
        <f>$A1376*$O1376</f>
        <v>0</v>
      </c>
      <c r="AV1376" s="1">
        <f>IF($R1376=0,0,INT($A1376/$R1376))</f>
        <v>0</v>
      </c>
      <c r="AW1376" s="1">
        <f>$A1376-$AV1376*$R1376</f>
        <v>0</v>
      </c>
    </row>
    <row r="1377" ht="24.95" customHeight="1" outlineLevel="3" s="1" customFormat="1">
      <c r="A1377" s="15"/>
      <c r="B1377" s="16">
        <v>540</v>
      </c>
      <c r="C1377" s="16">
        <v>837</v>
      </c>
      <c r="D1377" s="16">
        <v>30336</v>
      </c>
      <c r="E1377" s="18"/>
      <c r="F1377" s="18" t="s">
        <v>4546</v>
      </c>
      <c r="G1377" s="18" t="s">
        <v>4547</v>
      </c>
      <c r="H1377" s="18" t="s">
        <v>3948</v>
      </c>
      <c r="I1377" s="18" t="s">
        <v>74</v>
      </c>
      <c r="J1377" s="16">
        <v>2024</v>
      </c>
      <c r="K1377" s="18" t="s">
        <v>4548</v>
      </c>
      <c r="L1377" s="16">
        <v>9785002161577</v>
      </c>
      <c r="M1377" s="18" t="s">
        <v>4549</v>
      </c>
      <c r="N1377" s="16">
        <v>480</v>
      </c>
      <c r="O1377" s="19">
        <v>0.49</v>
      </c>
      <c r="P1377" s="16">
        <v>150</v>
      </c>
      <c r="Q1377" s="16">
        <v>210</v>
      </c>
      <c r="R1377" s="16">
        <v>4</v>
      </c>
      <c r="S1377" s="18" t="s">
        <v>43</v>
      </c>
      <c r="T1377" s="18"/>
      <c r="U1377" s="17">
        <v>3317</v>
      </c>
      <c r="V1377" s="18" t="s">
        <v>44</v>
      </c>
      <c r="W1377" s="18" t="s">
        <v>69</v>
      </c>
      <c r="X1377" s="16">
        <v>10</v>
      </c>
      <c r="Y1377" s="43" t="str">
        <f>HYPERLINK("https://api-enni.alpina.ru/FilePrivilegesApproval/581","https://api-enni.alpina.ru/FilePrivilegesApproval/581")</f>
        <v>https://api-enni.alpina.ru/FilePrivilegesApproval/581</v>
      </c>
      <c r="Z1377" s="18"/>
      <c r="AS1377" s="1">
        <f>IF($A1377&lt;&gt;0,1,0)</f>
        <v>0</v>
      </c>
      <c r="AT1377" s="1">
        <f>$A1377*$B1377</f>
        <v>0</v>
      </c>
      <c r="AU1377" s="1">
        <f>$A1377*$O1377</f>
        <v>0</v>
      </c>
      <c r="AV1377" s="1">
        <f>IF($R1377=0,0,INT($A1377/$R1377))</f>
        <v>0</v>
      </c>
      <c r="AW1377" s="1">
        <f>$A1377-$AV1377*$R1377</f>
        <v>0</v>
      </c>
    </row>
    <row r="1378" ht="24.95" customHeight="1" outlineLevel="3" s="1" customFormat="1">
      <c r="A1378" s="15"/>
      <c r="B1378" s="16">
        <v>740</v>
      </c>
      <c r="C1378" s="17">
        <v>1073</v>
      </c>
      <c r="D1378" s="16">
        <v>33325</v>
      </c>
      <c r="E1378" s="18"/>
      <c r="F1378" s="18" t="s">
        <v>3817</v>
      </c>
      <c r="G1378" s="18" t="s">
        <v>4550</v>
      </c>
      <c r="H1378" s="18" t="s">
        <v>86</v>
      </c>
      <c r="I1378" s="18"/>
      <c r="J1378" s="16">
        <v>2026</v>
      </c>
      <c r="K1378" s="18" t="s">
        <v>4551</v>
      </c>
      <c r="L1378" s="16">
        <v>9785006304284</v>
      </c>
      <c r="M1378" s="18" t="s">
        <v>4552</v>
      </c>
      <c r="N1378" s="16">
        <v>298</v>
      </c>
      <c r="O1378" s="19">
        <v>0.38</v>
      </c>
      <c r="P1378" s="16">
        <v>140</v>
      </c>
      <c r="Q1378" s="16">
        <v>210</v>
      </c>
      <c r="R1378" s="16">
        <v>10</v>
      </c>
      <c r="S1378" s="18" t="s">
        <v>43</v>
      </c>
      <c r="T1378" s="18"/>
      <c r="U1378" s="17">
        <v>1000</v>
      </c>
      <c r="V1378" s="18" t="s">
        <v>44</v>
      </c>
      <c r="W1378" s="18" t="s">
        <v>45</v>
      </c>
      <c r="X1378" s="16">
        <v>10</v>
      </c>
      <c r="Y1378" s="43" t="str">
        <f>HYPERLINK("https://api-enni.alpina.ru/FilePrivilegesApproval/856","https://api-enni.alpina.ru/FilePrivilegesApproval/856")</f>
        <v>https://api-enni.alpina.ru/FilePrivilegesApproval/856</v>
      </c>
      <c r="Z1378" s="18" t="s">
        <v>119</v>
      </c>
      <c r="AS1378" s="1">
        <f>IF($A1378&lt;&gt;0,1,0)</f>
        <v>0</v>
      </c>
      <c r="AT1378" s="1">
        <f>$A1378*$B1378</f>
        <v>0</v>
      </c>
      <c r="AU1378" s="1">
        <f>$A1378*$O1378</f>
        <v>0</v>
      </c>
      <c r="AV1378" s="1">
        <f>IF($R1378=0,0,INT($A1378/$R1378))</f>
        <v>0</v>
      </c>
      <c r="AW1378" s="1">
        <f>$A1378-$AV1378*$R1378</f>
        <v>0</v>
      </c>
    </row>
    <row r="1379" ht="24.95" customHeight="1" outlineLevel="3" s="1" customFormat="1">
      <c r="A1379" s="15"/>
      <c r="B1379" s="16">
        <v>790</v>
      </c>
      <c r="C1379" s="17">
        <v>1146</v>
      </c>
      <c r="D1379" s="16">
        <v>30552</v>
      </c>
      <c r="E1379" s="18"/>
      <c r="F1379" s="18" t="s">
        <v>3817</v>
      </c>
      <c r="G1379" s="18" t="s">
        <v>4553</v>
      </c>
      <c r="H1379" s="18" t="s">
        <v>86</v>
      </c>
      <c r="I1379" s="18"/>
      <c r="J1379" s="16">
        <v>2025</v>
      </c>
      <c r="K1379" s="18" t="s">
        <v>4554</v>
      </c>
      <c r="L1379" s="16">
        <v>9785961495867</v>
      </c>
      <c r="M1379" s="18" t="s">
        <v>4555</v>
      </c>
      <c r="N1379" s="16">
        <v>304</v>
      </c>
      <c r="O1379" s="19">
        <v>0.5</v>
      </c>
      <c r="P1379" s="16">
        <v>150</v>
      </c>
      <c r="Q1379" s="16">
        <v>220</v>
      </c>
      <c r="R1379" s="16">
        <v>12</v>
      </c>
      <c r="S1379" s="18" t="s">
        <v>43</v>
      </c>
      <c r="T1379" s="18"/>
      <c r="U1379" s="17">
        <v>4000</v>
      </c>
      <c r="V1379" s="18" t="s">
        <v>77</v>
      </c>
      <c r="W1379" s="18" t="s">
        <v>45</v>
      </c>
      <c r="X1379" s="16">
        <v>10</v>
      </c>
      <c r="Y1379" s="43" t="str">
        <f>HYPERLINK("https://api-enni.alpina.ru/FilePrivilegesApproval/873","https://api-enni.alpina.ru/FilePrivilegesApproval/873")</f>
        <v>https://api-enni.alpina.ru/FilePrivilegesApproval/873</v>
      </c>
      <c r="Z1379" s="18"/>
      <c r="AS1379" s="1">
        <f>IF($A1379&lt;&gt;0,1,0)</f>
        <v>0</v>
      </c>
      <c r="AT1379" s="1">
        <f>$A1379*$B1379</f>
        <v>0</v>
      </c>
      <c r="AU1379" s="1">
        <f>$A1379*$O1379</f>
        <v>0</v>
      </c>
      <c r="AV1379" s="1">
        <f>IF($R1379=0,0,INT($A1379/$R1379))</f>
        <v>0</v>
      </c>
      <c r="AW1379" s="1">
        <f>$A1379-$AV1379*$R1379</f>
        <v>0</v>
      </c>
    </row>
    <row r="1380" ht="11.1" customHeight="1" outlineLevel="2">
      <c r="A1380" s="41" t="s">
        <v>4556</v>
      </c>
      <c r="B1380" s="41"/>
      <c r="C1380" s="41"/>
      <c r="D1380" s="41"/>
      <c r="E1380" s="41"/>
      <c r="F1380" s="41"/>
      <c r="G1380" s="41"/>
      <c r="H1380" s="41"/>
      <c r="I1380" s="41"/>
      <c r="J1380" s="41"/>
      <c r="K1380" s="41"/>
      <c r="L1380" s="41"/>
      <c r="M1380" s="41"/>
      <c r="N1380" s="41"/>
      <c r="O1380" s="41"/>
      <c r="P1380" s="41"/>
      <c r="Q1380" s="41"/>
      <c r="R1380" s="41"/>
      <c r="S1380" s="41"/>
      <c r="T1380" s="41"/>
      <c r="U1380" s="41"/>
      <c r="V1380" s="41"/>
      <c r="W1380" s="41"/>
      <c r="X1380" s="41"/>
      <c r="Y1380" s="41"/>
      <c r="Z1380" s="24"/>
    </row>
    <row r="1381" ht="24.95" customHeight="1" outlineLevel="3" s="1" customFormat="1">
      <c r="A1381" s="15"/>
      <c r="B1381" s="17">
        <v>3150</v>
      </c>
      <c r="C1381" s="17">
        <v>4095</v>
      </c>
      <c r="D1381" s="16">
        <v>30182</v>
      </c>
      <c r="E1381" s="18"/>
      <c r="F1381" s="18" t="s">
        <v>4557</v>
      </c>
      <c r="G1381" s="18" t="s">
        <v>4558</v>
      </c>
      <c r="H1381" s="18" t="s">
        <v>95</v>
      </c>
      <c r="I1381" s="18"/>
      <c r="J1381" s="16">
        <v>2024</v>
      </c>
      <c r="K1381" s="18" t="s">
        <v>4559</v>
      </c>
      <c r="L1381" s="16">
        <v>9785206003109</v>
      </c>
      <c r="M1381" s="18" t="s">
        <v>4560</v>
      </c>
      <c r="N1381" s="16">
        <v>570</v>
      </c>
      <c r="O1381" s="19">
        <v>1.41</v>
      </c>
      <c r="P1381" s="16">
        <v>210</v>
      </c>
      <c r="Q1381" s="16">
        <v>270</v>
      </c>
      <c r="R1381" s="16">
        <v>4</v>
      </c>
      <c r="S1381" s="18" t="s">
        <v>328</v>
      </c>
      <c r="T1381" s="18"/>
      <c r="U1381" s="17">
        <v>1005</v>
      </c>
      <c r="V1381" s="18" t="s">
        <v>77</v>
      </c>
      <c r="W1381" s="18" t="s">
        <v>69</v>
      </c>
      <c r="X1381" s="16">
        <v>10</v>
      </c>
      <c r="Y1381" s="43" t="str">
        <f>HYPERLINK("https://api-enni.alpina.ru/FilePrivilegesApproval/394","https://api-enni.alpina.ru/FilePrivilegesApproval/394")</f>
        <v>https://api-enni.alpina.ru/FilePrivilegesApproval/394</v>
      </c>
      <c r="Z1381" s="18"/>
      <c r="AS1381" s="1">
        <f>IF($A1381&lt;&gt;0,1,0)</f>
        <v>0</v>
      </c>
      <c r="AT1381" s="1">
        <f>$A1381*$B1381</f>
        <v>0</v>
      </c>
      <c r="AU1381" s="1">
        <f>$A1381*$O1381</f>
        <v>0</v>
      </c>
      <c r="AV1381" s="1">
        <f>IF($R1381=0,0,INT($A1381/$R1381))</f>
        <v>0</v>
      </c>
      <c r="AW1381" s="1">
        <f>$A1381-$AV1381*$R1381</f>
        <v>0</v>
      </c>
    </row>
    <row r="1382" ht="24.95" customHeight="1" outlineLevel="3" s="1" customFormat="1">
      <c r="A1382" s="15"/>
      <c r="B1382" s="16">
        <v>990</v>
      </c>
      <c r="C1382" s="17">
        <v>1386</v>
      </c>
      <c r="D1382" s="16">
        <v>26594</v>
      </c>
      <c r="E1382" s="18"/>
      <c r="F1382" s="18" t="s">
        <v>324</v>
      </c>
      <c r="G1382" s="18" t="s">
        <v>4561</v>
      </c>
      <c r="H1382" s="18" t="s">
        <v>86</v>
      </c>
      <c r="I1382" s="18"/>
      <c r="J1382" s="16">
        <v>2025</v>
      </c>
      <c r="K1382" s="18" t="s">
        <v>4562</v>
      </c>
      <c r="L1382" s="16">
        <v>9785961482348</v>
      </c>
      <c r="M1382" s="18" t="s">
        <v>4563</v>
      </c>
      <c r="N1382" s="16">
        <v>400</v>
      </c>
      <c r="O1382" s="19">
        <v>0.7</v>
      </c>
      <c r="P1382" s="16">
        <v>170</v>
      </c>
      <c r="Q1382" s="16">
        <v>230</v>
      </c>
      <c r="R1382" s="16">
        <v>6</v>
      </c>
      <c r="S1382" s="18" t="s">
        <v>52</v>
      </c>
      <c r="T1382" s="18"/>
      <c r="U1382" s="17">
        <v>2000</v>
      </c>
      <c r="V1382" s="18" t="s">
        <v>77</v>
      </c>
      <c r="W1382" s="18" t="s">
        <v>91</v>
      </c>
      <c r="X1382" s="16">
        <v>10</v>
      </c>
      <c r="Y1382" s="43" t="str">
        <f>HYPERLINK("https://api-enni.alpina.ru/FilePrivilegesApproval/328","https://api-enni.alpina.ru/FilePrivilegesApproval/328")</f>
        <v>https://api-enni.alpina.ru/FilePrivilegesApproval/328</v>
      </c>
      <c r="Z1382" s="18"/>
      <c r="AS1382" s="1">
        <f>IF($A1382&lt;&gt;0,1,0)</f>
        <v>0</v>
      </c>
      <c r="AT1382" s="1">
        <f>$A1382*$B1382</f>
        <v>0</v>
      </c>
      <c r="AU1382" s="1">
        <f>$A1382*$O1382</f>
        <v>0</v>
      </c>
      <c r="AV1382" s="1">
        <f>IF($R1382=0,0,INT($A1382/$R1382))</f>
        <v>0</v>
      </c>
      <c r="AW1382" s="1">
        <f>$A1382-$AV1382*$R1382</f>
        <v>0</v>
      </c>
    </row>
    <row r="1383" ht="24.95" customHeight="1" outlineLevel="3" s="1" customFormat="1">
      <c r="A1383" s="15"/>
      <c r="B1383" s="16">
        <v>990</v>
      </c>
      <c r="C1383" s="17">
        <v>1386</v>
      </c>
      <c r="D1383" s="16">
        <v>29891</v>
      </c>
      <c r="E1383" s="18"/>
      <c r="F1383" s="18" t="s">
        <v>3102</v>
      </c>
      <c r="G1383" s="18" t="s">
        <v>4564</v>
      </c>
      <c r="H1383" s="18" t="s">
        <v>73</v>
      </c>
      <c r="I1383" s="18" t="s">
        <v>74</v>
      </c>
      <c r="J1383" s="16">
        <v>2026</v>
      </c>
      <c r="K1383" s="18" t="s">
        <v>4565</v>
      </c>
      <c r="L1383" s="16">
        <v>9785002232017</v>
      </c>
      <c r="M1383" s="18" t="s">
        <v>4566</v>
      </c>
      <c r="N1383" s="16">
        <v>564</v>
      </c>
      <c r="O1383" s="19">
        <v>0.69</v>
      </c>
      <c r="P1383" s="16">
        <v>140</v>
      </c>
      <c r="Q1383" s="16">
        <v>210</v>
      </c>
      <c r="R1383" s="16">
        <v>8</v>
      </c>
      <c r="S1383" s="18" t="s">
        <v>43</v>
      </c>
      <c r="T1383" s="18"/>
      <c r="U1383" s="17">
        <v>5000</v>
      </c>
      <c r="V1383" s="18" t="s">
        <v>44</v>
      </c>
      <c r="W1383" s="18" t="s">
        <v>69</v>
      </c>
      <c r="X1383" s="16">
        <v>10</v>
      </c>
      <c r="Y1383" s="43" t="str">
        <f>HYPERLINK("https://api-enni.alpina.ru/FilePrivilegesApproval/1041","https://api-enni.alpina.ru/FilePrivilegesApproval/1041")</f>
        <v>https://api-enni.alpina.ru/FilePrivilegesApproval/1041</v>
      </c>
      <c r="Z1383" s="18"/>
      <c r="AS1383" s="1">
        <f>IF($A1383&lt;&gt;0,1,0)</f>
        <v>0</v>
      </c>
      <c r="AT1383" s="1">
        <f>$A1383*$B1383</f>
        <v>0</v>
      </c>
      <c r="AU1383" s="1">
        <f>$A1383*$O1383</f>
        <v>0</v>
      </c>
      <c r="AV1383" s="1">
        <f>IF($R1383=0,0,INT($A1383/$R1383))</f>
        <v>0</v>
      </c>
      <c r="AW1383" s="1">
        <f>$A1383-$AV1383*$R1383</f>
        <v>0</v>
      </c>
    </row>
    <row r="1384" ht="24.95" customHeight="1" outlineLevel="3" s="1" customFormat="1">
      <c r="A1384" s="15"/>
      <c r="B1384" s="16">
        <v>940</v>
      </c>
      <c r="C1384" s="17">
        <v>1316</v>
      </c>
      <c r="D1384" s="16">
        <v>35414</v>
      </c>
      <c r="E1384" s="18"/>
      <c r="F1384" s="18" t="s">
        <v>4567</v>
      </c>
      <c r="G1384" s="18" t="s">
        <v>4568</v>
      </c>
      <c r="H1384" s="18" t="s">
        <v>95</v>
      </c>
      <c r="I1384" s="18"/>
      <c r="J1384" s="16">
        <v>2026</v>
      </c>
      <c r="K1384" s="18" t="s">
        <v>4569</v>
      </c>
      <c r="L1384" s="16">
        <v>9785206005943</v>
      </c>
      <c r="M1384" s="18" t="s">
        <v>4570</v>
      </c>
      <c r="N1384" s="16">
        <v>272</v>
      </c>
      <c r="O1384" s="19">
        <v>0.67</v>
      </c>
      <c r="P1384" s="16">
        <v>170</v>
      </c>
      <c r="Q1384" s="16">
        <v>240</v>
      </c>
      <c r="R1384" s="16">
        <v>6</v>
      </c>
      <c r="S1384" s="18" t="s">
        <v>123</v>
      </c>
      <c r="T1384" s="18"/>
      <c r="U1384" s="17">
        <v>1505</v>
      </c>
      <c r="V1384" s="18" t="s">
        <v>77</v>
      </c>
      <c r="W1384" s="18" t="s">
        <v>69</v>
      </c>
      <c r="X1384" s="16">
        <v>10</v>
      </c>
      <c r="Y1384" s="43" t="str">
        <f>HYPERLINK("https://api-enni.alpina.ru/FilePrivilegesApproval/1136","https://api-enni.alpina.ru/FilePrivilegesApproval/1136")</f>
        <v>https://api-enni.alpina.ru/FilePrivilegesApproval/1136</v>
      </c>
      <c r="Z1384" s="18"/>
      <c r="AS1384" s="1">
        <f>IF($A1384&lt;&gt;0,1,0)</f>
        <v>0</v>
      </c>
      <c r="AT1384" s="1">
        <f>$A1384*$B1384</f>
        <v>0</v>
      </c>
      <c r="AU1384" s="1">
        <f>$A1384*$O1384</f>
        <v>0</v>
      </c>
      <c r="AV1384" s="1">
        <f>IF($R1384=0,0,INT($A1384/$R1384))</f>
        <v>0</v>
      </c>
      <c r="AW1384" s="1">
        <f>$A1384-$AV1384*$R1384</f>
        <v>0</v>
      </c>
    </row>
    <row r="1385" ht="21.95" customHeight="1" outlineLevel="3" s="1" customFormat="1">
      <c r="A1385" s="15"/>
      <c r="B1385" s="16">
        <v>690</v>
      </c>
      <c r="C1385" s="17">
        <v>1035</v>
      </c>
      <c r="D1385" s="16">
        <v>35111</v>
      </c>
      <c r="E1385" s="18"/>
      <c r="F1385" s="18" t="s">
        <v>324</v>
      </c>
      <c r="G1385" s="18" t="s">
        <v>325</v>
      </c>
      <c r="H1385" s="18" t="s">
        <v>86</v>
      </c>
      <c r="I1385" s="18"/>
      <c r="J1385" s="16">
        <v>2026</v>
      </c>
      <c r="K1385" s="18" t="s">
        <v>326</v>
      </c>
      <c r="L1385" s="16">
        <v>9785006310292</v>
      </c>
      <c r="M1385" s="18" t="s">
        <v>327</v>
      </c>
      <c r="N1385" s="16">
        <v>112</v>
      </c>
      <c r="O1385" s="19">
        <v>0.38</v>
      </c>
      <c r="P1385" s="16">
        <v>200</v>
      </c>
      <c r="Q1385" s="16">
        <v>260</v>
      </c>
      <c r="R1385" s="16">
        <v>10</v>
      </c>
      <c r="S1385" s="18" t="s">
        <v>328</v>
      </c>
      <c r="T1385" s="18"/>
      <c r="U1385" s="17">
        <v>3000</v>
      </c>
      <c r="V1385" s="18" t="s">
        <v>44</v>
      </c>
      <c r="W1385" s="18" t="s">
        <v>69</v>
      </c>
      <c r="X1385" s="16">
        <v>22</v>
      </c>
      <c r="Y1385" s="43" t="str">
        <f>HYPERLINK("","")</f>
      </c>
      <c r="Z1385" s="18" t="s">
        <v>46</v>
      </c>
      <c r="AS1385" s="1">
        <f>IF($A1385&lt;&gt;0,1,0)</f>
        <v>0</v>
      </c>
      <c r="AT1385" s="1">
        <f>$A1385*$B1385</f>
        <v>0</v>
      </c>
      <c r="AU1385" s="1">
        <f>$A1385*$O1385</f>
        <v>0</v>
      </c>
      <c r="AV1385" s="1">
        <f>IF($R1385=0,0,INT($A1385/$R1385))</f>
        <v>0</v>
      </c>
      <c r="AW1385" s="1">
        <f>$A1385-$AV1385*$R1385</f>
        <v>0</v>
      </c>
    </row>
    <row r="1386" ht="24.95" customHeight="1" outlineLevel="3" s="1" customFormat="1">
      <c r="A1386" s="15"/>
      <c r="B1386" s="16">
        <v>690</v>
      </c>
      <c r="C1386" s="17">
        <v>1035</v>
      </c>
      <c r="D1386" s="16">
        <v>28843</v>
      </c>
      <c r="E1386" s="18"/>
      <c r="F1386" s="18" t="s">
        <v>2420</v>
      </c>
      <c r="G1386" s="18" t="s">
        <v>4571</v>
      </c>
      <c r="H1386" s="18" t="s">
        <v>86</v>
      </c>
      <c r="I1386" s="18"/>
      <c r="J1386" s="16">
        <v>2025</v>
      </c>
      <c r="K1386" s="18" t="s">
        <v>4572</v>
      </c>
      <c r="L1386" s="16">
        <v>9785961490275</v>
      </c>
      <c r="M1386" s="18" t="s">
        <v>4573</v>
      </c>
      <c r="N1386" s="16">
        <v>226</v>
      </c>
      <c r="O1386" s="19">
        <v>0.37</v>
      </c>
      <c r="P1386" s="16">
        <v>140</v>
      </c>
      <c r="Q1386" s="16">
        <v>210</v>
      </c>
      <c r="R1386" s="16">
        <v>14</v>
      </c>
      <c r="S1386" s="18" t="s">
        <v>43</v>
      </c>
      <c r="T1386" s="18"/>
      <c r="U1386" s="17">
        <v>2000</v>
      </c>
      <c r="V1386" s="18" t="s">
        <v>44</v>
      </c>
      <c r="W1386" s="18" t="s">
        <v>91</v>
      </c>
      <c r="X1386" s="16">
        <v>10</v>
      </c>
      <c r="Y1386" s="43" t="str">
        <f>HYPERLINK("https://api-enni.alpina.ru/FilePrivilegesApproval/405","https://api-enni.alpina.ru/FilePrivilegesApproval/405")</f>
        <v>https://api-enni.alpina.ru/FilePrivilegesApproval/405</v>
      </c>
      <c r="Z1386" s="18"/>
      <c r="AS1386" s="1">
        <f>IF($A1386&lt;&gt;0,1,0)</f>
        <v>0</v>
      </c>
      <c r="AT1386" s="1">
        <f>$A1386*$B1386</f>
        <v>0</v>
      </c>
      <c r="AU1386" s="1">
        <f>$A1386*$O1386</f>
        <v>0</v>
      </c>
      <c r="AV1386" s="1">
        <f>IF($R1386=0,0,INT($A1386/$R1386))</f>
        <v>0</v>
      </c>
      <c r="AW1386" s="1">
        <f>$A1386-$AV1386*$R1386</f>
        <v>0</v>
      </c>
    </row>
    <row r="1387" ht="11.1" customHeight="1" outlineLevel="2">
      <c r="A1387" s="41" t="s">
        <v>4574</v>
      </c>
      <c r="B1387" s="41"/>
      <c r="C1387" s="41"/>
      <c r="D1387" s="41"/>
      <c r="E1387" s="41"/>
      <c r="F1387" s="41"/>
      <c r="G1387" s="41"/>
      <c r="H1387" s="41"/>
      <c r="I1387" s="41"/>
      <c r="J1387" s="41"/>
      <c r="K1387" s="41"/>
      <c r="L1387" s="41"/>
      <c r="M1387" s="41"/>
      <c r="N1387" s="41"/>
      <c r="O1387" s="41"/>
      <c r="P1387" s="41"/>
      <c r="Q1387" s="41"/>
      <c r="R1387" s="41"/>
      <c r="S1387" s="41"/>
      <c r="T1387" s="41"/>
      <c r="U1387" s="41"/>
      <c r="V1387" s="41"/>
      <c r="W1387" s="41"/>
      <c r="X1387" s="41"/>
      <c r="Y1387" s="41"/>
      <c r="Z1387" s="24"/>
    </row>
    <row r="1388" ht="24.95" customHeight="1" outlineLevel="3" s="1" customFormat="1">
      <c r="A1388" s="15"/>
      <c r="B1388" s="16">
        <v>990</v>
      </c>
      <c r="C1388" s="17">
        <v>1386</v>
      </c>
      <c r="D1388" s="16">
        <v>12296</v>
      </c>
      <c r="E1388" s="18"/>
      <c r="F1388" s="18" t="s">
        <v>4575</v>
      </c>
      <c r="G1388" s="18" t="s">
        <v>4576</v>
      </c>
      <c r="H1388" s="18" t="s">
        <v>73</v>
      </c>
      <c r="I1388" s="18" t="s">
        <v>74</v>
      </c>
      <c r="J1388" s="16">
        <v>2025</v>
      </c>
      <c r="K1388" s="18" t="s">
        <v>4577</v>
      </c>
      <c r="L1388" s="16">
        <v>9785001399476</v>
      </c>
      <c r="M1388" s="18" t="s">
        <v>4578</v>
      </c>
      <c r="N1388" s="16">
        <v>424</v>
      </c>
      <c r="O1388" s="19">
        <v>0.53</v>
      </c>
      <c r="P1388" s="16">
        <v>140</v>
      </c>
      <c r="Q1388" s="16">
        <v>210</v>
      </c>
      <c r="R1388" s="16">
        <v>12</v>
      </c>
      <c r="S1388" s="18" t="s">
        <v>43</v>
      </c>
      <c r="T1388" s="18" t="s">
        <v>883</v>
      </c>
      <c r="U1388" s="17">
        <v>5000</v>
      </c>
      <c r="V1388" s="18" t="s">
        <v>44</v>
      </c>
      <c r="W1388" s="18" t="s">
        <v>91</v>
      </c>
      <c r="X1388" s="16">
        <v>10</v>
      </c>
      <c r="Y1388" s="43" t="str">
        <f>HYPERLINK("https://api-enni.alpina.ru/FilePrivilegesApproval/377","https://api-enni.alpina.ru/FilePrivilegesApproval/377")</f>
        <v>https://api-enni.alpina.ru/FilePrivilegesApproval/377</v>
      </c>
      <c r="Z1388" s="18"/>
      <c r="AS1388" s="1">
        <f>IF($A1388&lt;&gt;0,1,0)</f>
        <v>0</v>
      </c>
      <c r="AT1388" s="1">
        <f>$A1388*$B1388</f>
        <v>0</v>
      </c>
      <c r="AU1388" s="1">
        <f>$A1388*$O1388</f>
        <v>0</v>
      </c>
      <c r="AV1388" s="1">
        <f>IF($R1388=0,0,INT($A1388/$R1388))</f>
        <v>0</v>
      </c>
      <c r="AW1388" s="1">
        <f>$A1388-$AV1388*$R1388</f>
        <v>0</v>
      </c>
    </row>
    <row r="1389" ht="15" customHeight="1" outlineLevel="1">
      <c r="A1389" s="40" t="s">
        <v>4579</v>
      </c>
      <c r="B1389" s="40"/>
      <c r="C1389" s="40"/>
      <c r="D1389" s="40"/>
      <c r="E1389" s="40"/>
      <c r="F1389" s="40"/>
      <c r="G1389" s="40"/>
      <c r="H1389" s="40"/>
      <c r="I1389" s="40"/>
      <c r="J1389" s="40"/>
      <c r="K1389" s="40"/>
      <c r="L1389" s="40"/>
      <c r="M1389" s="40"/>
      <c r="N1389" s="40"/>
      <c r="O1389" s="40"/>
      <c r="P1389" s="40"/>
      <c r="Q1389" s="40"/>
      <c r="R1389" s="40"/>
      <c r="S1389" s="40"/>
      <c r="T1389" s="40"/>
      <c r="U1389" s="40"/>
      <c r="V1389" s="40"/>
      <c r="W1389" s="40"/>
      <c r="X1389" s="40"/>
      <c r="Y1389" s="40"/>
      <c r="Z1389" s="23"/>
    </row>
    <row r="1390" ht="11.1" customHeight="1" outlineLevel="2">
      <c r="A1390" s="41" t="s">
        <v>4580</v>
      </c>
      <c r="B1390" s="41"/>
      <c r="C1390" s="41"/>
      <c r="D1390" s="41"/>
      <c r="E1390" s="41"/>
      <c r="F1390" s="41"/>
      <c r="G1390" s="41"/>
      <c r="H1390" s="41"/>
      <c r="I1390" s="41"/>
      <c r="J1390" s="41"/>
      <c r="K1390" s="41"/>
      <c r="L1390" s="41"/>
      <c r="M1390" s="41"/>
      <c r="N1390" s="41"/>
      <c r="O1390" s="41"/>
      <c r="P1390" s="41"/>
      <c r="Q1390" s="41"/>
      <c r="R1390" s="41"/>
      <c r="S1390" s="41"/>
      <c r="T1390" s="41"/>
      <c r="U1390" s="41"/>
      <c r="V1390" s="41"/>
      <c r="W1390" s="41"/>
      <c r="X1390" s="41"/>
      <c r="Y1390" s="41"/>
      <c r="Z1390" s="24"/>
    </row>
    <row r="1391" ht="24.95" customHeight="1" outlineLevel="3" s="1" customFormat="1">
      <c r="A1391" s="15"/>
      <c r="B1391" s="16">
        <v>890</v>
      </c>
      <c r="C1391" s="17">
        <v>1246</v>
      </c>
      <c r="D1391" s="16">
        <v>8441</v>
      </c>
      <c r="E1391" s="18"/>
      <c r="F1391" s="18" t="s">
        <v>4581</v>
      </c>
      <c r="G1391" s="18" t="s">
        <v>4582</v>
      </c>
      <c r="H1391" s="18" t="s">
        <v>86</v>
      </c>
      <c r="I1391" s="18" t="s">
        <v>74</v>
      </c>
      <c r="J1391" s="16">
        <v>2026</v>
      </c>
      <c r="K1391" s="18" t="s">
        <v>4583</v>
      </c>
      <c r="L1391" s="16">
        <v>9785961469127</v>
      </c>
      <c r="M1391" s="18" t="s">
        <v>4584</v>
      </c>
      <c r="N1391" s="16">
        <v>188</v>
      </c>
      <c r="O1391" s="19">
        <v>0.35</v>
      </c>
      <c r="P1391" s="16">
        <v>153</v>
      </c>
      <c r="Q1391" s="16">
        <v>216</v>
      </c>
      <c r="R1391" s="16">
        <v>8</v>
      </c>
      <c r="S1391" s="18" t="s">
        <v>43</v>
      </c>
      <c r="T1391" s="18" t="s">
        <v>4585</v>
      </c>
      <c r="U1391" s="17">
        <v>1000</v>
      </c>
      <c r="V1391" s="18" t="s">
        <v>77</v>
      </c>
      <c r="W1391" s="18" t="s">
        <v>184</v>
      </c>
      <c r="X1391" s="16">
        <v>10</v>
      </c>
      <c r="Y1391" s="43" t="str">
        <f>HYPERLINK("https://api-enni.alpina.ru/FilePrivilegesApproval/156","https://api-enni.alpina.ru/FilePrivilegesApproval/156")</f>
        <v>https://api-enni.alpina.ru/FilePrivilegesApproval/156</v>
      </c>
      <c r="Z1391" s="18"/>
      <c r="AS1391" s="1">
        <f>IF($A1391&lt;&gt;0,1,0)</f>
        <v>0</v>
      </c>
      <c r="AT1391" s="1">
        <f>$A1391*$B1391</f>
        <v>0</v>
      </c>
      <c r="AU1391" s="1">
        <f>$A1391*$O1391</f>
        <v>0</v>
      </c>
      <c r="AV1391" s="1">
        <f>IF($R1391=0,0,INT($A1391/$R1391))</f>
        <v>0</v>
      </c>
      <c r="AW1391" s="1">
        <f>$A1391-$AV1391*$R1391</f>
        <v>0</v>
      </c>
    </row>
    <row r="1392" ht="24.95" customHeight="1" outlineLevel="3" s="1" customFormat="1">
      <c r="A1392" s="15"/>
      <c r="B1392" s="16">
        <v>399</v>
      </c>
      <c r="C1392" s="16">
        <v>638</v>
      </c>
      <c r="D1392" s="16">
        <v>30747</v>
      </c>
      <c r="E1392" s="18"/>
      <c r="F1392" s="18" t="s">
        <v>469</v>
      </c>
      <c r="G1392" s="18" t="s">
        <v>4586</v>
      </c>
      <c r="H1392" s="18" t="s">
        <v>86</v>
      </c>
      <c r="I1392" s="18" t="s">
        <v>74</v>
      </c>
      <c r="J1392" s="16">
        <v>2024</v>
      </c>
      <c r="K1392" s="18" t="s">
        <v>4587</v>
      </c>
      <c r="L1392" s="16">
        <v>9785961496420</v>
      </c>
      <c r="M1392" s="18" t="s">
        <v>4588</v>
      </c>
      <c r="N1392" s="16">
        <v>188</v>
      </c>
      <c r="O1392" s="19">
        <v>0.16</v>
      </c>
      <c r="P1392" s="16">
        <v>110</v>
      </c>
      <c r="Q1392" s="16">
        <v>170</v>
      </c>
      <c r="R1392" s="16">
        <v>20</v>
      </c>
      <c r="S1392" s="18" t="s">
        <v>190</v>
      </c>
      <c r="T1392" s="18" t="s">
        <v>1271</v>
      </c>
      <c r="U1392" s="17">
        <v>2000</v>
      </c>
      <c r="V1392" s="18" t="s">
        <v>44</v>
      </c>
      <c r="W1392" s="18" t="s">
        <v>184</v>
      </c>
      <c r="X1392" s="16">
        <v>10</v>
      </c>
      <c r="Y1392" s="43" t="str">
        <f>HYPERLINK("https://api-enni.alpina.ru/FilePrivilegesApproval/405","https://api-enni.alpina.ru/FilePrivilegesApproval/405")</f>
        <v>https://api-enni.alpina.ru/FilePrivilegesApproval/405</v>
      </c>
      <c r="Z1392" s="18"/>
      <c r="AS1392" s="1">
        <f>IF($A1392&lt;&gt;0,1,0)</f>
        <v>0</v>
      </c>
      <c r="AT1392" s="1">
        <f>$A1392*$B1392</f>
        <v>0</v>
      </c>
      <c r="AU1392" s="1">
        <f>$A1392*$O1392</f>
        <v>0</v>
      </c>
      <c r="AV1392" s="1">
        <f>IF($R1392=0,0,INT($A1392/$R1392))</f>
        <v>0</v>
      </c>
      <c r="AW1392" s="1">
        <f>$A1392-$AV1392*$R1392</f>
        <v>0</v>
      </c>
    </row>
    <row r="1393" ht="24.95" customHeight="1" outlineLevel="3" s="1" customFormat="1">
      <c r="A1393" s="15"/>
      <c r="B1393" s="16">
        <v>690</v>
      </c>
      <c r="C1393" s="17">
        <v>1035</v>
      </c>
      <c r="D1393" s="16">
        <v>25422</v>
      </c>
      <c r="E1393" s="18"/>
      <c r="F1393" s="18" t="s">
        <v>4589</v>
      </c>
      <c r="G1393" s="18" t="s">
        <v>4590</v>
      </c>
      <c r="H1393" s="18" t="s">
        <v>95</v>
      </c>
      <c r="I1393" s="18"/>
      <c r="J1393" s="16">
        <v>2024</v>
      </c>
      <c r="K1393" s="18" t="s">
        <v>4591</v>
      </c>
      <c r="L1393" s="16">
        <v>9785604784242</v>
      </c>
      <c r="M1393" s="18" t="s">
        <v>4592</v>
      </c>
      <c r="N1393" s="16">
        <v>168</v>
      </c>
      <c r="O1393" s="19">
        <v>0.5</v>
      </c>
      <c r="P1393" s="16">
        <v>150</v>
      </c>
      <c r="Q1393" s="16">
        <v>220</v>
      </c>
      <c r="R1393" s="16">
        <v>10</v>
      </c>
      <c r="S1393" s="18" t="s">
        <v>43</v>
      </c>
      <c r="T1393" s="18"/>
      <c r="U1393" s="17">
        <v>1500</v>
      </c>
      <c r="V1393" s="18" t="s">
        <v>54</v>
      </c>
      <c r="W1393" s="18" t="s">
        <v>69</v>
      </c>
      <c r="X1393" s="16">
        <v>10</v>
      </c>
      <c r="Y1393" s="43" t="str">
        <f>HYPERLINK("https://api-enni.alpina.ru/FilePrivilegesApproval/168","https://api-enni.alpina.ru/FilePrivilegesApproval/168")</f>
        <v>https://api-enni.alpina.ru/FilePrivilegesApproval/168</v>
      </c>
      <c r="Z1393" s="18"/>
      <c r="AS1393" s="1">
        <f>IF($A1393&lt;&gt;0,1,0)</f>
        <v>0</v>
      </c>
      <c r="AT1393" s="1">
        <f>$A1393*$B1393</f>
        <v>0</v>
      </c>
      <c r="AU1393" s="1">
        <f>$A1393*$O1393</f>
        <v>0</v>
      </c>
      <c r="AV1393" s="1">
        <f>IF($R1393=0,0,INT($A1393/$R1393))</f>
        <v>0</v>
      </c>
      <c r="AW1393" s="1">
        <f>$A1393-$AV1393*$R1393</f>
        <v>0</v>
      </c>
    </row>
    <row r="1394" ht="24.95" customHeight="1" outlineLevel="3" s="1" customFormat="1">
      <c r="A1394" s="15"/>
      <c r="B1394" s="16">
        <v>690</v>
      </c>
      <c r="C1394" s="17">
        <v>1035</v>
      </c>
      <c r="D1394" s="16">
        <v>32850</v>
      </c>
      <c r="E1394" s="18"/>
      <c r="F1394" s="18" t="s">
        <v>4593</v>
      </c>
      <c r="G1394" s="18" t="s">
        <v>4594</v>
      </c>
      <c r="H1394" s="18" t="s">
        <v>86</v>
      </c>
      <c r="I1394" s="18" t="s">
        <v>74</v>
      </c>
      <c r="J1394" s="16">
        <v>2025</v>
      </c>
      <c r="K1394" s="18" t="s">
        <v>4595</v>
      </c>
      <c r="L1394" s="16">
        <v>9785006303218</v>
      </c>
      <c r="M1394" s="18" t="s">
        <v>4596</v>
      </c>
      <c r="N1394" s="16">
        <v>256</v>
      </c>
      <c r="O1394" s="19">
        <v>0.41</v>
      </c>
      <c r="P1394" s="16">
        <v>150</v>
      </c>
      <c r="Q1394" s="16">
        <v>220</v>
      </c>
      <c r="R1394" s="16">
        <v>16</v>
      </c>
      <c r="S1394" s="18" t="s">
        <v>43</v>
      </c>
      <c r="T1394" s="18"/>
      <c r="U1394" s="17">
        <v>2000</v>
      </c>
      <c r="V1394" s="18" t="s">
        <v>77</v>
      </c>
      <c r="W1394" s="18" t="s">
        <v>69</v>
      </c>
      <c r="X1394" s="16">
        <v>10</v>
      </c>
      <c r="Y1394" s="43" t="str">
        <f>HYPERLINK("https://api-enni.alpina.ru/FilePrivilegesApproval/930","https://api-enni.alpina.ru/FilePrivilegesApproval/930")</f>
        <v>https://api-enni.alpina.ru/FilePrivilegesApproval/930</v>
      </c>
      <c r="Z1394" s="18"/>
      <c r="AS1394" s="1">
        <f>IF($A1394&lt;&gt;0,1,0)</f>
        <v>0</v>
      </c>
      <c r="AT1394" s="1">
        <f>$A1394*$B1394</f>
        <v>0</v>
      </c>
      <c r="AU1394" s="1">
        <f>$A1394*$O1394</f>
        <v>0</v>
      </c>
      <c r="AV1394" s="1">
        <f>IF($R1394=0,0,INT($A1394/$R1394))</f>
        <v>0</v>
      </c>
      <c r="AW1394" s="1">
        <f>$A1394-$AV1394*$R1394</f>
        <v>0</v>
      </c>
    </row>
    <row r="1395" ht="24.95" customHeight="1" outlineLevel="3" s="1" customFormat="1">
      <c r="A1395" s="15"/>
      <c r="B1395" s="16">
        <v>690</v>
      </c>
      <c r="C1395" s="17">
        <v>1035</v>
      </c>
      <c r="D1395" s="16">
        <v>28551</v>
      </c>
      <c r="E1395" s="18"/>
      <c r="F1395" s="18" t="s">
        <v>4597</v>
      </c>
      <c r="G1395" s="18" t="s">
        <v>4598</v>
      </c>
      <c r="H1395" s="18" t="s">
        <v>95</v>
      </c>
      <c r="I1395" s="18"/>
      <c r="J1395" s="16">
        <v>2025</v>
      </c>
      <c r="K1395" s="18" t="s">
        <v>4599</v>
      </c>
      <c r="L1395" s="16">
        <v>9785206002140</v>
      </c>
      <c r="M1395" s="18" t="s">
        <v>4600</v>
      </c>
      <c r="N1395" s="16">
        <v>192</v>
      </c>
      <c r="O1395" s="19">
        <v>0.26</v>
      </c>
      <c r="P1395" s="16">
        <v>150</v>
      </c>
      <c r="Q1395" s="16">
        <v>210</v>
      </c>
      <c r="R1395" s="16">
        <v>22</v>
      </c>
      <c r="S1395" s="18" t="s">
        <v>43</v>
      </c>
      <c r="T1395" s="18"/>
      <c r="U1395" s="17">
        <v>2000</v>
      </c>
      <c r="V1395" s="18" t="s">
        <v>44</v>
      </c>
      <c r="W1395" s="18" t="s">
        <v>91</v>
      </c>
      <c r="X1395" s="16">
        <v>10</v>
      </c>
      <c r="Y1395" s="43" t="str">
        <f>HYPERLINK("https://api-enni.alpina.ru/FilePrivilegesApproval/325","https://api-enni.alpina.ru/FilePrivilegesApproval/325")</f>
        <v>https://api-enni.alpina.ru/FilePrivilegesApproval/325</v>
      </c>
      <c r="Z1395" s="18" t="s">
        <v>1958</v>
      </c>
      <c r="AS1395" s="1">
        <f>IF($A1395&lt;&gt;0,1,0)</f>
        <v>0</v>
      </c>
      <c r="AT1395" s="1">
        <f>$A1395*$B1395</f>
        <v>0</v>
      </c>
      <c r="AU1395" s="1">
        <f>$A1395*$O1395</f>
        <v>0</v>
      </c>
      <c r="AV1395" s="1">
        <f>IF($R1395=0,0,INT($A1395/$R1395))</f>
        <v>0</v>
      </c>
      <c r="AW1395" s="1">
        <f>$A1395-$AV1395*$R1395</f>
        <v>0</v>
      </c>
    </row>
    <row r="1396" ht="24.95" customHeight="1" outlineLevel="3" s="1" customFormat="1">
      <c r="A1396" s="15"/>
      <c r="B1396" s="16">
        <v>690</v>
      </c>
      <c r="C1396" s="17">
        <v>1035</v>
      </c>
      <c r="D1396" s="16">
        <v>984</v>
      </c>
      <c r="E1396" s="18"/>
      <c r="F1396" s="18" t="s">
        <v>4601</v>
      </c>
      <c r="G1396" s="18" t="s">
        <v>4602</v>
      </c>
      <c r="H1396" s="18" t="s">
        <v>86</v>
      </c>
      <c r="I1396" s="18" t="s">
        <v>74</v>
      </c>
      <c r="J1396" s="16">
        <v>2025</v>
      </c>
      <c r="K1396" s="18" t="s">
        <v>4603</v>
      </c>
      <c r="L1396" s="16">
        <v>9785961467529</v>
      </c>
      <c r="M1396" s="18" t="s">
        <v>4604</v>
      </c>
      <c r="N1396" s="16">
        <v>272</v>
      </c>
      <c r="O1396" s="19">
        <v>0.45</v>
      </c>
      <c r="P1396" s="16">
        <v>160</v>
      </c>
      <c r="Q1396" s="16">
        <v>240</v>
      </c>
      <c r="R1396" s="16">
        <v>8</v>
      </c>
      <c r="S1396" s="18" t="s">
        <v>123</v>
      </c>
      <c r="T1396" s="18" t="s">
        <v>4605</v>
      </c>
      <c r="U1396" s="17">
        <v>5000</v>
      </c>
      <c r="V1396" s="18" t="s">
        <v>44</v>
      </c>
      <c r="W1396" s="18" t="s">
        <v>184</v>
      </c>
      <c r="X1396" s="16">
        <v>10</v>
      </c>
      <c r="Y1396" s="43" t="str">
        <f>HYPERLINK("https://api-enni.alpina.ru/FilePrivilegesApproval/2","https://api-enni.alpina.ru/FilePrivilegesApproval/2")</f>
        <v>https://api-enni.alpina.ru/FilePrivilegesApproval/2</v>
      </c>
      <c r="Z1396" s="18"/>
      <c r="AS1396" s="1">
        <f>IF($A1396&lt;&gt;0,1,0)</f>
        <v>0</v>
      </c>
      <c r="AT1396" s="1">
        <f>$A1396*$B1396</f>
        <v>0</v>
      </c>
      <c r="AU1396" s="1">
        <f>$A1396*$O1396</f>
        <v>0</v>
      </c>
      <c r="AV1396" s="1">
        <f>IF($R1396=0,0,INT($A1396/$R1396))</f>
        <v>0</v>
      </c>
      <c r="AW1396" s="1">
        <f>$A1396-$AV1396*$R1396</f>
        <v>0</v>
      </c>
    </row>
    <row r="1397" ht="24.95" customHeight="1" outlineLevel="3" s="1" customFormat="1">
      <c r="A1397" s="15"/>
      <c r="B1397" s="16">
        <v>840</v>
      </c>
      <c r="C1397" s="17">
        <v>1218</v>
      </c>
      <c r="D1397" s="16">
        <v>27344</v>
      </c>
      <c r="E1397" s="18"/>
      <c r="F1397" s="18" t="s">
        <v>4606</v>
      </c>
      <c r="G1397" s="18" t="s">
        <v>4607</v>
      </c>
      <c r="H1397" s="18" t="s">
        <v>95</v>
      </c>
      <c r="I1397" s="18"/>
      <c r="J1397" s="16">
        <v>2023</v>
      </c>
      <c r="K1397" s="18" t="s">
        <v>4608</v>
      </c>
      <c r="L1397" s="16">
        <v>9785206001495</v>
      </c>
      <c r="M1397" s="18" t="s">
        <v>4609</v>
      </c>
      <c r="N1397" s="16">
        <v>199</v>
      </c>
      <c r="O1397" s="19">
        <v>0.41</v>
      </c>
      <c r="P1397" s="16">
        <v>150</v>
      </c>
      <c r="Q1397" s="16">
        <v>220</v>
      </c>
      <c r="R1397" s="16">
        <v>8</v>
      </c>
      <c r="S1397" s="18" t="s">
        <v>43</v>
      </c>
      <c r="T1397" s="18"/>
      <c r="U1397" s="17">
        <v>2005</v>
      </c>
      <c r="V1397" s="18" t="s">
        <v>77</v>
      </c>
      <c r="W1397" s="18" t="s">
        <v>69</v>
      </c>
      <c r="X1397" s="16">
        <v>10</v>
      </c>
      <c r="Y1397" s="43" t="str">
        <f>HYPERLINK("https://api-enni.alpina.ru/FilePrivilegesApproval/223","https://api-enni.alpina.ru/FilePrivilegesApproval/223")</f>
        <v>https://api-enni.alpina.ru/FilePrivilegesApproval/223</v>
      </c>
      <c r="Z1397" s="18"/>
      <c r="AS1397" s="1">
        <f>IF($A1397&lt;&gt;0,1,0)</f>
        <v>0</v>
      </c>
      <c r="AT1397" s="1">
        <f>$A1397*$B1397</f>
        <v>0</v>
      </c>
      <c r="AU1397" s="1">
        <f>$A1397*$O1397</f>
        <v>0</v>
      </c>
      <c r="AV1397" s="1">
        <f>IF($R1397=0,0,INT($A1397/$R1397))</f>
        <v>0</v>
      </c>
      <c r="AW1397" s="1">
        <f>$A1397-$AV1397*$R1397</f>
        <v>0</v>
      </c>
    </row>
    <row r="1398" ht="24.95" customHeight="1" outlineLevel="3" s="1" customFormat="1">
      <c r="A1398" s="15"/>
      <c r="B1398" s="16">
        <v>890</v>
      </c>
      <c r="C1398" s="17">
        <v>1246</v>
      </c>
      <c r="D1398" s="16">
        <v>7906</v>
      </c>
      <c r="E1398" s="18"/>
      <c r="F1398" s="18" t="s">
        <v>4610</v>
      </c>
      <c r="G1398" s="18" t="s">
        <v>4611</v>
      </c>
      <c r="H1398" s="18" t="s">
        <v>86</v>
      </c>
      <c r="I1398" s="18" t="s">
        <v>74</v>
      </c>
      <c r="J1398" s="16">
        <v>2023</v>
      </c>
      <c r="K1398" s="18" t="s">
        <v>4612</v>
      </c>
      <c r="L1398" s="16">
        <v>9785961470932</v>
      </c>
      <c r="M1398" s="18" t="s">
        <v>4613</v>
      </c>
      <c r="N1398" s="16">
        <v>317</v>
      </c>
      <c r="O1398" s="19">
        <v>0.6</v>
      </c>
      <c r="P1398" s="16">
        <v>170</v>
      </c>
      <c r="Q1398" s="16">
        <v>240</v>
      </c>
      <c r="R1398" s="16">
        <v>7</v>
      </c>
      <c r="S1398" s="18" t="s">
        <v>123</v>
      </c>
      <c r="T1398" s="18"/>
      <c r="U1398" s="17">
        <v>6000</v>
      </c>
      <c r="V1398" s="18" t="s">
        <v>44</v>
      </c>
      <c r="W1398" s="18" t="s">
        <v>91</v>
      </c>
      <c r="X1398" s="16">
        <v>10</v>
      </c>
      <c r="Y1398" s="43" t="str">
        <f>HYPERLINK("https://api-enni.alpina.ru/FilePrivilegesApproval/2","https://api-enni.alpina.ru/FilePrivilegesApproval/2")</f>
        <v>https://api-enni.alpina.ru/FilePrivilegesApproval/2</v>
      </c>
      <c r="Z1398" s="18"/>
      <c r="AS1398" s="1">
        <f>IF($A1398&lt;&gt;0,1,0)</f>
        <v>0</v>
      </c>
      <c r="AT1398" s="1">
        <f>$A1398*$B1398</f>
        <v>0</v>
      </c>
      <c r="AU1398" s="1">
        <f>$A1398*$O1398</f>
        <v>0</v>
      </c>
      <c r="AV1398" s="1">
        <f>IF($R1398=0,0,INT($A1398/$R1398))</f>
        <v>0</v>
      </c>
      <c r="AW1398" s="1">
        <f>$A1398-$AV1398*$R1398</f>
        <v>0</v>
      </c>
    </row>
    <row r="1399" ht="24.95" customHeight="1" outlineLevel="3" s="1" customFormat="1">
      <c r="A1399" s="15"/>
      <c r="B1399" s="17">
        <v>1190</v>
      </c>
      <c r="C1399" s="17">
        <v>1606</v>
      </c>
      <c r="D1399" s="16">
        <v>7904</v>
      </c>
      <c r="E1399" s="18"/>
      <c r="F1399" s="18" t="s">
        <v>709</v>
      </c>
      <c r="G1399" s="18" t="s">
        <v>710</v>
      </c>
      <c r="H1399" s="18" t="s">
        <v>86</v>
      </c>
      <c r="I1399" s="18" t="s">
        <v>74</v>
      </c>
      <c r="J1399" s="16">
        <v>2026</v>
      </c>
      <c r="K1399" s="18" t="s">
        <v>711</v>
      </c>
      <c r="L1399" s="16">
        <v>9785961468588</v>
      </c>
      <c r="M1399" s="18" t="s">
        <v>712</v>
      </c>
      <c r="N1399" s="16">
        <v>336</v>
      </c>
      <c r="O1399" s="19">
        <v>0.64</v>
      </c>
      <c r="P1399" s="16">
        <v>171</v>
      </c>
      <c r="Q1399" s="16">
        <v>241</v>
      </c>
      <c r="R1399" s="16">
        <v>10</v>
      </c>
      <c r="S1399" s="18" t="s">
        <v>123</v>
      </c>
      <c r="T1399" s="18"/>
      <c r="U1399" s="17">
        <v>1000</v>
      </c>
      <c r="V1399" s="18" t="s">
        <v>77</v>
      </c>
      <c r="W1399" s="18" t="s">
        <v>184</v>
      </c>
      <c r="X1399" s="16">
        <v>10</v>
      </c>
      <c r="Y1399" s="43" t="str">
        <f>HYPERLINK("https://api-enni.alpina.ru/FilePrivilegesApproval/152","https://api-enni.alpina.ru/FilePrivilegesApproval/152")</f>
        <v>https://api-enni.alpina.ru/FilePrivilegesApproval/152</v>
      </c>
      <c r="Z1399" s="18" t="s">
        <v>144</v>
      </c>
      <c r="AS1399" s="1">
        <f>IF($A1399&lt;&gt;0,1,0)</f>
        <v>0</v>
      </c>
      <c r="AT1399" s="1">
        <f>$A1399*$B1399</f>
        <v>0</v>
      </c>
      <c r="AU1399" s="1">
        <f>$A1399*$O1399</f>
        <v>0</v>
      </c>
      <c r="AV1399" s="1">
        <f>IF($R1399=0,0,INT($A1399/$R1399))</f>
        <v>0</v>
      </c>
      <c r="AW1399" s="1">
        <f>$A1399-$AV1399*$R1399</f>
        <v>0</v>
      </c>
    </row>
    <row r="1400" ht="24.95" customHeight="1" outlineLevel="3" s="1" customFormat="1">
      <c r="A1400" s="15"/>
      <c r="B1400" s="16">
        <v>390</v>
      </c>
      <c r="C1400" s="16">
        <v>624</v>
      </c>
      <c r="D1400" s="16">
        <v>28445</v>
      </c>
      <c r="E1400" s="18"/>
      <c r="F1400" s="18" t="s">
        <v>469</v>
      </c>
      <c r="G1400" s="18" t="s">
        <v>4614</v>
      </c>
      <c r="H1400" s="18" t="s">
        <v>86</v>
      </c>
      <c r="I1400" s="18" t="s">
        <v>74</v>
      </c>
      <c r="J1400" s="16">
        <v>2025</v>
      </c>
      <c r="K1400" s="18" t="s">
        <v>4615</v>
      </c>
      <c r="L1400" s="16">
        <v>9785961488944</v>
      </c>
      <c r="M1400" s="18" t="s">
        <v>4616</v>
      </c>
      <c r="N1400" s="16">
        <v>512</v>
      </c>
      <c r="O1400" s="19">
        <v>0.33</v>
      </c>
      <c r="P1400" s="16">
        <v>120</v>
      </c>
      <c r="Q1400" s="16">
        <v>170</v>
      </c>
      <c r="R1400" s="16">
        <v>12</v>
      </c>
      <c r="S1400" s="18" t="s">
        <v>190</v>
      </c>
      <c r="T1400" s="18" t="s">
        <v>451</v>
      </c>
      <c r="U1400" s="17">
        <v>2000</v>
      </c>
      <c r="V1400" s="18" t="s">
        <v>44</v>
      </c>
      <c r="W1400" s="18" t="s">
        <v>184</v>
      </c>
      <c r="X1400" s="16">
        <v>10</v>
      </c>
      <c r="Y1400" s="43" t="str">
        <f>HYPERLINK("https://api-enni.alpina.ru/FilePrivilegesApproval/264","https://api-enni.alpina.ru/FilePrivilegesApproval/264")</f>
        <v>https://api-enni.alpina.ru/FilePrivilegesApproval/264</v>
      </c>
      <c r="Z1400" s="18"/>
      <c r="AS1400" s="1">
        <f>IF($A1400&lt;&gt;0,1,0)</f>
        <v>0</v>
      </c>
      <c r="AT1400" s="1">
        <f>$A1400*$B1400</f>
        <v>0</v>
      </c>
      <c r="AU1400" s="1">
        <f>$A1400*$O1400</f>
        <v>0</v>
      </c>
      <c r="AV1400" s="1">
        <f>IF($R1400=0,0,INT($A1400/$R1400))</f>
        <v>0</v>
      </c>
      <c r="AW1400" s="1">
        <f>$A1400-$AV1400*$R1400</f>
        <v>0</v>
      </c>
    </row>
    <row r="1401" ht="24.95" customHeight="1" outlineLevel="3" s="1" customFormat="1">
      <c r="A1401" s="15"/>
      <c r="B1401" s="16">
        <v>940</v>
      </c>
      <c r="C1401" s="17">
        <v>1316</v>
      </c>
      <c r="D1401" s="16">
        <v>30058</v>
      </c>
      <c r="E1401" s="18"/>
      <c r="F1401" s="18" t="s">
        <v>4617</v>
      </c>
      <c r="G1401" s="18" t="s">
        <v>4618</v>
      </c>
      <c r="H1401" s="18" t="s">
        <v>95</v>
      </c>
      <c r="I1401" s="18"/>
      <c r="J1401" s="16">
        <v>2025</v>
      </c>
      <c r="K1401" s="18" t="s">
        <v>4619</v>
      </c>
      <c r="L1401" s="16">
        <v>9785206003048</v>
      </c>
      <c r="M1401" s="18" t="s">
        <v>4620</v>
      </c>
      <c r="N1401" s="16">
        <v>208</v>
      </c>
      <c r="O1401" s="19">
        <v>0.35</v>
      </c>
      <c r="P1401" s="16">
        <v>150</v>
      </c>
      <c r="Q1401" s="16">
        <v>220</v>
      </c>
      <c r="R1401" s="16">
        <v>10</v>
      </c>
      <c r="S1401" s="18" t="s">
        <v>43</v>
      </c>
      <c r="T1401" s="18"/>
      <c r="U1401" s="17">
        <v>1000</v>
      </c>
      <c r="V1401" s="18" t="s">
        <v>77</v>
      </c>
      <c r="W1401" s="18" t="s">
        <v>69</v>
      </c>
      <c r="X1401" s="16">
        <v>10</v>
      </c>
      <c r="Y1401" s="43" t="str">
        <f>HYPERLINK("https://api-enni.alpina.ru/FilePrivilegesApproval/834","https://api-enni.alpina.ru/FilePrivilegesApproval/834")</f>
        <v>https://api-enni.alpina.ru/FilePrivilegesApproval/834</v>
      </c>
      <c r="Z1401" s="18"/>
      <c r="AS1401" s="1">
        <f>IF($A1401&lt;&gt;0,1,0)</f>
        <v>0</v>
      </c>
      <c r="AT1401" s="1">
        <f>$A1401*$B1401</f>
        <v>0</v>
      </c>
      <c r="AU1401" s="1">
        <f>$A1401*$O1401</f>
        <v>0</v>
      </c>
      <c r="AV1401" s="1">
        <f>IF($R1401=0,0,INT($A1401/$R1401))</f>
        <v>0</v>
      </c>
      <c r="AW1401" s="1">
        <f>$A1401-$AV1401*$R1401</f>
        <v>0</v>
      </c>
    </row>
    <row r="1402" ht="24.95" customHeight="1" outlineLevel="3" s="1" customFormat="1">
      <c r="A1402" s="15"/>
      <c r="B1402" s="16">
        <v>390</v>
      </c>
      <c r="C1402" s="16">
        <v>624</v>
      </c>
      <c r="D1402" s="16">
        <v>27434</v>
      </c>
      <c r="E1402" s="18"/>
      <c r="F1402" s="18" t="s">
        <v>2324</v>
      </c>
      <c r="G1402" s="18" t="s">
        <v>4621</v>
      </c>
      <c r="H1402" s="18" t="s">
        <v>86</v>
      </c>
      <c r="I1402" s="18" t="s">
        <v>74</v>
      </c>
      <c r="J1402" s="16">
        <v>2025</v>
      </c>
      <c r="K1402" s="18" t="s">
        <v>4622</v>
      </c>
      <c r="L1402" s="16">
        <v>9785961485004</v>
      </c>
      <c r="M1402" s="18" t="s">
        <v>4623</v>
      </c>
      <c r="N1402" s="16">
        <v>416</v>
      </c>
      <c r="O1402" s="19">
        <v>0.27</v>
      </c>
      <c r="P1402" s="16">
        <v>120</v>
      </c>
      <c r="Q1402" s="16">
        <v>170</v>
      </c>
      <c r="R1402" s="16">
        <v>16</v>
      </c>
      <c r="S1402" s="18" t="s">
        <v>190</v>
      </c>
      <c r="T1402" s="18" t="s">
        <v>959</v>
      </c>
      <c r="U1402" s="17">
        <v>2000</v>
      </c>
      <c r="V1402" s="18" t="s">
        <v>44</v>
      </c>
      <c r="W1402" s="18" t="s">
        <v>69</v>
      </c>
      <c r="X1402" s="16">
        <v>10</v>
      </c>
      <c r="Y1402" s="43" t="str">
        <f>HYPERLINK("https://api-enni.alpina.ru/FilePrivilegesApproval/141","https://api-enni.alpina.ru/FilePrivilegesApproval/141")</f>
        <v>https://api-enni.alpina.ru/FilePrivilegesApproval/141</v>
      </c>
      <c r="Z1402" s="18"/>
      <c r="AS1402" s="1">
        <f>IF($A1402&lt;&gt;0,1,0)</f>
        <v>0</v>
      </c>
      <c r="AT1402" s="1">
        <f>$A1402*$B1402</f>
        <v>0</v>
      </c>
      <c r="AU1402" s="1">
        <f>$A1402*$O1402</f>
        <v>0</v>
      </c>
      <c r="AV1402" s="1">
        <f>IF($R1402=0,0,INT($A1402/$R1402))</f>
        <v>0</v>
      </c>
      <c r="AW1402" s="1">
        <f>$A1402-$AV1402*$R1402</f>
        <v>0</v>
      </c>
    </row>
    <row r="1403" ht="24.95" customHeight="1" outlineLevel="3" s="1" customFormat="1">
      <c r="A1403" s="15"/>
      <c r="B1403" s="17">
        <v>1090</v>
      </c>
      <c r="C1403" s="17">
        <v>1472</v>
      </c>
      <c r="D1403" s="16">
        <v>35986</v>
      </c>
      <c r="E1403" s="18"/>
      <c r="F1403" s="18" t="s">
        <v>4624</v>
      </c>
      <c r="G1403" s="18" t="s">
        <v>4625</v>
      </c>
      <c r="H1403" s="18" t="s">
        <v>95</v>
      </c>
      <c r="I1403" s="18"/>
      <c r="J1403" s="16">
        <v>2026</v>
      </c>
      <c r="K1403" s="18" t="s">
        <v>4626</v>
      </c>
      <c r="L1403" s="16">
        <v>9785206006216</v>
      </c>
      <c r="M1403" s="18" t="s">
        <v>4627</v>
      </c>
      <c r="N1403" s="16">
        <v>352</v>
      </c>
      <c r="O1403" s="19">
        <v>0.64</v>
      </c>
      <c r="P1403" s="16">
        <v>150</v>
      </c>
      <c r="Q1403" s="16">
        <v>220</v>
      </c>
      <c r="R1403" s="16">
        <v>6</v>
      </c>
      <c r="S1403" s="18" t="s">
        <v>43</v>
      </c>
      <c r="T1403" s="18"/>
      <c r="U1403" s="17">
        <v>1155</v>
      </c>
      <c r="V1403" s="18" t="s">
        <v>77</v>
      </c>
      <c r="W1403" s="18" t="s">
        <v>69</v>
      </c>
      <c r="X1403" s="16">
        <v>10</v>
      </c>
      <c r="Y1403" s="43" t="str">
        <f>HYPERLINK("https://api-enni.alpina.ru/FilePrivilegesApproval/1162","https://api-enni.alpina.ru/FilePrivilegesApproval/1162")</f>
        <v>https://api-enni.alpina.ru/FilePrivilegesApproval/1162</v>
      </c>
      <c r="Z1403" s="18"/>
      <c r="AS1403" s="1">
        <f>IF($A1403&lt;&gt;0,1,0)</f>
        <v>0</v>
      </c>
      <c r="AT1403" s="1">
        <f>$A1403*$B1403</f>
        <v>0</v>
      </c>
      <c r="AU1403" s="1">
        <f>$A1403*$O1403</f>
        <v>0</v>
      </c>
      <c r="AV1403" s="1">
        <f>IF($R1403=0,0,INT($A1403/$R1403))</f>
        <v>0</v>
      </c>
      <c r="AW1403" s="1">
        <f>$A1403-$AV1403*$R1403</f>
        <v>0</v>
      </c>
    </row>
    <row r="1404" ht="24.95" customHeight="1" outlineLevel="3" s="1" customFormat="1">
      <c r="A1404" s="15"/>
      <c r="B1404" s="16">
        <v>690</v>
      </c>
      <c r="C1404" s="17">
        <v>1035</v>
      </c>
      <c r="D1404" s="16">
        <v>12389</v>
      </c>
      <c r="E1404" s="18"/>
      <c r="F1404" s="18" t="s">
        <v>4628</v>
      </c>
      <c r="G1404" s="18" t="s">
        <v>4629</v>
      </c>
      <c r="H1404" s="18" t="s">
        <v>86</v>
      </c>
      <c r="I1404" s="18" t="s">
        <v>74</v>
      </c>
      <c r="J1404" s="16">
        <v>2021</v>
      </c>
      <c r="K1404" s="18" t="s">
        <v>4630</v>
      </c>
      <c r="L1404" s="16">
        <v>9785961468304</v>
      </c>
      <c r="M1404" s="18" t="s">
        <v>4631</v>
      </c>
      <c r="N1404" s="16">
        <v>360</v>
      </c>
      <c r="O1404" s="19">
        <v>0.51</v>
      </c>
      <c r="P1404" s="16">
        <v>146</v>
      </c>
      <c r="Q1404" s="16">
        <v>216</v>
      </c>
      <c r="R1404" s="16">
        <v>10</v>
      </c>
      <c r="S1404" s="18" t="s">
        <v>43</v>
      </c>
      <c r="T1404" s="18"/>
      <c r="U1404" s="17">
        <v>4000</v>
      </c>
      <c r="V1404" s="18" t="s">
        <v>77</v>
      </c>
      <c r="W1404" s="18" t="s">
        <v>184</v>
      </c>
      <c r="X1404" s="16">
        <v>10</v>
      </c>
      <c r="Y1404" s="43" t="str">
        <f>HYPERLINK("https://api-enni.alpina.ru/FilePrivilegesApproval/108","https://api-enni.alpina.ru/FilePrivilegesApproval/108")</f>
        <v>https://api-enni.alpina.ru/FilePrivilegesApproval/108</v>
      </c>
      <c r="Z1404" s="18"/>
      <c r="AS1404" s="1">
        <f>IF($A1404&lt;&gt;0,1,0)</f>
        <v>0</v>
      </c>
      <c r="AT1404" s="1">
        <f>$A1404*$B1404</f>
        <v>0</v>
      </c>
      <c r="AU1404" s="1">
        <f>$A1404*$O1404</f>
        <v>0</v>
      </c>
      <c r="AV1404" s="1">
        <f>IF($R1404=0,0,INT($A1404/$R1404))</f>
        <v>0</v>
      </c>
      <c r="AW1404" s="1">
        <f>$A1404-$AV1404*$R1404</f>
        <v>0</v>
      </c>
    </row>
    <row r="1405" ht="24.95" customHeight="1" outlineLevel="3" s="1" customFormat="1">
      <c r="A1405" s="15"/>
      <c r="B1405" s="16">
        <v>790</v>
      </c>
      <c r="C1405" s="17">
        <v>1146</v>
      </c>
      <c r="D1405" s="16">
        <v>24110</v>
      </c>
      <c r="E1405" s="18"/>
      <c r="F1405" s="18" t="s">
        <v>4632</v>
      </c>
      <c r="G1405" s="18" t="s">
        <v>4633</v>
      </c>
      <c r="H1405" s="18" t="s">
        <v>95</v>
      </c>
      <c r="I1405" s="18"/>
      <c r="J1405" s="16">
        <v>2026</v>
      </c>
      <c r="K1405" s="18" t="s">
        <v>4634</v>
      </c>
      <c r="L1405" s="16">
        <v>9785907470514</v>
      </c>
      <c r="M1405" s="18" t="s">
        <v>4635</v>
      </c>
      <c r="N1405" s="16">
        <v>266</v>
      </c>
      <c r="O1405" s="19">
        <v>0.55</v>
      </c>
      <c r="P1405" s="16">
        <v>180</v>
      </c>
      <c r="Q1405" s="16">
        <v>250</v>
      </c>
      <c r="R1405" s="16">
        <v>10</v>
      </c>
      <c r="S1405" s="18" t="s">
        <v>123</v>
      </c>
      <c r="T1405" s="18"/>
      <c r="U1405" s="17">
        <v>1000</v>
      </c>
      <c r="V1405" s="18" t="s">
        <v>77</v>
      </c>
      <c r="W1405" s="18" t="s">
        <v>91</v>
      </c>
      <c r="X1405" s="16">
        <v>10</v>
      </c>
      <c r="Y1405" s="43" t="str">
        <f>HYPERLINK("https://api-enni.alpina.ru/FilePrivilegesApproval/237","https://api-enni.alpina.ru/FilePrivilegesApproval/237")</f>
        <v>https://api-enni.alpina.ru/FilePrivilegesApproval/237</v>
      </c>
      <c r="Z1405" s="18" t="s">
        <v>178</v>
      </c>
      <c r="AS1405" s="1">
        <f>IF($A1405&lt;&gt;0,1,0)</f>
        <v>0</v>
      </c>
      <c r="AT1405" s="1">
        <f>$A1405*$B1405</f>
        <v>0</v>
      </c>
      <c r="AU1405" s="1">
        <f>$A1405*$O1405</f>
        <v>0</v>
      </c>
      <c r="AV1405" s="1">
        <f>IF($R1405=0,0,INT($A1405/$R1405))</f>
        <v>0</v>
      </c>
      <c r="AW1405" s="1">
        <f>$A1405-$AV1405*$R1405</f>
        <v>0</v>
      </c>
    </row>
    <row r="1406" ht="24.95" customHeight="1" outlineLevel="3" s="1" customFormat="1">
      <c r="A1406" s="15"/>
      <c r="B1406" s="16">
        <v>990</v>
      </c>
      <c r="C1406" s="17">
        <v>1386</v>
      </c>
      <c r="D1406" s="16">
        <v>32265</v>
      </c>
      <c r="E1406" s="18"/>
      <c r="F1406" s="18" t="s">
        <v>4636</v>
      </c>
      <c r="G1406" s="18" t="s">
        <v>4637</v>
      </c>
      <c r="H1406" s="18" t="s">
        <v>95</v>
      </c>
      <c r="I1406" s="18"/>
      <c r="J1406" s="16">
        <v>2025</v>
      </c>
      <c r="K1406" s="18" t="s">
        <v>4638</v>
      </c>
      <c r="L1406" s="16">
        <v>9785206004229</v>
      </c>
      <c r="M1406" s="18" t="s">
        <v>4639</v>
      </c>
      <c r="N1406" s="16">
        <v>232</v>
      </c>
      <c r="O1406" s="19">
        <v>0.35</v>
      </c>
      <c r="P1406" s="16">
        <v>170</v>
      </c>
      <c r="Q1406" s="16">
        <v>220</v>
      </c>
      <c r="R1406" s="16">
        <v>10</v>
      </c>
      <c r="S1406" s="18" t="s">
        <v>52</v>
      </c>
      <c r="T1406" s="18"/>
      <c r="U1406" s="17">
        <v>1005</v>
      </c>
      <c r="V1406" s="18" t="s">
        <v>44</v>
      </c>
      <c r="W1406" s="18" t="s">
        <v>69</v>
      </c>
      <c r="X1406" s="16">
        <v>10</v>
      </c>
      <c r="Y1406" s="43" t="str">
        <f>HYPERLINK("https://api-enni.alpina.ru/FilePrivilegesApproval/863","https://api-enni.alpina.ru/FilePrivilegesApproval/863")</f>
        <v>https://api-enni.alpina.ru/FilePrivilegesApproval/863</v>
      </c>
      <c r="Z1406" s="18"/>
      <c r="AS1406" s="1">
        <f>IF($A1406&lt;&gt;0,1,0)</f>
        <v>0</v>
      </c>
      <c r="AT1406" s="1">
        <f>$A1406*$B1406</f>
        <v>0</v>
      </c>
      <c r="AU1406" s="1">
        <f>$A1406*$O1406</f>
        <v>0</v>
      </c>
      <c r="AV1406" s="1">
        <f>IF($R1406=0,0,INT($A1406/$R1406))</f>
        <v>0</v>
      </c>
      <c r="AW1406" s="1">
        <f>$A1406-$AV1406*$R1406</f>
        <v>0</v>
      </c>
    </row>
    <row r="1407" ht="24.95" customHeight="1" outlineLevel="3" s="1" customFormat="1">
      <c r="A1407" s="15"/>
      <c r="B1407" s="16">
        <v>690</v>
      </c>
      <c r="C1407" s="17">
        <v>1035</v>
      </c>
      <c r="D1407" s="16">
        <v>32194</v>
      </c>
      <c r="E1407" s="18"/>
      <c r="F1407" s="18" t="s">
        <v>369</v>
      </c>
      <c r="G1407" s="18" t="s">
        <v>4640</v>
      </c>
      <c r="H1407" s="18" t="s">
        <v>95</v>
      </c>
      <c r="I1407" s="18"/>
      <c r="J1407" s="16">
        <v>2025</v>
      </c>
      <c r="K1407" s="18" t="s">
        <v>4641</v>
      </c>
      <c r="L1407" s="16">
        <v>9785206004601</v>
      </c>
      <c r="M1407" s="18" t="s">
        <v>4642</v>
      </c>
      <c r="N1407" s="16">
        <v>144</v>
      </c>
      <c r="O1407" s="19">
        <v>0.35</v>
      </c>
      <c r="P1407" s="16">
        <v>170</v>
      </c>
      <c r="Q1407" s="16">
        <v>240</v>
      </c>
      <c r="R1407" s="16">
        <v>10</v>
      </c>
      <c r="S1407" s="18" t="s">
        <v>123</v>
      </c>
      <c r="T1407" s="18"/>
      <c r="U1407" s="17">
        <v>1005</v>
      </c>
      <c r="V1407" s="18" t="s">
        <v>77</v>
      </c>
      <c r="W1407" s="18" t="s">
        <v>91</v>
      </c>
      <c r="X1407" s="16">
        <v>10</v>
      </c>
      <c r="Y1407" s="43" t="str">
        <f>HYPERLINK("https://api-enni.alpina.ru/FilePrivilegesApproval/872","https://api-enni.alpina.ru/FilePrivilegesApproval/872")</f>
        <v>https://api-enni.alpina.ru/FilePrivilegesApproval/872</v>
      </c>
      <c r="Z1407" s="18"/>
      <c r="AS1407" s="1">
        <f>IF($A1407&lt;&gt;0,1,0)</f>
        <v>0</v>
      </c>
      <c r="AT1407" s="1">
        <f>$A1407*$B1407</f>
        <v>0</v>
      </c>
      <c r="AU1407" s="1">
        <f>$A1407*$O1407</f>
        <v>0</v>
      </c>
      <c r="AV1407" s="1">
        <f>IF($R1407=0,0,INT($A1407/$R1407))</f>
        <v>0</v>
      </c>
      <c r="AW1407" s="1">
        <f>$A1407-$AV1407*$R1407</f>
        <v>0</v>
      </c>
    </row>
    <row r="1408" ht="24.95" customHeight="1" outlineLevel="3" s="1" customFormat="1">
      <c r="A1408" s="15"/>
      <c r="B1408" s="16">
        <v>690</v>
      </c>
      <c r="C1408" s="17">
        <v>1035</v>
      </c>
      <c r="D1408" s="16">
        <v>8881</v>
      </c>
      <c r="E1408" s="18"/>
      <c r="F1408" s="18" t="s">
        <v>4643</v>
      </c>
      <c r="G1408" s="18" t="s">
        <v>4644</v>
      </c>
      <c r="H1408" s="18" t="s">
        <v>95</v>
      </c>
      <c r="I1408" s="18"/>
      <c r="J1408" s="16">
        <v>2024</v>
      </c>
      <c r="K1408" s="18" t="s">
        <v>4645</v>
      </c>
      <c r="L1408" s="16">
        <v>9785907274877</v>
      </c>
      <c r="M1408" s="18" t="s">
        <v>4646</v>
      </c>
      <c r="N1408" s="16">
        <v>230</v>
      </c>
      <c r="O1408" s="19">
        <v>0.39</v>
      </c>
      <c r="P1408" s="16">
        <v>153</v>
      </c>
      <c r="Q1408" s="16">
        <v>216</v>
      </c>
      <c r="R1408" s="16">
        <v>10</v>
      </c>
      <c r="S1408" s="18" t="s">
        <v>43</v>
      </c>
      <c r="T1408" s="18"/>
      <c r="U1408" s="17">
        <v>1000</v>
      </c>
      <c r="V1408" s="18" t="s">
        <v>77</v>
      </c>
      <c r="W1408" s="18" t="s">
        <v>91</v>
      </c>
      <c r="X1408" s="16">
        <v>10</v>
      </c>
      <c r="Y1408" s="43" t="str">
        <f>HYPERLINK("https://api-enni.alpina.ru/FilePrivilegesApproval/2","https://api-enni.alpina.ru/FilePrivilegesApproval/2")</f>
        <v>https://api-enni.alpina.ru/FilePrivilegesApproval/2</v>
      </c>
      <c r="Z1408" s="18"/>
      <c r="AS1408" s="1">
        <f>IF($A1408&lt;&gt;0,1,0)</f>
        <v>0</v>
      </c>
      <c r="AT1408" s="1">
        <f>$A1408*$B1408</f>
        <v>0</v>
      </c>
      <c r="AU1408" s="1">
        <f>$A1408*$O1408</f>
        <v>0</v>
      </c>
      <c r="AV1408" s="1">
        <f>IF($R1408=0,0,INT($A1408/$R1408))</f>
        <v>0</v>
      </c>
      <c r="AW1408" s="1">
        <f>$A1408-$AV1408*$R1408</f>
        <v>0</v>
      </c>
    </row>
    <row r="1409" ht="24.95" customHeight="1" outlineLevel="3" s="1" customFormat="1">
      <c r="A1409" s="15"/>
      <c r="B1409" s="16">
        <v>840</v>
      </c>
      <c r="C1409" s="17">
        <v>1218</v>
      </c>
      <c r="D1409" s="16">
        <v>26616</v>
      </c>
      <c r="E1409" s="18"/>
      <c r="F1409" s="18" t="s">
        <v>4647</v>
      </c>
      <c r="G1409" s="18" t="s">
        <v>4648</v>
      </c>
      <c r="H1409" s="18" t="s">
        <v>95</v>
      </c>
      <c r="I1409" s="18"/>
      <c r="J1409" s="16">
        <v>2023</v>
      </c>
      <c r="K1409" s="18" t="s">
        <v>4649</v>
      </c>
      <c r="L1409" s="16">
        <v>9785206000948</v>
      </c>
      <c r="M1409" s="18" t="s">
        <v>4650</v>
      </c>
      <c r="N1409" s="16">
        <v>172</v>
      </c>
      <c r="O1409" s="19">
        <v>0.37</v>
      </c>
      <c r="P1409" s="16">
        <v>150</v>
      </c>
      <c r="Q1409" s="16">
        <v>220</v>
      </c>
      <c r="R1409" s="16">
        <v>10</v>
      </c>
      <c r="S1409" s="18" t="s">
        <v>43</v>
      </c>
      <c r="T1409" s="18"/>
      <c r="U1409" s="17">
        <v>1000</v>
      </c>
      <c r="V1409" s="18" t="s">
        <v>77</v>
      </c>
      <c r="W1409" s="18" t="s">
        <v>91</v>
      </c>
      <c r="X1409" s="16">
        <v>10</v>
      </c>
      <c r="Y1409" s="43" t="str">
        <f>HYPERLINK("https://api-enni.alpina.ru/FilePrivilegesApproval/168","https://api-enni.alpina.ru/FilePrivilegesApproval/168")</f>
        <v>https://api-enni.alpina.ru/FilePrivilegesApproval/168</v>
      </c>
      <c r="Z1409" s="18"/>
      <c r="AS1409" s="1">
        <f>IF($A1409&lt;&gt;0,1,0)</f>
        <v>0</v>
      </c>
      <c r="AT1409" s="1">
        <f>$A1409*$B1409</f>
        <v>0</v>
      </c>
      <c r="AU1409" s="1">
        <f>$A1409*$O1409</f>
        <v>0</v>
      </c>
      <c r="AV1409" s="1">
        <f>IF($R1409=0,0,INT($A1409/$R1409))</f>
        <v>0</v>
      </c>
      <c r="AW1409" s="1">
        <f>$A1409-$AV1409*$R1409</f>
        <v>0</v>
      </c>
    </row>
    <row r="1410" ht="24.95" customHeight="1" outlineLevel="3" s="1" customFormat="1">
      <c r="A1410" s="15"/>
      <c r="B1410" s="16">
        <v>890</v>
      </c>
      <c r="C1410" s="17">
        <v>1246</v>
      </c>
      <c r="D1410" s="16">
        <v>31418</v>
      </c>
      <c r="E1410" s="18"/>
      <c r="F1410" s="18" t="s">
        <v>4601</v>
      </c>
      <c r="G1410" s="18" t="s">
        <v>4651</v>
      </c>
      <c r="H1410" s="18" t="s">
        <v>86</v>
      </c>
      <c r="I1410" s="18" t="s">
        <v>74</v>
      </c>
      <c r="J1410" s="16">
        <v>2025</v>
      </c>
      <c r="K1410" s="18" t="s">
        <v>4652</v>
      </c>
      <c r="L1410" s="16">
        <v>9785961498622</v>
      </c>
      <c r="M1410" s="18" t="s">
        <v>4653</v>
      </c>
      <c r="N1410" s="16">
        <v>284</v>
      </c>
      <c r="O1410" s="19">
        <v>0.58</v>
      </c>
      <c r="P1410" s="16">
        <v>170</v>
      </c>
      <c r="Q1410" s="16">
        <v>240</v>
      </c>
      <c r="R1410" s="16">
        <v>8</v>
      </c>
      <c r="S1410" s="18" t="s">
        <v>123</v>
      </c>
      <c r="T1410" s="18" t="s">
        <v>4605</v>
      </c>
      <c r="U1410" s="17">
        <v>2000</v>
      </c>
      <c r="V1410" s="18" t="s">
        <v>77</v>
      </c>
      <c r="W1410" s="18" t="s">
        <v>69</v>
      </c>
      <c r="X1410" s="16">
        <v>10</v>
      </c>
      <c r="Y1410" s="43" t="str">
        <f>HYPERLINK("https://api-enni.alpina.ru/FilePrivilegesApproval/921","https://api-enni.alpina.ru/FilePrivilegesApproval/921")</f>
        <v>https://api-enni.alpina.ru/FilePrivilegesApproval/921</v>
      </c>
      <c r="Z1410" s="18"/>
      <c r="AS1410" s="1">
        <f>IF($A1410&lt;&gt;0,1,0)</f>
        <v>0</v>
      </c>
      <c r="AT1410" s="1">
        <f>$A1410*$B1410</f>
        <v>0</v>
      </c>
      <c r="AU1410" s="1">
        <f>$A1410*$O1410</f>
        <v>0</v>
      </c>
      <c r="AV1410" s="1">
        <f>IF($R1410=0,0,INT($A1410/$R1410))</f>
        <v>0</v>
      </c>
      <c r="AW1410" s="1">
        <f>$A1410-$AV1410*$R1410</f>
        <v>0</v>
      </c>
    </row>
    <row r="1411" ht="24.95" customHeight="1" outlineLevel="3" s="1" customFormat="1">
      <c r="A1411" s="15"/>
      <c r="B1411" s="16">
        <v>690</v>
      </c>
      <c r="C1411" s="17">
        <v>1035</v>
      </c>
      <c r="D1411" s="16">
        <v>23332</v>
      </c>
      <c r="E1411" s="18"/>
      <c r="F1411" s="18" t="s">
        <v>4654</v>
      </c>
      <c r="G1411" s="18" t="s">
        <v>4655</v>
      </c>
      <c r="H1411" s="18" t="s">
        <v>86</v>
      </c>
      <c r="I1411" s="18" t="s">
        <v>74</v>
      </c>
      <c r="J1411" s="16">
        <v>2022</v>
      </c>
      <c r="K1411" s="18" t="s">
        <v>4656</v>
      </c>
      <c r="L1411" s="16">
        <v>9785961475272</v>
      </c>
      <c r="M1411" s="18" t="s">
        <v>4657</v>
      </c>
      <c r="N1411" s="16">
        <v>314</v>
      </c>
      <c r="O1411" s="19">
        <v>0.62</v>
      </c>
      <c r="P1411" s="16">
        <v>168</v>
      </c>
      <c r="Q1411" s="16">
        <v>241</v>
      </c>
      <c r="R1411" s="16">
        <v>7</v>
      </c>
      <c r="S1411" s="18" t="s">
        <v>123</v>
      </c>
      <c r="T1411" s="18"/>
      <c r="U1411" s="17">
        <v>3000</v>
      </c>
      <c r="V1411" s="18" t="s">
        <v>77</v>
      </c>
      <c r="W1411" s="18" t="s">
        <v>184</v>
      </c>
      <c r="X1411" s="16">
        <v>10</v>
      </c>
      <c r="Y1411" s="43" t="str">
        <f>HYPERLINK("https://api-enni.alpina.ru/FilePrivilegesApproval/122","https://api-enni.alpina.ru/FilePrivilegesApproval/122")</f>
        <v>https://api-enni.alpina.ru/FilePrivilegesApproval/122</v>
      </c>
      <c r="Z1411" s="18"/>
      <c r="AS1411" s="1">
        <f>IF($A1411&lt;&gt;0,1,0)</f>
        <v>0</v>
      </c>
      <c r="AT1411" s="1">
        <f>$A1411*$B1411</f>
        <v>0</v>
      </c>
      <c r="AU1411" s="1">
        <f>$A1411*$O1411</f>
        <v>0</v>
      </c>
      <c r="AV1411" s="1">
        <f>IF($R1411=0,0,INT($A1411/$R1411))</f>
        <v>0</v>
      </c>
      <c r="AW1411" s="1">
        <f>$A1411-$AV1411*$R1411</f>
        <v>0</v>
      </c>
    </row>
    <row r="1412" ht="21.95" customHeight="1" outlineLevel="3" s="1" customFormat="1">
      <c r="A1412" s="15"/>
      <c r="B1412" s="16">
        <v>890</v>
      </c>
      <c r="C1412" s="17">
        <v>1246</v>
      </c>
      <c r="D1412" s="16">
        <v>36951</v>
      </c>
      <c r="E1412" s="18"/>
      <c r="F1412" s="18" t="s">
        <v>361</v>
      </c>
      <c r="G1412" s="18" t="s">
        <v>362</v>
      </c>
      <c r="H1412" s="18" t="s">
        <v>95</v>
      </c>
      <c r="I1412" s="18"/>
      <c r="J1412" s="16">
        <v>2026</v>
      </c>
      <c r="K1412" s="18" t="s">
        <v>363</v>
      </c>
      <c r="L1412" s="16">
        <v>9785002060139</v>
      </c>
      <c r="M1412" s="18" t="s">
        <v>364</v>
      </c>
      <c r="N1412" s="16">
        <v>256</v>
      </c>
      <c r="O1412" s="19">
        <v>0.41</v>
      </c>
      <c r="P1412" s="16">
        <v>150</v>
      </c>
      <c r="Q1412" s="16">
        <v>220</v>
      </c>
      <c r="R1412" s="16">
        <v>10</v>
      </c>
      <c r="S1412" s="18" t="s">
        <v>43</v>
      </c>
      <c r="T1412" s="18"/>
      <c r="U1412" s="17">
        <v>1000</v>
      </c>
      <c r="V1412" s="18" t="s">
        <v>77</v>
      </c>
      <c r="W1412" s="18" t="s">
        <v>69</v>
      </c>
      <c r="X1412" s="16">
        <v>10</v>
      </c>
      <c r="Y1412" s="43" t="str">
        <f>HYPERLINK("","")</f>
      </c>
      <c r="Z1412" s="18" t="s">
        <v>78</v>
      </c>
      <c r="AS1412" s="1">
        <f>IF($A1412&lt;&gt;0,1,0)</f>
        <v>0</v>
      </c>
      <c r="AT1412" s="1">
        <f>$A1412*$B1412</f>
        <v>0</v>
      </c>
      <c r="AU1412" s="1">
        <f>$A1412*$O1412</f>
        <v>0</v>
      </c>
      <c r="AV1412" s="1">
        <f>IF($R1412=0,0,INT($A1412/$R1412))</f>
        <v>0</v>
      </c>
      <c r="AW1412" s="1">
        <f>$A1412-$AV1412*$R1412</f>
        <v>0</v>
      </c>
    </row>
    <row r="1413" ht="24.95" customHeight="1" outlineLevel="3" s="1" customFormat="1">
      <c r="A1413" s="15"/>
      <c r="B1413" s="16">
        <v>890</v>
      </c>
      <c r="C1413" s="17">
        <v>1246</v>
      </c>
      <c r="D1413" s="16">
        <v>23594</v>
      </c>
      <c r="E1413" s="18"/>
      <c r="F1413" s="18" t="s">
        <v>4658</v>
      </c>
      <c r="G1413" s="18" t="s">
        <v>4659</v>
      </c>
      <c r="H1413" s="18" t="s">
        <v>95</v>
      </c>
      <c r="I1413" s="18"/>
      <c r="J1413" s="16">
        <v>2025</v>
      </c>
      <c r="K1413" s="18" t="s">
        <v>4660</v>
      </c>
      <c r="L1413" s="16">
        <v>9785206000214</v>
      </c>
      <c r="M1413" s="18" t="s">
        <v>4661</v>
      </c>
      <c r="N1413" s="16">
        <v>262</v>
      </c>
      <c r="O1413" s="19">
        <v>0.42</v>
      </c>
      <c r="P1413" s="16">
        <v>150</v>
      </c>
      <c r="Q1413" s="16">
        <v>220</v>
      </c>
      <c r="R1413" s="16">
        <v>10</v>
      </c>
      <c r="S1413" s="18" t="s">
        <v>43</v>
      </c>
      <c r="T1413" s="18"/>
      <c r="U1413" s="17">
        <v>1000</v>
      </c>
      <c r="V1413" s="18" t="s">
        <v>77</v>
      </c>
      <c r="W1413" s="18" t="s">
        <v>45</v>
      </c>
      <c r="X1413" s="16">
        <v>10</v>
      </c>
      <c r="Y1413" s="43" t="str">
        <f>HYPERLINK("https://api-enni.alpina.ru/FilePrivilegesApproval/155","https://api-enni.alpina.ru/FilePrivilegesApproval/155")</f>
        <v>https://api-enni.alpina.ru/FilePrivilegesApproval/155</v>
      </c>
      <c r="Z1413" s="18"/>
      <c r="AS1413" s="1">
        <f>IF($A1413&lt;&gt;0,1,0)</f>
        <v>0</v>
      </c>
      <c r="AT1413" s="1">
        <f>$A1413*$B1413</f>
        <v>0</v>
      </c>
      <c r="AU1413" s="1">
        <f>$A1413*$O1413</f>
        <v>0</v>
      </c>
      <c r="AV1413" s="1">
        <f>IF($R1413=0,0,INT($A1413/$R1413))</f>
        <v>0</v>
      </c>
      <c r="AW1413" s="1">
        <f>$A1413-$AV1413*$R1413</f>
        <v>0</v>
      </c>
    </row>
    <row r="1414" ht="24.95" customHeight="1" outlineLevel="3" s="1" customFormat="1">
      <c r="A1414" s="15"/>
      <c r="B1414" s="16">
        <v>690</v>
      </c>
      <c r="C1414" s="17">
        <v>1035</v>
      </c>
      <c r="D1414" s="16">
        <v>7473</v>
      </c>
      <c r="E1414" s="18"/>
      <c r="F1414" s="18" t="s">
        <v>4662</v>
      </c>
      <c r="G1414" s="18" t="s">
        <v>4663</v>
      </c>
      <c r="H1414" s="18" t="s">
        <v>86</v>
      </c>
      <c r="I1414" s="18" t="s">
        <v>74</v>
      </c>
      <c r="J1414" s="16">
        <v>2025</v>
      </c>
      <c r="K1414" s="18" t="s">
        <v>4664</v>
      </c>
      <c r="L1414" s="16">
        <v>9785961469738</v>
      </c>
      <c r="M1414" s="18" t="s">
        <v>4665</v>
      </c>
      <c r="N1414" s="16">
        <v>304</v>
      </c>
      <c r="O1414" s="19">
        <v>0.59</v>
      </c>
      <c r="P1414" s="16">
        <v>168</v>
      </c>
      <c r="Q1414" s="16">
        <v>241</v>
      </c>
      <c r="R1414" s="16">
        <v>8</v>
      </c>
      <c r="S1414" s="18" t="s">
        <v>123</v>
      </c>
      <c r="T1414" s="18"/>
      <c r="U1414" s="17">
        <v>2000</v>
      </c>
      <c r="V1414" s="18" t="s">
        <v>77</v>
      </c>
      <c r="W1414" s="18" t="s">
        <v>184</v>
      </c>
      <c r="X1414" s="16">
        <v>10</v>
      </c>
      <c r="Y1414" s="43" t="str">
        <f>HYPERLINK("https://api-enni.alpina.ru/FilePrivilegesApproval/2","https://api-enni.alpina.ru/FilePrivilegesApproval/2")</f>
        <v>https://api-enni.alpina.ru/FilePrivilegesApproval/2</v>
      </c>
      <c r="Z1414" s="18"/>
      <c r="AS1414" s="1">
        <f>IF($A1414&lt;&gt;0,1,0)</f>
        <v>0</v>
      </c>
      <c r="AT1414" s="1">
        <f>$A1414*$B1414</f>
        <v>0</v>
      </c>
      <c r="AU1414" s="1">
        <f>$A1414*$O1414</f>
        <v>0</v>
      </c>
      <c r="AV1414" s="1">
        <f>IF($R1414=0,0,INT($A1414/$R1414))</f>
        <v>0</v>
      </c>
      <c r="AW1414" s="1">
        <f>$A1414-$AV1414*$R1414</f>
        <v>0</v>
      </c>
    </row>
    <row r="1415" ht="24.95" customHeight="1" outlineLevel="3" s="1" customFormat="1">
      <c r="A1415" s="15"/>
      <c r="B1415" s="16">
        <v>690</v>
      </c>
      <c r="C1415" s="17">
        <v>1035</v>
      </c>
      <c r="D1415" s="16">
        <v>25621</v>
      </c>
      <c r="E1415" s="18"/>
      <c r="F1415" s="18" t="s">
        <v>1329</v>
      </c>
      <c r="G1415" s="18" t="s">
        <v>4666</v>
      </c>
      <c r="H1415" s="18" t="s">
        <v>86</v>
      </c>
      <c r="I1415" s="18"/>
      <c r="J1415" s="16">
        <v>2026</v>
      </c>
      <c r="K1415" s="18" t="s">
        <v>4667</v>
      </c>
      <c r="L1415" s="16">
        <v>9785961478495</v>
      </c>
      <c r="M1415" s="18" t="s">
        <v>4668</v>
      </c>
      <c r="N1415" s="16">
        <v>220</v>
      </c>
      <c r="O1415" s="19">
        <v>0.38</v>
      </c>
      <c r="P1415" s="16">
        <v>150</v>
      </c>
      <c r="Q1415" s="16">
        <v>220</v>
      </c>
      <c r="R1415" s="16">
        <v>10</v>
      </c>
      <c r="S1415" s="18" t="s">
        <v>43</v>
      </c>
      <c r="T1415" s="18"/>
      <c r="U1415" s="17">
        <v>1000</v>
      </c>
      <c r="V1415" s="18" t="s">
        <v>77</v>
      </c>
      <c r="W1415" s="18" t="s">
        <v>55</v>
      </c>
      <c r="X1415" s="16">
        <v>10</v>
      </c>
      <c r="Y1415" s="43" t="str">
        <f>HYPERLINK("https://api-enni.alpina.ru/FilePrivilegesApproval/152","https://api-enni.alpina.ru/FilePrivilegesApproval/152")</f>
        <v>https://api-enni.alpina.ru/FilePrivilegesApproval/152</v>
      </c>
      <c r="Z1415" s="18" t="s">
        <v>46</v>
      </c>
      <c r="AS1415" s="1">
        <f>IF($A1415&lt;&gt;0,1,0)</f>
        <v>0</v>
      </c>
      <c r="AT1415" s="1">
        <f>$A1415*$B1415</f>
        <v>0</v>
      </c>
      <c r="AU1415" s="1">
        <f>$A1415*$O1415</f>
        <v>0</v>
      </c>
      <c r="AV1415" s="1">
        <f>IF($R1415=0,0,INT($A1415/$R1415))</f>
        <v>0</v>
      </c>
      <c r="AW1415" s="1">
        <f>$A1415-$AV1415*$R1415</f>
        <v>0</v>
      </c>
    </row>
    <row r="1416" ht="11.1" customHeight="1" outlineLevel="2">
      <c r="A1416" s="41" t="s">
        <v>4669</v>
      </c>
      <c r="B1416" s="41"/>
      <c r="C1416" s="41"/>
      <c r="D1416" s="41"/>
      <c r="E1416" s="41"/>
      <c r="F1416" s="41"/>
      <c r="G1416" s="41"/>
      <c r="H1416" s="41"/>
      <c r="I1416" s="41"/>
      <c r="J1416" s="41"/>
      <c r="K1416" s="41"/>
      <c r="L1416" s="41"/>
      <c r="M1416" s="41"/>
      <c r="N1416" s="41"/>
      <c r="O1416" s="41"/>
      <c r="P1416" s="41"/>
      <c r="Q1416" s="41"/>
      <c r="R1416" s="41"/>
      <c r="S1416" s="41"/>
      <c r="T1416" s="41"/>
      <c r="U1416" s="41"/>
      <c r="V1416" s="41"/>
      <c r="W1416" s="41"/>
      <c r="X1416" s="41"/>
      <c r="Y1416" s="41"/>
      <c r="Z1416" s="24"/>
    </row>
    <row r="1417" ht="24.95" customHeight="1" outlineLevel="3" s="1" customFormat="1">
      <c r="A1417" s="15"/>
      <c r="B1417" s="16">
        <v>940</v>
      </c>
      <c r="C1417" s="17">
        <v>1316</v>
      </c>
      <c r="D1417" s="16">
        <v>12214</v>
      </c>
      <c r="E1417" s="18"/>
      <c r="F1417" s="18" t="s">
        <v>4670</v>
      </c>
      <c r="G1417" s="18" t="s">
        <v>4671</v>
      </c>
      <c r="H1417" s="18" t="s">
        <v>95</v>
      </c>
      <c r="I1417" s="18" t="s">
        <v>74</v>
      </c>
      <c r="J1417" s="16">
        <v>2024</v>
      </c>
      <c r="K1417" s="18" t="s">
        <v>4672</v>
      </c>
      <c r="L1417" s="16">
        <v>9785604232071</v>
      </c>
      <c r="M1417" s="18" t="s">
        <v>4673</v>
      </c>
      <c r="N1417" s="16">
        <v>296</v>
      </c>
      <c r="O1417" s="19">
        <v>0.59</v>
      </c>
      <c r="P1417" s="16">
        <v>171</v>
      </c>
      <c r="Q1417" s="16">
        <v>241</v>
      </c>
      <c r="R1417" s="16">
        <v>5</v>
      </c>
      <c r="S1417" s="18" t="s">
        <v>123</v>
      </c>
      <c r="T1417" s="18"/>
      <c r="U1417" s="17">
        <v>1000</v>
      </c>
      <c r="V1417" s="18" t="s">
        <v>77</v>
      </c>
      <c r="W1417" s="18" t="s">
        <v>91</v>
      </c>
      <c r="X1417" s="16">
        <v>10</v>
      </c>
      <c r="Y1417" s="43" t="str">
        <f>HYPERLINK("https://api-enni.alpina.ru/FilePrivilegesApproval/129","https://api-enni.alpina.ru/FilePrivilegesApproval/129")</f>
        <v>https://api-enni.alpina.ru/FilePrivilegesApproval/129</v>
      </c>
      <c r="Z1417" s="18"/>
      <c r="AS1417" s="1">
        <f>IF($A1417&lt;&gt;0,1,0)</f>
        <v>0</v>
      </c>
      <c r="AT1417" s="1">
        <f>$A1417*$B1417</f>
        <v>0</v>
      </c>
      <c r="AU1417" s="1">
        <f>$A1417*$O1417</f>
        <v>0</v>
      </c>
      <c r="AV1417" s="1">
        <f>IF($R1417=0,0,INT($A1417/$R1417))</f>
        <v>0</v>
      </c>
      <c r="AW1417" s="1">
        <f>$A1417-$AV1417*$R1417</f>
        <v>0</v>
      </c>
    </row>
    <row r="1418" ht="24.95" customHeight="1" outlineLevel="3" s="1" customFormat="1">
      <c r="A1418" s="25"/>
      <c r="B1418" s="26">
        <v>690</v>
      </c>
      <c r="C1418" s="29">
        <v>1035</v>
      </c>
      <c r="D1418" s="26">
        <v>28232</v>
      </c>
      <c r="E1418" s="27"/>
      <c r="F1418" s="27" t="s">
        <v>4674</v>
      </c>
      <c r="G1418" s="27" t="s">
        <v>4675</v>
      </c>
      <c r="H1418" s="27" t="s">
        <v>95</v>
      </c>
      <c r="I1418" s="27"/>
      <c r="J1418" s="26">
        <v>2024</v>
      </c>
      <c r="K1418" s="27" t="s">
        <v>4676</v>
      </c>
      <c r="L1418" s="26">
        <v>9785206001976</v>
      </c>
      <c r="M1418" s="27" t="s">
        <v>4677</v>
      </c>
      <c r="N1418" s="26">
        <v>162</v>
      </c>
      <c r="O1418" s="28">
        <v>0.3</v>
      </c>
      <c r="P1418" s="26">
        <v>150</v>
      </c>
      <c r="Q1418" s="26">
        <v>220</v>
      </c>
      <c r="R1418" s="26">
        <v>8</v>
      </c>
      <c r="S1418" s="27" t="s">
        <v>43</v>
      </c>
      <c r="T1418" s="27"/>
      <c r="U1418" s="29">
        <v>1000</v>
      </c>
      <c r="V1418" s="27" t="s">
        <v>77</v>
      </c>
      <c r="W1418" s="27" t="s">
        <v>91</v>
      </c>
      <c r="X1418" s="26">
        <v>10</v>
      </c>
      <c r="Y1418" s="45" t="str">
        <f>HYPERLINK("https://api-enni.alpina.ru/FilePrivilegesApproval/286","https://api-enni.alpina.ru/FilePrivilegesApproval/286")</f>
        <v>https://api-enni.alpina.ru/FilePrivilegesApproval/286</v>
      </c>
      <c r="Z1418" s="27"/>
      <c r="AS1418" s="1">
        <f>IF($A1418&lt;&gt;0,1,0)</f>
        <v>0</v>
      </c>
      <c r="AT1418" s="1">
        <f>$A1418*$B1418</f>
        <v>0</v>
      </c>
      <c r="AU1418" s="1">
        <f>$A1418*$O1418</f>
        <v>0</v>
      </c>
      <c r="AV1418" s="1">
        <f>IF($R1418=0,0,INT($A1418/$R1418))</f>
        <v>0</v>
      </c>
      <c r="AW1418" s="1">
        <f>$A1418-$AV1418*$R1418</f>
        <v>0</v>
      </c>
    </row>
    <row r="1419" ht="24.95" customHeight="1" outlineLevel="3" s="1" customFormat="1">
      <c r="A1419" s="25"/>
      <c r="B1419" s="26">
        <v>590</v>
      </c>
      <c r="C1419" s="26">
        <v>885</v>
      </c>
      <c r="D1419" s="26">
        <v>11498</v>
      </c>
      <c r="E1419" s="27"/>
      <c r="F1419" s="27" t="s">
        <v>4678</v>
      </c>
      <c r="G1419" s="27" t="s">
        <v>4679</v>
      </c>
      <c r="H1419" s="27" t="s">
        <v>86</v>
      </c>
      <c r="I1419" s="27" t="s">
        <v>74</v>
      </c>
      <c r="J1419" s="26">
        <v>2019</v>
      </c>
      <c r="K1419" s="27" t="s">
        <v>4680</v>
      </c>
      <c r="L1419" s="26">
        <v>9785961426564</v>
      </c>
      <c r="M1419" s="27" t="s">
        <v>4681</v>
      </c>
      <c r="N1419" s="26">
        <v>544</v>
      </c>
      <c r="O1419" s="28">
        <v>0.75</v>
      </c>
      <c r="P1419" s="26">
        <v>146</v>
      </c>
      <c r="Q1419" s="26">
        <v>216</v>
      </c>
      <c r="R1419" s="26">
        <v>8</v>
      </c>
      <c r="S1419" s="27" t="s">
        <v>43</v>
      </c>
      <c r="T1419" s="27"/>
      <c r="U1419" s="29">
        <v>2500</v>
      </c>
      <c r="V1419" s="27" t="s">
        <v>77</v>
      </c>
      <c r="W1419" s="27" t="s">
        <v>91</v>
      </c>
      <c r="X1419" s="26">
        <v>10</v>
      </c>
      <c r="Y1419" s="45" t="str">
        <f>HYPERLINK("https://api-enni.alpina.ru/FilePrivilegesApproval/244","https://api-enni.alpina.ru/FilePrivilegesApproval/244")</f>
        <v>https://api-enni.alpina.ru/FilePrivilegesApproval/244</v>
      </c>
      <c r="Z1419" s="27"/>
      <c r="AS1419" s="1">
        <f>IF($A1419&lt;&gt;0,1,0)</f>
        <v>0</v>
      </c>
      <c r="AT1419" s="1">
        <f>$A1419*$B1419</f>
        <v>0</v>
      </c>
      <c r="AU1419" s="1">
        <f>$A1419*$O1419</f>
        <v>0</v>
      </c>
      <c r="AV1419" s="1">
        <f>IF($R1419=0,0,INT($A1419/$R1419))</f>
        <v>0</v>
      </c>
      <c r="AW1419" s="1">
        <f>$A1419-$AV1419*$R1419</f>
        <v>0</v>
      </c>
    </row>
    <row r="1420" ht="24.95" customHeight="1" outlineLevel="3" s="1" customFormat="1">
      <c r="A1420" s="15"/>
      <c r="B1420" s="16">
        <v>690</v>
      </c>
      <c r="C1420" s="17">
        <v>1035</v>
      </c>
      <c r="D1420" s="16">
        <v>32967</v>
      </c>
      <c r="E1420" s="18"/>
      <c r="F1420" s="18" t="s">
        <v>4682</v>
      </c>
      <c r="G1420" s="18" t="s">
        <v>4683</v>
      </c>
      <c r="H1420" s="18" t="s">
        <v>95</v>
      </c>
      <c r="I1420" s="18"/>
      <c r="J1420" s="16">
        <v>2025</v>
      </c>
      <c r="K1420" s="18" t="s">
        <v>4684</v>
      </c>
      <c r="L1420" s="16">
        <v>9785206004465</v>
      </c>
      <c r="M1420" s="18" t="s">
        <v>4685</v>
      </c>
      <c r="N1420" s="16">
        <v>176</v>
      </c>
      <c r="O1420" s="19">
        <v>0.31</v>
      </c>
      <c r="P1420" s="16">
        <v>150</v>
      </c>
      <c r="Q1420" s="16">
        <v>220</v>
      </c>
      <c r="R1420" s="16">
        <v>10</v>
      </c>
      <c r="S1420" s="18" t="s">
        <v>43</v>
      </c>
      <c r="T1420" s="18"/>
      <c r="U1420" s="17">
        <v>1005</v>
      </c>
      <c r="V1420" s="18" t="s">
        <v>77</v>
      </c>
      <c r="W1420" s="18" t="s">
        <v>69</v>
      </c>
      <c r="X1420" s="16">
        <v>10</v>
      </c>
      <c r="Y1420" s="43" t="str">
        <f>HYPERLINK("https://api-enni.alpina.ru/FilePrivilegesApproval/872","https://api-enni.alpina.ru/FilePrivilegesApproval/872")</f>
        <v>https://api-enni.alpina.ru/FilePrivilegesApproval/872</v>
      </c>
      <c r="Z1420" s="18"/>
      <c r="AS1420" s="1">
        <f>IF($A1420&lt;&gt;0,1,0)</f>
        <v>0</v>
      </c>
      <c r="AT1420" s="1">
        <f>$A1420*$B1420</f>
        <v>0</v>
      </c>
      <c r="AU1420" s="1">
        <f>$A1420*$O1420</f>
        <v>0</v>
      </c>
      <c r="AV1420" s="1">
        <f>IF($R1420=0,0,INT($A1420/$R1420))</f>
        <v>0</v>
      </c>
      <c r="AW1420" s="1">
        <f>$A1420-$AV1420*$R1420</f>
        <v>0</v>
      </c>
    </row>
    <row r="1421" ht="21.95" customHeight="1" outlineLevel="3" s="1" customFormat="1">
      <c r="A1421" s="15"/>
      <c r="B1421" s="16">
        <v>854</v>
      </c>
      <c r="C1421" s="17">
        <v>1218</v>
      </c>
      <c r="D1421" s="16">
        <v>33709</v>
      </c>
      <c r="E1421" s="18"/>
      <c r="F1421" s="18" t="s">
        <v>361</v>
      </c>
      <c r="G1421" s="18" t="s">
        <v>4686</v>
      </c>
      <c r="H1421" s="18" t="s">
        <v>95</v>
      </c>
      <c r="I1421" s="18"/>
      <c r="J1421" s="16">
        <v>2025</v>
      </c>
      <c r="K1421" s="18" t="s">
        <v>4687</v>
      </c>
      <c r="L1421" s="16">
        <v>9785206006384</v>
      </c>
      <c r="M1421" s="18" t="s">
        <v>4688</v>
      </c>
      <c r="N1421" s="16">
        <v>240</v>
      </c>
      <c r="O1421" s="19">
        <v>0.39</v>
      </c>
      <c r="P1421" s="16">
        <v>150</v>
      </c>
      <c r="Q1421" s="16">
        <v>220</v>
      </c>
      <c r="R1421" s="16">
        <v>10</v>
      </c>
      <c r="S1421" s="18" t="s">
        <v>43</v>
      </c>
      <c r="T1421" s="18"/>
      <c r="U1421" s="17">
        <v>1000</v>
      </c>
      <c r="V1421" s="18" t="s">
        <v>77</v>
      </c>
      <c r="W1421" s="18" t="s">
        <v>69</v>
      </c>
      <c r="X1421" s="16">
        <v>22</v>
      </c>
      <c r="Y1421" s="43" t="str">
        <f>HYPERLINK("","")</f>
      </c>
      <c r="Z1421" s="18"/>
      <c r="AS1421" s="1">
        <f>IF($A1421&lt;&gt;0,1,0)</f>
        <v>0</v>
      </c>
      <c r="AT1421" s="1">
        <f>$A1421*$B1421</f>
        <v>0</v>
      </c>
      <c r="AU1421" s="1">
        <f>$A1421*$O1421</f>
        <v>0</v>
      </c>
      <c r="AV1421" s="1">
        <f>IF($R1421=0,0,INT($A1421/$R1421))</f>
        <v>0</v>
      </c>
      <c r="AW1421" s="1">
        <f>$A1421-$AV1421*$R1421</f>
        <v>0</v>
      </c>
    </row>
    <row r="1422" ht="24.95" customHeight="1" outlineLevel="3" s="1" customFormat="1">
      <c r="A1422" s="15"/>
      <c r="B1422" s="16">
        <v>890</v>
      </c>
      <c r="C1422" s="17">
        <v>1246</v>
      </c>
      <c r="D1422" s="16">
        <v>26693</v>
      </c>
      <c r="E1422" s="18"/>
      <c r="F1422" s="18" t="s">
        <v>4689</v>
      </c>
      <c r="G1422" s="18" t="s">
        <v>4690</v>
      </c>
      <c r="H1422" s="18" t="s">
        <v>95</v>
      </c>
      <c r="I1422" s="18"/>
      <c r="J1422" s="16">
        <v>2023</v>
      </c>
      <c r="K1422" s="18" t="s">
        <v>4691</v>
      </c>
      <c r="L1422" s="16">
        <v>9785206000955</v>
      </c>
      <c r="M1422" s="18" t="s">
        <v>4692</v>
      </c>
      <c r="N1422" s="16">
        <v>182</v>
      </c>
      <c r="O1422" s="19">
        <v>0.32</v>
      </c>
      <c r="P1422" s="16">
        <v>150</v>
      </c>
      <c r="Q1422" s="16">
        <v>220</v>
      </c>
      <c r="R1422" s="16">
        <v>12</v>
      </c>
      <c r="S1422" s="18" t="s">
        <v>43</v>
      </c>
      <c r="T1422" s="18"/>
      <c r="U1422" s="17">
        <v>1005</v>
      </c>
      <c r="V1422" s="18" t="s">
        <v>77</v>
      </c>
      <c r="W1422" s="18" t="s">
        <v>91</v>
      </c>
      <c r="X1422" s="16">
        <v>10</v>
      </c>
      <c r="Y1422" s="43" t="str">
        <f>HYPERLINK("https://api-enni.alpina.ru/FilePrivilegesApproval/251","https://api-enni.alpina.ru/FilePrivilegesApproval/251")</f>
        <v>https://api-enni.alpina.ru/FilePrivilegesApproval/251</v>
      </c>
      <c r="Z1422" s="18"/>
      <c r="AS1422" s="1">
        <f>IF($A1422&lt;&gt;0,1,0)</f>
        <v>0</v>
      </c>
      <c r="AT1422" s="1">
        <f>$A1422*$B1422</f>
        <v>0</v>
      </c>
      <c r="AU1422" s="1">
        <f>$A1422*$O1422</f>
        <v>0</v>
      </c>
      <c r="AV1422" s="1">
        <f>IF($R1422=0,0,INT($A1422/$R1422))</f>
        <v>0</v>
      </c>
      <c r="AW1422" s="1">
        <f>$A1422-$AV1422*$R1422</f>
        <v>0</v>
      </c>
    </row>
    <row r="1423" ht="24.95" customHeight="1" outlineLevel="3" s="1" customFormat="1">
      <c r="A1423" s="15"/>
      <c r="B1423" s="16">
        <v>460</v>
      </c>
      <c r="C1423" s="16">
        <v>713</v>
      </c>
      <c r="D1423" s="16">
        <v>5491</v>
      </c>
      <c r="E1423" s="18"/>
      <c r="F1423" s="18" t="s">
        <v>4693</v>
      </c>
      <c r="G1423" s="18" t="s">
        <v>4694</v>
      </c>
      <c r="H1423" s="18" t="s">
        <v>95</v>
      </c>
      <c r="I1423" s="18" t="s">
        <v>74</v>
      </c>
      <c r="J1423" s="16">
        <v>2024</v>
      </c>
      <c r="K1423" s="18" t="s">
        <v>4695</v>
      </c>
      <c r="L1423" s="16">
        <v>9785907274921</v>
      </c>
      <c r="M1423" s="18" t="s">
        <v>4696</v>
      </c>
      <c r="N1423" s="16">
        <v>118</v>
      </c>
      <c r="O1423" s="19">
        <v>0.25</v>
      </c>
      <c r="P1423" s="16">
        <v>150</v>
      </c>
      <c r="Q1423" s="16">
        <v>220</v>
      </c>
      <c r="R1423" s="16">
        <v>15</v>
      </c>
      <c r="S1423" s="18" t="s">
        <v>43</v>
      </c>
      <c r="T1423" s="18"/>
      <c r="U1423" s="17">
        <v>1000</v>
      </c>
      <c r="V1423" s="18" t="s">
        <v>77</v>
      </c>
      <c r="W1423" s="18" t="s">
        <v>184</v>
      </c>
      <c r="X1423" s="16">
        <v>10</v>
      </c>
      <c r="Y1423" s="43" t="str">
        <f>HYPERLINK("https://api-enni.alpina.ru/FilePrivilegesApproval/2","https://api-enni.alpina.ru/FilePrivilegesApproval/2")</f>
        <v>https://api-enni.alpina.ru/FilePrivilegesApproval/2</v>
      </c>
      <c r="Z1423" s="18"/>
      <c r="AS1423" s="1">
        <f>IF($A1423&lt;&gt;0,1,0)</f>
        <v>0</v>
      </c>
      <c r="AT1423" s="1">
        <f>$A1423*$B1423</f>
        <v>0</v>
      </c>
      <c r="AU1423" s="1">
        <f>$A1423*$O1423</f>
        <v>0</v>
      </c>
      <c r="AV1423" s="1">
        <f>IF($R1423=0,0,INT($A1423/$R1423))</f>
        <v>0</v>
      </c>
      <c r="AW1423" s="1">
        <f>$A1423-$AV1423*$R1423</f>
        <v>0</v>
      </c>
    </row>
    <row r="1424" ht="24.95" customHeight="1" outlineLevel="3" s="1" customFormat="1">
      <c r="A1424" s="25"/>
      <c r="B1424" s="26">
        <v>690</v>
      </c>
      <c r="C1424" s="29">
        <v>1035</v>
      </c>
      <c r="D1424" s="26">
        <v>9004</v>
      </c>
      <c r="E1424" s="27"/>
      <c r="F1424" s="27" t="s">
        <v>4697</v>
      </c>
      <c r="G1424" s="27" t="s">
        <v>4698</v>
      </c>
      <c r="H1424" s="27" t="s">
        <v>86</v>
      </c>
      <c r="I1424" s="27"/>
      <c r="J1424" s="26">
        <v>2026</v>
      </c>
      <c r="K1424" s="27" t="s">
        <v>4699</v>
      </c>
      <c r="L1424" s="26">
        <v>9785961408089</v>
      </c>
      <c r="M1424" s="27" t="s">
        <v>4700</v>
      </c>
      <c r="N1424" s="26">
        <v>187</v>
      </c>
      <c r="O1424" s="28">
        <v>0.33</v>
      </c>
      <c r="P1424" s="26">
        <v>150</v>
      </c>
      <c r="Q1424" s="26">
        <v>220</v>
      </c>
      <c r="R1424" s="26">
        <v>15</v>
      </c>
      <c r="S1424" s="27" t="s">
        <v>43</v>
      </c>
      <c r="T1424" s="27"/>
      <c r="U1424" s="29">
        <v>1000</v>
      </c>
      <c r="V1424" s="27" t="s">
        <v>77</v>
      </c>
      <c r="W1424" s="27" t="s">
        <v>184</v>
      </c>
      <c r="X1424" s="26">
        <v>10</v>
      </c>
      <c r="Y1424" s="45" t="str">
        <f>HYPERLINK("https://api-enni.alpina.ru/FilePrivilegesApproval/2","https://api-enni.alpina.ru/FilePrivilegesApproval/2")</f>
        <v>https://api-enni.alpina.ru/FilePrivilegesApproval/2</v>
      </c>
      <c r="Z1424" s="27"/>
      <c r="AS1424" s="1">
        <f>IF($A1424&lt;&gt;0,1,0)</f>
        <v>0</v>
      </c>
      <c r="AT1424" s="1">
        <f>$A1424*$B1424</f>
        <v>0</v>
      </c>
      <c r="AU1424" s="1">
        <f>$A1424*$O1424</f>
        <v>0</v>
      </c>
      <c r="AV1424" s="1">
        <f>IF($R1424=0,0,INT($A1424/$R1424))</f>
        <v>0</v>
      </c>
      <c r="AW1424" s="1">
        <f>$A1424-$AV1424*$R1424</f>
        <v>0</v>
      </c>
    </row>
    <row r="1425" ht="24.95" customHeight="1" outlineLevel="3" s="1" customFormat="1">
      <c r="A1425" s="15"/>
      <c r="B1425" s="16">
        <v>690</v>
      </c>
      <c r="C1425" s="17">
        <v>1035</v>
      </c>
      <c r="D1425" s="16">
        <v>24514</v>
      </c>
      <c r="E1425" s="18"/>
      <c r="F1425" s="18" t="s">
        <v>4701</v>
      </c>
      <c r="G1425" s="18" t="s">
        <v>4702</v>
      </c>
      <c r="H1425" s="18" t="s">
        <v>95</v>
      </c>
      <c r="I1425" s="18"/>
      <c r="J1425" s="16">
        <v>2022</v>
      </c>
      <c r="K1425" s="18" t="s">
        <v>4703</v>
      </c>
      <c r="L1425" s="16">
        <v>9785907470842</v>
      </c>
      <c r="M1425" s="18" t="s">
        <v>4704</v>
      </c>
      <c r="N1425" s="16">
        <v>128</v>
      </c>
      <c r="O1425" s="19">
        <v>0.27</v>
      </c>
      <c r="P1425" s="16">
        <v>146</v>
      </c>
      <c r="Q1425" s="16">
        <v>216</v>
      </c>
      <c r="R1425" s="16">
        <v>16</v>
      </c>
      <c r="S1425" s="18" t="s">
        <v>43</v>
      </c>
      <c r="T1425" s="18"/>
      <c r="U1425" s="17">
        <v>1500</v>
      </c>
      <c r="V1425" s="18" t="s">
        <v>77</v>
      </c>
      <c r="W1425" s="18" t="s">
        <v>91</v>
      </c>
      <c r="X1425" s="16">
        <v>10</v>
      </c>
      <c r="Y1425" s="43" t="str">
        <f>HYPERLINK("https://api-enni.alpina.ru/FilePrivilegesApproval/129","https://api-enni.alpina.ru/FilePrivilegesApproval/129")</f>
        <v>https://api-enni.alpina.ru/FilePrivilegesApproval/129</v>
      </c>
      <c r="Z1425" s="18"/>
      <c r="AS1425" s="1">
        <f>IF($A1425&lt;&gt;0,1,0)</f>
        <v>0</v>
      </c>
      <c r="AT1425" s="1">
        <f>$A1425*$B1425</f>
        <v>0</v>
      </c>
      <c r="AU1425" s="1">
        <f>$A1425*$O1425</f>
        <v>0</v>
      </c>
      <c r="AV1425" s="1">
        <f>IF($R1425=0,0,INT($A1425/$R1425))</f>
        <v>0</v>
      </c>
      <c r="AW1425" s="1">
        <f>$A1425-$AV1425*$R1425</f>
        <v>0</v>
      </c>
    </row>
    <row r="1426" ht="24.95" customHeight="1" outlineLevel="3" s="1" customFormat="1">
      <c r="A1426" s="15"/>
      <c r="B1426" s="16">
        <v>790</v>
      </c>
      <c r="C1426" s="17">
        <v>1146</v>
      </c>
      <c r="D1426" s="16">
        <v>35273</v>
      </c>
      <c r="E1426" s="18"/>
      <c r="F1426" s="18" t="s">
        <v>4705</v>
      </c>
      <c r="G1426" s="18" t="s">
        <v>4706</v>
      </c>
      <c r="H1426" s="18" t="s">
        <v>95</v>
      </c>
      <c r="I1426" s="18"/>
      <c r="J1426" s="16">
        <v>2026</v>
      </c>
      <c r="K1426" s="18" t="s">
        <v>4707</v>
      </c>
      <c r="L1426" s="16">
        <v>9785206005288</v>
      </c>
      <c r="M1426" s="18" t="s">
        <v>4708</v>
      </c>
      <c r="N1426" s="16">
        <v>240</v>
      </c>
      <c r="O1426" s="19">
        <v>0.38</v>
      </c>
      <c r="P1426" s="16">
        <v>150</v>
      </c>
      <c r="Q1426" s="16">
        <v>220</v>
      </c>
      <c r="R1426" s="16">
        <v>10</v>
      </c>
      <c r="S1426" s="18" t="s">
        <v>43</v>
      </c>
      <c r="T1426" s="18"/>
      <c r="U1426" s="17">
        <v>1000</v>
      </c>
      <c r="V1426" s="18" t="s">
        <v>77</v>
      </c>
      <c r="W1426" s="18" t="s">
        <v>69</v>
      </c>
      <c r="X1426" s="16">
        <v>10</v>
      </c>
      <c r="Y1426" s="43" t="str">
        <f>HYPERLINK("https://api-enni.alpina.ru/FilePrivilegesApproval/1136","https://api-enni.alpina.ru/FilePrivilegesApproval/1136")</f>
        <v>https://api-enni.alpina.ru/FilePrivilegesApproval/1136</v>
      </c>
      <c r="Z1426" s="18" t="s">
        <v>178</v>
      </c>
      <c r="AS1426" s="1">
        <f>IF($A1426&lt;&gt;0,1,0)</f>
        <v>0</v>
      </c>
      <c r="AT1426" s="1">
        <f>$A1426*$B1426</f>
        <v>0</v>
      </c>
      <c r="AU1426" s="1">
        <f>$A1426*$O1426</f>
        <v>0</v>
      </c>
      <c r="AV1426" s="1">
        <f>IF($R1426=0,0,INT($A1426/$R1426))</f>
        <v>0</v>
      </c>
      <c r="AW1426" s="1">
        <f>$A1426-$AV1426*$R1426</f>
        <v>0</v>
      </c>
    </row>
    <row r="1427" ht="24.95" customHeight="1" outlineLevel="3" s="1" customFormat="1">
      <c r="A1427" s="15"/>
      <c r="B1427" s="16">
        <v>990</v>
      </c>
      <c r="C1427" s="17">
        <v>1386</v>
      </c>
      <c r="D1427" s="16">
        <v>29082</v>
      </c>
      <c r="E1427" s="18"/>
      <c r="F1427" s="18" t="s">
        <v>4709</v>
      </c>
      <c r="G1427" s="18" t="s">
        <v>4710</v>
      </c>
      <c r="H1427" s="18" t="s">
        <v>86</v>
      </c>
      <c r="I1427" s="18"/>
      <c r="J1427" s="16">
        <v>2026</v>
      </c>
      <c r="K1427" s="18" t="s">
        <v>4711</v>
      </c>
      <c r="L1427" s="16">
        <v>9785961491357</v>
      </c>
      <c r="M1427" s="18" t="s">
        <v>4712</v>
      </c>
      <c r="N1427" s="16">
        <v>393</v>
      </c>
      <c r="O1427" s="19">
        <v>0.58</v>
      </c>
      <c r="P1427" s="16">
        <v>150</v>
      </c>
      <c r="Q1427" s="16">
        <v>220</v>
      </c>
      <c r="R1427" s="16">
        <v>10</v>
      </c>
      <c r="S1427" s="18" t="s">
        <v>43</v>
      </c>
      <c r="T1427" s="18"/>
      <c r="U1427" s="17">
        <v>1000</v>
      </c>
      <c r="V1427" s="18" t="s">
        <v>77</v>
      </c>
      <c r="W1427" s="18" t="s">
        <v>91</v>
      </c>
      <c r="X1427" s="16">
        <v>10</v>
      </c>
      <c r="Y1427" s="43" t="str">
        <f>HYPERLINK("https://api-enni.alpina.ru/FilePrivilegesApproval/405","https://api-enni.alpina.ru/FilePrivilegesApproval/405")</f>
        <v>https://api-enni.alpina.ru/FilePrivilegesApproval/405</v>
      </c>
      <c r="Z1427" s="18" t="s">
        <v>3230</v>
      </c>
      <c r="AS1427" s="1">
        <f>IF($A1427&lt;&gt;0,1,0)</f>
        <v>0</v>
      </c>
      <c r="AT1427" s="1">
        <f>$A1427*$B1427</f>
        <v>0</v>
      </c>
      <c r="AU1427" s="1">
        <f>$A1427*$O1427</f>
        <v>0</v>
      </c>
      <c r="AV1427" s="1">
        <f>IF($R1427=0,0,INT($A1427/$R1427))</f>
        <v>0</v>
      </c>
      <c r="AW1427" s="1">
        <f>$A1427-$AV1427*$R1427</f>
        <v>0</v>
      </c>
    </row>
    <row r="1428" ht="24.95" customHeight="1" outlineLevel="3" s="1" customFormat="1">
      <c r="A1428" s="15"/>
      <c r="B1428" s="16">
        <v>690</v>
      </c>
      <c r="C1428" s="17">
        <v>1035</v>
      </c>
      <c r="D1428" s="16">
        <v>31389</v>
      </c>
      <c r="E1428" s="18"/>
      <c r="F1428" s="18" t="s">
        <v>4713</v>
      </c>
      <c r="G1428" s="18" t="s">
        <v>4714</v>
      </c>
      <c r="H1428" s="18" t="s">
        <v>95</v>
      </c>
      <c r="I1428" s="18"/>
      <c r="J1428" s="16">
        <v>2024</v>
      </c>
      <c r="K1428" s="18" t="s">
        <v>4715</v>
      </c>
      <c r="L1428" s="16">
        <v>9785206003680</v>
      </c>
      <c r="M1428" s="18" t="s">
        <v>4716</v>
      </c>
      <c r="N1428" s="16">
        <v>256</v>
      </c>
      <c r="O1428" s="19">
        <v>0.49</v>
      </c>
      <c r="P1428" s="16">
        <v>150</v>
      </c>
      <c r="Q1428" s="16">
        <v>220</v>
      </c>
      <c r="R1428" s="16">
        <v>5</v>
      </c>
      <c r="S1428" s="18" t="s">
        <v>43</v>
      </c>
      <c r="T1428" s="18"/>
      <c r="U1428" s="17">
        <v>1505</v>
      </c>
      <c r="V1428" s="18" t="s">
        <v>77</v>
      </c>
      <c r="W1428" s="18" t="s">
        <v>91</v>
      </c>
      <c r="X1428" s="16">
        <v>10</v>
      </c>
      <c r="Y1428" s="43" t="str">
        <f>HYPERLINK("https://api-enni.alpina.ru/FilePrivilegesApproval/708","https://api-enni.alpina.ru/FilePrivilegesApproval/708")</f>
        <v>https://api-enni.alpina.ru/FilePrivilegesApproval/708</v>
      </c>
      <c r="Z1428" s="18"/>
      <c r="AS1428" s="1">
        <f>IF($A1428&lt;&gt;0,1,0)</f>
        <v>0</v>
      </c>
      <c r="AT1428" s="1">
        <f>$A1428*$B1428</f>
        <v>0</v>
      </c>
      <c r="AU1428" s="1">
        <f>$A1428*$O1428</f>
        <v>0</v>
      </c>
      <c r="AV1428" s="1">
        <f>IF($R1428=0,0,INT($A1428/$R1428))</f>
        <v>0</v>
      </c>
      <c r="AW1428" s="1">
        <f>$A1428-$AV1428*$R1428</f>
        <v>0</v>
      </c>
    </row>
    <row r="1429" ht="24.95" customHeight="1" outlineLevel="3" s="1" customFormat="1">
      <c r="A1429" s="15"/>
      <c r="B1429" s="17">
        <v>1790</v>
      </c>
      <c r="C1429" s="17">
        <v>2327</v>
      </c>
      <c r="D1429" s="16">
        <v>32851</v>
      </c>
      <c r="E1429" s="18"/>
      <c r="F1429" s="18" t="s">
        <v>4717</v>
      </c>
      <c r="G1429" s="18" t="s">
        <v>4718</v>
      </c>
      <c r="H1429" s="18" t="s">
        <v>95</v>
      </c>
      <c r="I1429" s="18"/>
      <c r="J1429" s="16">
        <v>2025</v>
      </c>
      <c r="K1429" s="18" t="s">
        <v>4719</v>
      </c>
      <c r="L1429" s="16">
        <v>9785206004380</v>
      </c>
      <c r="M1429" s="18" t="s">
        <v>4720</v>
      </c>
      <c r="N1429" s="16">
        <v>224</v>
      </c>
      <c r="O1429" s="19">
        <v>0.48</v>
      </c>
      <c r="P1429" s="16">
        <v>170</v>
      </c>
      <c r="Q1429" s="16">
        <v>240</v>
      </c>
      <c r="R1429" s="16">
        <v>10</v>
      </c>
      <c r="S1429" s="18" t="s">
        <v>123</v>
      </c>
      <c r="T1429" s="18"/>
      <c r="U1429" s="17">
        <v>1005</v>
      </c>
      <c r="V1429" s="18" t="s">
        <v>44</v>
      </c>
      <c r="W1429" s="18" t="s">
        <v>69</v>
      </c>
      <c r="X1429" s="16">
        <v>10</v>
      </c>
      <c r="Y1429" s="43" t="str">
        <f>HYPERLINK("https://api-enni.alpina.ru/FilePrivilegesApproval/920","https://api-enni.alpina.ru/FilePrivilegesApproval/920")</f>
        <v>https://api-enni.alpina.ru/FilePrivilegesApproval/920</v>
      </c>
      <c r="Z1429" s="18"/>
      <c r="AS1429" s="1">
        <f>IF($A1429&lt;&gt;0,1,0)</f>
        <v>0</v>
      </c>
      <c r="AT1429" s="1">
        <f>$A1429*$B1429</f>
        <v>0</v>
      </c>
      <c r="AU1429" s="1">
        <f>$A1429*$O1429</f>
        <v>0</v>
      </c>
      <c r="AV1429" s="1">
        <f>IF($R1429=0,0,INT($A1429/$R1429))</f>
        <v>0</v>
      </c>
      <c r="AW1429" s="1">
        <f>$A1429-$AV1429*$R1429</f>
        <v>0</v>
      </c>
    </row>
    <row r="1430" ht="24.95" customHeight="1" outlineLevel="3" s="1" customFormat="1">
      <c r="A1430" s="15"/>
      <c r="B1430" s="16">
        <v>890</v>
      </c>
      <c r="C1430" s="17">
        <v>1246</v>
      </c>
      <c r="D1430" s="16">
        <v>34793</v>
      </c>
      <c r="E1430" s="18"/>
      <c r="F1430" s="18" t="s">
        <v>1396</v>
      </c>
      <c r="G1430" s="18" t="s">
        <v>4721</v>
      </c>
      <c r="H1430" s="18" t="s">
        <v>95</v>
      </c>
      <c r="I1430" s="18"/>
      <c r="J1430" s="16">
        <v>2026</v>
      </c>
      <c r="K1430" s="18" t="s">
        <v>4722</v>
      </c>
      <c r="L1430" s="16">
        <v>9785206005202</v>
      </c>
      <c r="M1430" s="18" t="s">
        <v>4723</v>
      </c>
      <c r="N1430" s="16">
        <v>192</v>
      </c>
      <c r="O1430" s="19">
        <v>0.4</v>
      </c>
      <c r="P1430" s="16">
        <v>150</v>
      </c>
      <c r="Q1430" s="16">
        <v>220</v>
      </c>
      <c r="R1430" s="16">
        <v>10</v>
      </c>
      <c r="S1430" s="18" t="s">
        <v>43</v>
      </c>
      <c r="T1430" s="18"/>
      <c r="U1430" s="17">
        <v>1500</v>
      </c>
      <c r="V1430" s="18" t="s">
        <v>77</v>
      </c>
      <c r="W1430" s="18" t="s">
        <v>91</v>
      </c>
      <c r="X1430" s="16">
        <v>22</v>
      </c>
      <c r="Y1430" s="43" t="str">
        <f>HYPERLINK("https://api-enni.alpina.ru/FilePrivilegesApproval/1100","https://api-enni.alpina.ru/FilePrivilegesApproval/1100")</f>
        <v>https://api-enni.alpina.ru/FilePrivilegesApproval/1100</v>
      </c>
      <c r="Z1430" s="18" t="s">
        <v>1945</v>
      </c>
      <c r="AS1430" s="1">
        <f>IF($A1430&lt;&gt;0,1,0)</f>
        <v>0</v>
      </c>
      <c r="AT1430" s="1">
        <f>$A1430*$B1430</f>
        <v>0</v>
      </c>
      <c r="AU1430" s="1">
        <f>$A1430*$O1430</f>
        <v>0</v>
      </c>
      <c r="AV1430" s="1">
        <f>IF($R1430=0,0,INT($A1430/$R1430))</f>
        <v>0</v>
      </c>
      <c r="AW1430" s="1">
        <f>$A1430-$AV1430*$R1430</f>
        <v>0</v>
      </c>
    </row>
    <row r="1431" ht="24.95" customHeight="1" outlineLevel="3" s="1" customFormat="1">
      <c r="A1431" s="15"/>
      <c r="B1431" s="17">
        <v>1390</v>
      </c>
      <c r="C1431" s="17">
        <v>1876</v>
      </c>
      <c r="D1431" s="16">
        <v>34493</v>
      </c>
      <c r="E1431" s="18"/>
      <c r="F1431" s="18" t="s">
        <v>4724</v>
      </c>
      <c r="G1431" s="18" t="s">
        <v>4725</v>
      </c>
      <c r="H1431" s="18" t="s">
        <v>95</v>
      </c>
      <c r="I1431" s="18"/>
      <c r="J1431" s="16">
        <v>2026</v>
      </c>
      <c r="K1431" s="18" t="s">
        <v>4726</v>
      </c>
      <c r="L1431" s="16">
        <v>9785206005028</v>
      </c>
      <c r="M1431" s="18" t="s">
        <v>4727</v>
      </c>
      <c r="N1431" s="16">
        <v>520</v>
      </c>
      <c r="O1431" s="19">
        <v>1.13</v>
      </c>
      <c r="P1431" s="16">
        <v>170</v>
      </c>
      <c r="Q1431" s="16">
        <v>240</v>
      </c>
      <c r="R1431" s="16">
        <v>3</v>
      </c>
      <c r="S1431" s="18" t="s">
        <v>123</v>
      </c>
      <c r="T1431" s="18"/>
      <c r="U1431" s="17">
        <v>1505</v>
      </c>
      <c r="V1431" s="18" t="s">
        <v>77</v>
      </c>
      <c r="W1431" s="18" t="s">
        <v>69</v>
      </c>
      <c r="X1431" s="16">
        <v>10</v>
      </c>
      <c r="Y1431" s="43" t="str">
        <f>HYPERLINK("https://api-enni.alpina.ru/FilePrivilegesApproval/1077","https://api-enni.alpina.ru/FilePrivilegesApproval/1077")</f>
        <v>https://api-enni.alpina.ru/FilePrivilegesApproval/1077</v>
      </c>
      <c r="Z1431" s="18"/>
      <c r="AS1431" s="1">
        <f>IF($A1431&lt;&gt;0,1,0)</f>
        <v>0</v>
      </c>
      <c r="AT1431" s="1">
        <f>$A1431*$B1431</f>
        <v>0</v>
      </c>
      <c r="AU1431" s="1">
        <f>$A1431*$O1431</f>
        <v>0</v>
      </c>
      <c r="AV1431" s="1">
        <f>IF($R1431=0,0,INT($A1431/$R1431))</f>
        <v>0</v>
      </c>
      <c r="AW1431" s="1">
        <f>$A1431-$AV1431*$R1431</f>
        <v>0</v>
      </c>
    </row>
    <row r="1432" ht="21.95" customHeight="1" outlineLevel="3" s="1" customFormat="1">
      <c r="A1432" s="25"/>
      <c r="B1432" s="29">
        <v>1490</v>
      </c>
      <c r="C1432" s="29">
        <v>2012</v>
      </c>
      <c r="D1432" s="26">
        <v>33942</v>
      </c>
      <c r="E1432" s="27"/>
      <c r="F1432" s="27" t="s">
        <v>4728</v>
      </c>
      <c r="G1432" s="27" t="s">
        <v>4729</v>
      </c>
      <c r="H1432" s="27" t="s">
        <v>95</v>
      </c>
      <c r="I1432" s="27"/>
      <c r="J1432" s="26">
        <v>2026</v>
      </c>
      <c r="K1432" s="27" t="s">
        <v>4730</v>
      </c>
      <c r="L1432" s="26">
        <v>9785206004847</v>
      </c>
      <c r="M1432" s="27" t="s">
        <v>4731</v>
      </c>
      <c r="N1432" s="26">
        <v>320</v>
      </c>
      <c r="O1432" s="28">
        <v>0.48</v>
      </c>
      <c r="P1432" s="26">
        <v>150</v>
      </c>
      <c r="Q1432" s="26">
        <v>220</v>
      </c>
      <c r="R1432" s="26">
        <v>10</v>
      </c>
      <c r="S1432" s="27" t="s">
        <v>43</v>
      </c>
      <c r="T1432" s="27"/>
      <c r="U1432" s="29">
        <v>1000</v>
      </c>
      <c r="V1432" s="27" t="s">
        <v>77</v>
      </c>
      <c r="W1432" s="27" t="s">
        <v>69</v>
      </c>
      <c r="X1432" s="26">
        <v>22</v>
      </c>
      <c r="Y1432" s="45" t="str">
        <f>HYPERLINK("","")</f>
      </c>
      <c r="Z1432" s="27" t="s">
        <v>1869</v>
      </c>
      <c r="AS1432" s="1">
        <f>IF($A1432&lt;&gt;0,1,0)</f>
        <v>0</v>
      </c>
      <c r="AT1432" s="1">
        <f>$A1432*$B1432</f>
        <v>0</v>
      </c>
      <c r="AU1432" s="1">
        <f>$A1432*$O1432</f>
        <v>0</v>
      </c>
      <c r="AV1432" s="1">
        <f>IF($R1432=0,0,INT($A1432/$R1432))</f>
        <v>0</v>
      </c>
      <c r="AW1432" s="1">
        <f>$A1432-$AV1432*$R1432</f>
        <v>0</v>
      </c>
    </row>
    <row r="1433" ht="24.95" customHeight="1" outlineLevel="3" s="1" customFormat="1">
      <c r="A1433" s="15"/>
      <c r="B1433" s="16">
        <v>990</v>
      </c>
      <c r="C1433" s="17">
        <v>1386</v>
      </c>
      <c r="D1433" s="16">
        <v>7932</v>
      </c>
      <c r="E1433" s="18"/>
      <c r="F1433" s="18" t="s">
        <v>4732</v>
      </c>
      <c r="G1433" s="18" t="s">
        <v>4733</v>
      </c>
      <c r="H1433" s="18" t="s">
        <v>95</v>
      </c>
      <c r="I1433" s="18" t="s">
        <v>74</v>
      </c>
      <c r="J1433" s="16">
        <v>2026</v>
      </c>
      <c r="K1433" s="18" t="s">
        <v>4734</v>
      </c>
      <c r="L1433" s="16">
        <v>9785961465037</v>
      </c>
      <c r="M1433" s="18" t="s">
        <v>4735</v>
      </c>
      <c r="N1433" s="16">
        <v>290</v>
      </c>
      <c r="O1433" s="19">
        <v>0.47</v>
      </c>
      <c r="P1433" s="16">
        <v>171</v>
      </c>
      <c r="Q1433" s="16">
        <v>241</v>
      </c>
      <c r="R1433" s="16">
        <v>10</v>
      </c>
      <c r="S1433" s="18" t="s">
        <v>123</v>
      </c>
      <c r="T1433" s="18"/>
      <c r="U1433" s="17">
        <v>1000</v>
      </c>
      <c r="V1433" s="18" t="s">
        <v>77</v>
      </c>
      <c r="W1433" s="18" t="s">
        <v>184</v>
      </c>
      <c r="X1433" s="16">
        <v>10</v>
      </c>
      <c r="Y1433" s="43" t="str">
        <f>HYPERLINK("https://api-enni.alpina.ru/FilePrivilegesApproval/325","https://api-enni.alpina.ru/FilePrivilegesApproval/325")</f>
        <v>https://api-enni.alpina.ru/FilePrivilegesApproval/325</v>
      </c>
      <c r="Z1433" s="18"/>
      <c r="AS1433" s="1">
        <f>IF($A1433&lt;&gt;0,1,0)</f>
        <v>0</v>
      </c>
      <c r="AT1433" s="1">
        <f>$A1433*$B1433</f>
        <v>0</v>
      </c>
      <c r="AU1433" s="1">
        <f>$A1433*$O1433</f>
        <v>0</v>
      </c>
      <c r="AV1433" s="1">
        <f>IF($R1433=0,0,INT($A1433/$R1433))</f>
        <v>0</v>
      </c>
      <c r="AW1433" s="1">
        <f>$A1433-$AV1433*$R1433</f>
        <v>0</v>
      </c>
    </row>
    <row r="1434" ht="24.95" customHeight="1" outlineLevel="3" s="1" customFormat="1">
      <c r="A1434" s="15"/>
      <c r="B1434" s="17">
        <v>1590</v>
      </c>
      <c r="C1434" s="17">
        <v>2067</v>
      </c>
      <c r="D1434" s="16">
        <v>32017</v>
      </c>
      <c r="E1434" s="18"/>
      <c r="F1434" s="18" t="s">
        <v>4736</v>
      </c>
      <c r="G1434" s="18" t="s">
        <v>4737</v>
      </c>
      <c r="H1434" s="18" t="s">
        <v>95</v>
      </c>
      <c r="I1434" s="18"/>
      <c r="J1434" s="16">
        <v>2025</v>
      </c>
      <c r="K1434" s="18" t="s">
        <v>4738</v>
      </c>
      <c r="L1434" s="16">
        <v>9785206004007</v>
      </c>
      <c r="M1434" s="18" t="s">
        <v>4739</v>
      </c>
      <c r="N1434" s="16">
        <v>640</v>
      </c>
      <c r="O1434" s="19">
        <v>1.11</v>
      </c>
      <c r="P1434" s="16">
        <v>170</v>
      </c>
      <c r="Q1434" s="16">
        <v>240</v>
      </c>
      <c r="R1434" s="16">
        <v>3</v>
      </c>
      <c r="S1434" s="18" t="s">
        <v>123</v>
      </c>
      <c r="T1434" s="18"/>
      <c r="U1434" s="17">
        <v>3005</v>
      </c>
      <c r="V1434" s="18" t="s">
        <v>77</v>
      </c>
      <c r="W1434" s="18" t="s">
        <v>69</v>
      </c>
      <c r="X1434" s="16">
        <v>10</v>
      </c>
      <c r="Y1434" s="43" t="str">
        <f>HYPERLINK("https://api-enni.alpina.ru/FilePrivilegesApproval/872","https://api-enni.alpina.ru/FilePrivilegesApproval/872")</f>
        <v>https://api-enni.alpina.ru/FilePrivilegesApproval/872</v>
      </c>
      <c r="Z1434" s="18"/>
      <c r="AS1434" s="1">
        <f>IF($A1434&lt;&gt;0,1,0)</f>
        <v>0</v>
      </c>
      <c r="AT1434" s="1">
        <f>$A1434*$B1434</f>
        <v>0</v>
      </c>
      <c r="AU1434" s="1">
        <f>$A1434*$O1434</f>
        <v>0</v>
      </c>
      <c r="AV1434" s="1">
        <f>IF($R1434=0,0,INT($A1434/$R1434))</f>
        <v>0</v>
      </c>
      <c r="AW1434" s="1">
        <f>$A1434-$AV1434*$R1434</f>
        <v>0</v>
      </c>
    </row>
    <row r="1435" ht="24.95" customHeight="1" outlineLevel="3" s="1" customFormat="1">
      <c r="A1435" s="15"/>
      <c r="B1435" s="16">
        <v>690</v>
      </c>
      <c r="C1435" s="17">
        <v>1035</v>
      </c>
      <c r="D1435" s="16">
        <v>33230</v>
      </c>
      <c r="E1435" s="18"/>
      <c r="F1435" s="18" t="s">
        <v>4740</v>
      </c>
      <c r="G1435" s="18" t="s">
        <v>4741</v>
      </c>
      <c r="H1435" s="18" t="s">
        <v>86</v>
      </c>
      <c r="I1435" s="18"/>
      <c r="J1435" s="16">
        <v>2025</v>
      </c>
      <c r="K1435" s="18" t="s">
        <v>4742</v>
      </c>
      <c r="L1435" s="16">
        <v>9785006304031</v>
      </c>
      <c r="M1435" s="18" t="s">
        <v>4743</v>
      </c>
      <c r="N1435" s="16">
        <v>191</v>
      </c>
      <c r="O1435" s="19">
        <v>0.34</v>
      </c>
      <c r="P1435" s="16">
        <v>150</v>
      </c>
      <c r="Q1435" s="16">
        <v>220</v>
      </c>
      <c r="R1435" s="16">
        <v>16</v>
      </c>
      <c r="S1435" s="18" t="s">
        <v>43</v>
      </c>
      <c r="T1435" s="18"/>
      <c r="U1435" s="17">
        <v>1500</v>
      </c>
      <c r="V1435" s="18" t="s">
        <v>77</v>
      </c>
      <c r="W1435" s="18" t="s">
        <v>69</v>
      </c>
      <c r="X1435" s="16">
        <v>10</v>
      </c>
      <c r="Y1435" s="43" t="str">
        <f>HYPERLINK("https://api-enni.alpina.ru/FilePrivilegesApproval/993","https://api-enni.alpina.ru/FilePrivilegesApproval/993")</f>
        <v>https://api-enni.alpina.ru/FilePrivilegesApproval/993</v>
      </c>
      <c r="Z1435" s="18"/>
      <c r="AS1435" s="1">
        <f>IF($A1435&lt;&gt;0,1,0)</f>
        <v>0</v>
      </c>
      <c r="AT1435" s="1">
        <f>$A1435*$B1435</f>
        <v>0</v>
      </c>
      <c r="AU1435" s="1">
        <f>$A1435*$O1435</f>
        <v>0</v>
      </c>
      <c r="AV1435" s="1">
        <f>IF($R1435=0,0,INT($A1435/$R1435))</f>
        <v>0</v>
      </c>
      <c r="AW1435" s="1">
        <f>$A1435-$AV1435*$R1435</f>
        <v>0</v>
      </c>
    </row>
    <row r="1436" ht="24.95" customHeight="1" outlineLevel="3" s="1" customFormat="1">
      <c r="A1436" s="15"/>
      <c r="B1436" s="17">
        <v>1690</v>
      </c>
      <c r="C1436" s="17">
        <v>2197</v>
      </c>
      <c r="D1436" s="16">
        <v>36506</v>
      </c>
      <c r="E1436" s="18"/>
      <c r="F1436" s="18" t="s">
        <v>4744</v>
      </c>
      <c r="G1436" s="18" t="s">
        <v>4745</v>
      </c>
      <c r="H1436" s="18" t="s">
        <v>95</v>
      </c>
      <c r="I1436" s="18"/>
      <c r="J1436" s="16">
        <v>2026</v>
      </c>
      <c r="K1436" s="18" t="s">
        <v>4746</v>
      </c>
      <c r="L1436" s="16">
        <v>9785206006544</v>
      </c>
      <c r="M1436" s="18" t="s">
        <v>4747</v>
      </c>
      <c r="N1436" s="16">
        <v>616</v>
      </c>
      <c r="O1436" s="19">
        <v>1.07</v>
      </c>
      <c r="P1436" s="16">
        <v>170</v>
      </c>
      <c r="Q1436" s="16">
        <v>240</v>
      </c>
      <c r="R1436" s="16">
        <v>5</v>
      </c>
      <c r="S1436" s="18" t="s">
        <v>123</v>
      </c>
      <c r="T1436" s="18"/>
      <c r="U1436" s="17">
        <v>1000</v>
      </c>
      <c r="V1436" s="18" t="s">
        <v>77</v>
      </c>
      <c r="W1436" s="18" t="s">
        <v>91</v>
      </c>
      <c r="X1436" s="16">
        <v>10</v>
      </c>
      <c r="Y1436" s="43" t="str">
        <f>HYPERLINK("https://api-enni.alpina.ru/FilePrivilegesApproval/1136","https://api-enni.alpina.ru/FilePrivilegesApproval/1136")</f>
        <v>https://api-enni.alpina.ru/FilePrivilegesApproval/1136</v>
      </c>
      <c r="Z1436" s="18"/>
      <c r="AS1436" s="1">
        <f>IF($A1436&lt;&gt;0,1,0)</f>
        <v>0</v>
      </c>
      <c r="AT1436" s="1">
        <f>$A1436*$B1436</f>
        <v>0</v>
      </c>
      <c r="AU1436" s="1">
        <f>$A1436*$O1436</f>
        <v>0</v>
      </c>
      <c r="AV1436" s="1">
        <f>IF($R1436=0,0,INT($A1436/$R1436))</f>
        <v>0</v>
      </c>
      <c r="AW1436" s="1">
        <f>$A1436-$AV1436*$R1436</f>
        <v>0</v>
      </c>
    </row>
    <row r="1437" ht="24.95" customHeight="1" outlineLevel="3" s="1" customFormat="1">
      <c r="A1437" s="15"/>
      <c r="B1437" s="17">
        <v>1190</v>
      </c>
      <c r="C1437" s="17">
        <v>1606</v>
      </c>
      <c r="D1437" s="16">
        <v>33286</v>
      </c>
      <c r="E1437" s="18"/>
      <c r="F1437" s="18" t="s">
        <v>4748</v>
      </c>
      <c r="G1437" s="18" t="s">
        <v>4749</v>
      </c>
      <c r="H1437" s="18" t="s">
        <v>95</v>
      </c>
      <c r="I1437" s="18"/>
      <c r="J1437" s="16">
        <v>2025</v>
      </c>
      <c r="K1437" s="18" t="s">
        <v>4750</v>
      </c>
      <c r="L1437" s="16">
        <v>9785206004632</v>
      </c>
      <c r="M1437" s="18" t="s">
        <v>4751</v>
      </c>
      <c r="N1437" s="16">
        <v>320</v>
      </c>
      <c r="O1437" s="19">
        <v>0.59</v>
      </c>
      <c r="P1437" s="16">
        <v>150</v>
      </c>
      <c r="Q1437" s="16">
        <v>220</v>
      </c>
      <c r="R1437" s="16">
        <v>5</v>
      </c>
      <c r="S1437" s="18" t="s">
        <v>43</v>
      </c>
      <c r="T1437" s="18"/>
      <c r="U1437" s="17">
        <v>5005</v>
      </c>
      <c r="V1437" s="18" t="s">
        <v>77</v>
      </c>
      <c r="W1437" s="18" t="s">
        <v>69</v>
      </c>
      <c r="X1437" s="16">
        <v>10</v>
      </c>
      <c r="Y1437" s="43" t="str">
        <f>HYPERLINK("https://api-enni.alpina.ru/FilePrivilegesApproval/872","https://api-enni.alpina.ru/FilePrivilegesApproval/872")</f>
        <v>https://api-enni.alpina.ru/FilePrivilegesApproval/872</v>
      </c>
      <c r="Z1437" s="18"/>
      <c r="AS1437" s="1">
        <f>IF($A1437&lt;&gt;0,1,0)</f>
        <v>0</v>
      </c>
      <c r="AT1437" s="1">
        <f>$A1437*$B1437</f>
        <v>0</v>
      </c>
      <c r="AU1437" s="1">
        <f>$A1437*$O1437</f>
        <v>0</v>
      </c>
      <c r="AV1437" s="1">
        <f>IF($R1437=0,0,INT($A1437/$R1437))</f>
        <v>0</v>
      </c>
      <c r="AW1437" s="1">
        <f>$A1437-$AV1437*$R1437</f>
        <v>0</v>
      </c>
    </row>
    <row r="1438" ht="24.95" customHeight="1" outlineLevel="3" s="1" customFormat="1">
      <c r="A1438" s="15"/>
      <c r="B1438" s="17">
        <v>1220</v>
      </c>
      <c r="C1438" s="17">
        <v>1647</v>
      </c>
      <c r="D1438" s="16">
        <v>8798</v>
      </c>
      <c r="E1438" s="18"/>
      <c r="F1438" s="18" t="s">
        <v>4752</v>
      </c>
      <c r="G1438" s="18" t="s">
        <v>4753</v>
      </c>
      <c r="H1438" s="18" t="s">
        <v>86</v>
      </c>
      <c r="I1438" s="18" t="s">
        <v>74</v>
      </c>
      <c r="J1438" s="16">
        <v>2025</v>
      </c>
      <c r="K1438" s="18" t="s">
        <v>4754</v>
      </c>
      <c r="L1438" s="16">
        <v>9785961419146</v>
      </c>
      <c r="M1438" s="18" t="s">
        <v>4755</v>
      </c>
      <c r="N1438" s="16">
        <v>382</v>
      </c>
      <c r="O1438" s="19">
        <v>0.72</v>
      </c>
      <c r="P1438" s="16">
        <v>170</v>
      </c>
      <c r="Q1438" s="16">
        <v>240</v>
      </c>
      <c r="R1438" s="16">
        <v>6</v>
      </c>
      <c r="S1438" s="18" t="s">
        <v>123</v>
      </c>
      <c r="T1438" s="18"/>
      <c r="U1438" s="17">
        <v>1500</v>
      </c>
      <c r="V1438" s="18" t="s">
        <v>77</v>
      </c>
      <c r="W1438" s="18" t="s">
        <v>184</v>
      </c>
      <c r="X1438" s="16">
        <v>10</v>
      </c>
      <c r="Y1438" s="43" t="str">
        <f>HYPERLINK("https://api-enni.alpina.ru/FilePrivilegesApproval/140","https://api-enni.alpina.ru/FilePrivilegesApproval/140")</f>
        <v>https://api-enni.alpina.ru/FilePrivilegesApproval/140</v>
      </c>
      <c r="Z1438" s="18"/>
      <c r="AS1438" s="1">
        <f>IF($A1438&lt;&gt;0,1,0)</f>
        <v>0</v>
      </c>
      <c r="AT1438" s="1">
        <f>$A1438*$B1438</f>
        <v>0</v>
      </c>
      <c r="AU1438" s="1">
        <f>$A1438*$O1438</f>
        <v>0</v>
      </c>
      <c r="AV1438" s="1">
        <f>IF($R1438=0,0,INT($A1438/$R1438))</f>
        <v>0</v>
      </c>
      <c r="AW1438" s="1">
        <f>$A1438-$AV1438*$R1438</f>
        <v>0</v>
      </c>
    </row>
    <row r="1439" ht="24.95" customHeight="1" outlineLevel="3" s="1" customFormat="1">
      <c r="A1439" s="25"/>
      <c r="B1439" s="26">
        <v>790</v>
      </c>
      <c r="C1439" s="29">
        <v>1146</v>
      </c>
      <c r="D1439" s="26">
        <v>25093</v>
      </c>
      <c r="E1439" s="27"/>
      <c r="F1439" s="27" t="s">
        <v>4756</v>
      </c>
      <c r="G1439" s="27" t="s">
        <v>4757</v>
      </c>
      <c r="H1439" s="27" t="s">
        <v>86</v>
      </c>
      <c r="I1439" s="27" t="s">
        <v>74</v>
      </c>
      <c r="J1439" s="26">
        <v>2026</v>
      </c>
      <c r="K1439" s="27" t="s">
        <v>4758</v>
      </c>
      <c r="L1439" s="26">
        <v>9785961476835</v>
      </c>
      <c r="M1439" s="27" t="s">
        <v>4759</v>
      </c>
      <c r="N1439" s="26">
        <v>134</v>
      </c>
      <c r="O1439" s="28">
        <v>0.34</v>
      </c>
      <c r="P1439" s="26">
        <v>180</v>
      </c>
      <c r="Q1439" s="26">
        <v>250</v>
      </c>
      <c r="R1439" s="26">
        <v>10</v>
      </c>
      <c r="S1439" s="27" t="s">
        <v>123</v>
      </c>
      <c r="T1439" s="27"/>
      <c r="U1439" s="29">
        <v>1000</v>
      </c>
      <c r="V1439" s="27" t="s">
        <v>77</v>
      </c>
      <c r="W1439" s="27" t="s">
        <v>184</v>
      </c>
      <c r="X1439" s="26">
        <v>10</v>
      </c>
      <c r="Y1439" s="45" t="str">
        <f>HYPERLINK("https://api-enni.alpina.ru/FilePrivilegesApproval/156","https://api-enni.alpina.ru/FilePrivilegesApproval/156")</f>
        <v>https://api-enni.alpina.ru/FilePrivilegesApproval/156</v>
      </c>
      <c r="Z1439" s="27"/>
      <c r="AS1439" s="1">
        <f>IF($A1439&lt;&gt;0,1,0)</f>
        <v>0</v>
      </c>
      <c r="AT1439" s="1">
        <f>$A1439*$B1439</f>
        <v>0</v>
      </c>
      <c r="AU1439" s="1">
        <f>$A1439*$O1439</f>
        <v>0</v>
      </c>
      <c r="AV1439" s="1">
        <f>IF($R1439=0,0,INT($A1439/$R1439))</f>
        <v>0</v>
      </c>
      <c r="AW1439" s="1">
        <f>$A1439-$AV1439*$R1439</f>
        <v>0</v>
      </c>
    </row>
    <row r="1440" ht="24.95" customHeight="1" outlineLevel="3" s="1" customFormat="1">
      <c r="A1440" s="15"/>
      <c r="B1440" s="16">
        <v>790</v>
      </c>
      <c r="C1440" s="17">
        <v>1146</v>
      </c>
      <c r="D1440" s="16">
        <v>23807</v>
      </c>
      <c r="E1440" s="18"/>
      <c r="F1440" s="18" t="s">
        <v>4760</v>
      </c>
      <c r="G1440" s="18" t="s">
        <v>4761</v>
      </c>
      <c r="H1440" s="18" t="s">
        <v>95</v>
      </c>
      <c r="I1440" s="18"/>
      <c r="J1440" s="16">
        <v>2021</v>
      </c>
      <c r="K1440" s="18" t="s">
        <v>4762</v>
      </c>
      <c r="L1440" s="16">
        <v>9785907470224</v>
      </c>
      <c r="M1440" s="18" t="s">
        <v>4763</v>
      </c>
      <c r="N1440" s="16">
        <v>184</v>
      </c>
      <c r="O1440" s="19">
        <v>0.33</v>
      </c>
      <c r="P1440" s="16">
        <v>146</v>
      </c>
      <c r="Q1440" s="16">
        <v>216</v>
      </c>
      <c r="R1440" s="16">
        <v>14</v>
      </c>
      <c r="S1440" s="18" t="s">
        <v>43</v>
      </c>
      <c r="T1440" s="18"/>
      <c r="U1440" s="17">
        <v>2000</v>
      </c>
      <c r="V1440" s="18" t="s">
        <v>77</v>
      </c>
      <c r="W1440" s="18" t="s">
        <v>91</v>
      </c>
      <c r="X1440" s="16">
        <v>10</v>
      </c>
      <c r="Y1440" s="43" t="str">
        <f>HYPERLINK("https://api-enni.alpina.ru/FilePrivilegesApproval/154","https://api-enni.alpina.ru/FilePrivilegesApproval/154")</f>
        <v>https://api-enni.alpina.ru/FilePrivilegesApproval/154</v>
      </c>
      <c r="Z1440" s="18"/>
      <c r="AS1440" s="1">
        <f>IF($A1440&lt;&gt;0,1,0)</f>
        <v>0</v>
      </c>
      <c r="AT1440" s="1">
        <f>$A1440*$B1440</f>
        <v>0</v>
      </c>
      <c r="AU1440" s="1">
        <f>$A1440*$O1440</f>
        <v>0</v>
      </c>
      <c r="AV1440" s="1">
        <f>IF($R1440=0,0,INT($A1440/$R1440))</f>
        <v>0</v>
      </c>
      <c r="AW1440" s="1">
        <f>$A1440-$AV1440*$R1440</f>
        <v>0</v>
      </c>
    </row>
    <row r="1441" ht="24.95" customHeight="1" outlineLevel="3" s="1" customFormat="1">
      <c r="A1441" s="15"/>
      <c r="B1441" s="16">
        <v>790</v>
      </c>
      <c r="C1441" s="17">
        <v>1146</v>
      </c>
      <c r="D1441" s="16">
        <v>4726</v>
      </c>
      <c r="E1441" s="18"/>
      <c r="F1441" s="18" t="s">
        <v>4697</v>
      </c>
      <c r="G1441" s="18" t="s">
        <v>4764</v>
      </c>
      <c r="H1441" s="18" t="s">
        <v>86</v>
      </c>
      <c r="I1441" s="18"/>
      <c r="J1441" s="16">
        <v>2026</v>
      </c>
      <c r="K1441" s="18" t="s">
        <v>4765</v>
      </c>
      <c r="L1441" s="16">
        <v>9785961436570</v>
      </c>
      <c r="M1441" s="18" t="s">
        <v>4766</v>
      </c>
      <c r="N1441" s="16">
        <v>340</v>
      </c>
      <c r="O1441" s="19">
        <v>0.52</v>
      </c>
      <c r="P1441" s="16">
        <v>153</v>
      </c>
      <c r="Q1441" s="16">
        <v>216</v>
      </c>
      <c r="R1441" s="16">
        <v>10</v>
      </c>
      <c r="S1441" s="18" t="s">
        <v>43</v>
      </c>
      <c r="T1441" s="18"/>
      <c r="U1441" s="17">
        <v>1000</v>
      </c>
      <c r="V1441" s="18" t="s">
        <v>77</v>
      </c>
      <c r="W1441" s="18" t="s">
        <v>184</v>
      </c>
      <c r="X1441" s="16">
        <v>10</v>
      </c>
      <c r="Y1441" s="43" t="str">
        <f>HYPERLINK("https://api-enni.alpina.ru/FilePrivilegesApproval/2","https://api-enni.alpina.ru/FilePrivilegesApproval/2")</f>
        <v>https://api-enni.alpina.ru/FilePrivilegesApproval/2</v>
      </c>
      <c r="Z1441" s="18" t="s">
        <v>3230</v>
      </c>
      <c r="AS1441" s="1">
        <f>IF($A1441&lt;&gt;0,1,0)</f>
        <v>0</v>
      </c>
      <c r="AT1441" s="1">
        <f>$A1441*$B1441</f>
        <v>0</v>
      </c>
      <c r="AU1441" s="1">
        <f>$A1441*$O1441</f>
        <v>0</v>
      </c>
      <c r="AV1441" s="1">
        <f>IF($R1441=0,0,INT($A1441/$R1441))</f>
        <v>0</v>
      </c>
      <c r="AW1441" s="1">
        <f>$A1441-$AV1441*$R1441</f>
        <v>0</v>
      </c>
    </row>
    <row r="1442" ht="24.95" customHeight="1" outlineLevel="3" s="1" customFormat="1">
      <c r="A1442" s="15"/>
      <c r="B1442" s="16">
        <v>740</v>
      </c>
      <c r="C1442" s="17">
        <v>1073</v>
      </c>
      <c r="D1442" s="16">
        <v>36931</v>
      </c>
      <c r="E1442" s="18"/>
      <c r="F1442" s="18" t="s">
        <v>373</v>
      </c>
      <c r="G1442" s="18" t="s">
        <v>374</v>
      </c>
      <c r="H1442" s="18" t="s">
        <v>86</v>
      </c>
      <c r="I1442" s="18"/>
      <c r="J1442" s="16">
        <v>2026</v>
      </c>
      <c r="K1442" s="18" t="s">
        <v>375</v>
      </c>
      <c r="L1442" s="16">
        <v>9785006318397</v>
      </c>
      <c r="M1442" s="18" t="s">
        <v>376</v>
      </c>
      <c r="N1442" s="16">
        <v>243</v>
      </c>
      <c r="O1442" s="19">
        <v>0.41</v>
      </c>
      <c r="P1442" s="16">
        <v>150</v>
      </c>
      <c r="Q1442" s="16">
        <v>220</v>
      </c>
      <c r="R1442" s="16">
        <v>10</v>
      </c>
      <c r="S1442" s="18" t="s">
        <v>43</v>
      </c>
      <c r="T1442" s="18"/>
      <c r="U1442" s="17">
        <v>1000</v>
      </c>
      <c r="V1442" s="18" t="s">
        <v>77</v>
      </c>
      <c r="W1442" s="18" t="s">
        <v>69</v>
      </c>
      <c r="X1442" s="16">
        <v>10</v>
      </c>
      <c r="Y1442" s="43" t="str">
        <f>HYPERLINK("https://api-enni.alpina.ru/FilePrivilegesApproval/1204","https://api-enni.alpina.ru/FilePrivilegesApproval/1204")</f>
        <v>https://api-enni.alpina.ru/FilePrivilegesApproval/1204</v>
      </c>
      <c r="Z1442" s="18" t="s">
        <v>119</v>
      </c>
      <c r="AS1442" s="1">
        <f>IF($A1442&lt;&gt;0,1,0)</f>
        <v>0</v>
      </c>
      <c r="AT1442" s="1">
        <f>$A1442*$B1442</f>
        <v>0</v>
      </c>
      <c r="AU1442" s="1">
        <f>$A1442*$O1442</f>
        <v>0</v>
      </c>
      <c r="AV1442" s="1">
        <f>IF($R1442=0,0,INT($A1442/$R1442))</f>
        <v>0</v>
      </c>
      <c r="AW1442" s="1">
        <f>$A1442-$AV1442*$R1442</f>
        <v>0</v>
      </c>
    </row>
    <row r="1443" ht="24.95" customHeight="1" outlineLevel="3" s="1" customFormat="1">
      <c r="A1443" s="15"/>
      <c r="B1443" s="16">
        <v>940</v>
      </c>
      <c r="C1443" s="17">
        <v>1316</v>
      </c>
      <c r="D1443" s="16">
        <v>28764</v>
      </c>
      <c r="E1443" s="18"/>
      <c r="F1443" s="18" t="s">
        <v>4767</v>
      </c>
      <c r="G1443" s="18" t="s">
        <v>4768</v>
      </c>
      <c r="H1443" s="18" t="s">
        <v>95</v>
      </c>
      <c r="I1443" s="18"/>
      <c r="J1443" s="16">
        <v>2024</v>
      </c>
      <c r="K1443" s="18" t="s">
        <v>4769</v>
      </c>
      <c r="L1443" s="16">
        <v>9785206002331</v>
      </c>
      <c r="M1443" s="18" t="s">
        <v>4770</v>
      </c>
      <c r="N1443" s="16">
        <v>503</v>
      </c>
      <c r="O1443" s="19">
        <v>0.9</v>
      </c>
      <c r="P1443" s="16">
        <v>170</v>
      </c>
      <c r="Q1443" s="16">
        <v>240</v>
      </c>
      <c r="R1443" s="16">
        <v>4</v>
      </c>
      <c r="S1443" s="18" t="s">
        <v>123</v>
      </c>
      <c r="T1443" s="18"/>
      <c r="U1443" s="17">
        <v>3005</v>
      </c>
      <c r="V1443" s="18" t="s">
        <v>77</v>
      </c>
      <c r="W1443" s="18" t="s">
        <v>91</v>
      </c>
      <c r="X1443" s="16">
        <v>10</v>
      </c>
      <c r="Y1443" s="43" t="str">
        <f>HYPERLINK("https://api-enni.alpina.ru/FilePrivilegesApproval/409","https://api-enni.alpina.ru/FilePrivilegesApproval/409")</f>
        <v>https://api-enni.alpina.ru/FilePrivilegesApproval/409</v>
      </c>
      <c r="Z1443" s="18"/>
      <c r="AS1443" s="1">
        <f>IF($A1443&lt;&gt;0,1,0)</f>
        <v>0</v>
      </c>
      <c r="AT1443" s="1">
        <f>$A1443*$B1443</f>
        <v>0</v>
      </c>
      <c r="AU1443" s="1">
        <f>$A1443*$O1443</f>
        <v>0</v>
      </c>
      <c r="AV1443" s="1">
        <f>IF($R1443=0,0,INT($A1443/$R1443))</f>
        <v>0</v>
      </c>
      <c r="AW1443" s="1">
        <f>$A1443-$AV1443*$R1443</f>
        <v>0</v>
      </c>
    </row>
    <row r="1444" ht="24.95" customHeight="1" outlineLevel="3" s="1" customFormat="1">
      <c r="A1444" s="15"/>
      <c r="B1444" s="16">
        <v>690</v>
      </c>
      <c r="C1444" s="17">
        <v>1035</v>
      </c>
      <c r="D1444" s="16">
        <v>26694</v>
      </c>
      <c r="E1444" s="18"/>
      <c r="F1444" s="18" t="s">
        <v>4771</v>
      </c>
      <c r="G1444" s="18" t="s">
        <v>4772</v>
      </c>
      <c r="H1444" s="18" t="s">
        <v>95</v>
      </c>
      <c r="I1444" s="18" t="s">
        <v>74</v>
      </c>
      <c r="J1444" s="16">
        <v>2024</v>
      </c>
      <c r="K1444" s="18" t="s">
        <v>4773</v>
      </c>
      <c r="L1444" s="16">
        <v>9785206001013</v>
      </c>
      <c r="M1444" s="18" t="s">
        <v>4774</v>
      </c>
      <c r="N1444" s="16">
        <v>576</v>
      </c>
      <c r="O1444" s="19">
        <v>0.76</v>
      </c>
      <c r="P1444" s="16">
        <v>150</v>
      </c>
      <c r="Q1444" s="16">
        <v>220</v>
      </c>
      <c r="R1444" s="16">
        <v>4</v>
      </c>
      <c r="S1444" s="18" t="s">
        <v>43</v>
      </c>
      <c r="T1444" s="18"/>
      <c r="U1444" s="17">
        <v>1000</v>
      </c>
      <c r="V1444" s="18" t="s">
        <v>77</v>
      </c>
      <c r="W1444" s="18" t="s">
        <v>91</v>
      </c>
      <c r="X1444" s="16">
        <v>10</v>
      </c>
      <c r="Y1444" s="43" t="str">
        <f>HYPERLINK("https://api-enni.alpina.ru/FilePrivilegesApproval/168","https://api-enni.alpina.ru/FilePrivilegesApproval/168")</f>
        <v>https://api-enni.alpina.ru/FilePrivilegesApproval/168</v>
      </c>
      <c r="Z1444" s="18"/>
      <c r="AS1444" s="1">
        <f>IF($A1444&lt;&gt;0,1,0)</f>
        <v>0</v>
      </c>
      <c r="AT1444" s="1">
        <f>$A1444*$B1444</f>
        <v>0</v>
      </c>
      <c r="AU1444" s="1">
        <f>$A1444*$O1444</f>
        <v>0</v>
      </c>
      <c r="AV1444" s="1">
        <f>IF($R1444=0,0,INT($A1444/$R1444))</f>
        <v>0</v>
      </c>
      <c r="AW1444" s="1">
        <f>$A1444-$AV1444*$R1444</f>
        <v>0</v>
      </c>
    </row>
    <row r="1445" ht="11.1" customHeight="1" outlineLevel="2">
      <c r="A1445" s="41" t="s">
        <v>4775</v>
      </c>
      <c r="B1445" s="41"/>
      <c r="C1445" s="41"/>
      <c r="D1445" s="41"/>
      <c r="E1445" s="41"/>
      <c r="F1445" s="41"/>
      <c r="G1445" s="41"/>
      <c r="H1445" s="41"/>
      <c r="I1445" s="41"/>
      <c r="J1445" s="41"/>
      <c r="K1445" s="41"/>
      <c r="L1445" s="41"/>
      <c r="M1445" s="41"/>
      <c r="N1445" s="41"/>
      <c r="O1445" s="41"/>
      <c r="P1445" s="41"/>
      <c r="Q1445" s="41"/>
      <c r="R1445" s="41"/>
      <c r="S1445" s="41"/>
      <c r="T1445" s="41"/>
      <c r="U1445" s="41"/>
      <c r="V1445" s="41"/>
      <c r="W1445" s="41"/>
      <c r="X1445" s="41"/>
      <c r="Y1445" s="41"/>
      <c r="Z1445" s="24"/>
    </row>
    <row r="1446" ht="24.95" customHeight="1" outlineLevel="3" s="1" customFormat="1">
      <c r="A1446" s="15"/>
      <c r="B1446" s="16">
        <v>690</v>
      </c>
      <c r="C1446" s="17">
        <v>1035</v>
      </c>
      <c r="D1446" s="16">
        <v>12681</v>
      </c>
      <c r="E1446" s="18"/>
      <c r="F1446" s="18" t="s">
        <v>4776</v>
      </c>
      <c r="G1446" s="18" t="s">
        <v>4777</v>
      </c>
      <c r="H1446" s="18" t="s">
        <v>86</v>
      </c>
      <c r="I1446" s="18" t="s">
        <v>74</v>
      </c>
      <c r="J1446" s="16">
        <v>2026</v>
      </c>
      <c r="K1446" s="18" t="s">
        <v>4778</v>
      </c>
      <c r="L1446" s="16">
        <v>9785961433081</v>
      </c>
      <c r="M1446" s="18" t="s">
        <v>4779</v>
      </c>
      <c r="N1446" s="16">
        <v>314</v>
      </c>
      <c r="O1446" s="19">
        <v>0.5</v>
      </c>
      <c r="P1446" s="16">
        <v>150</v>
      </c>
      <c r="Q1446" s="16">
        <v>220</v>
      </c>
      <c r="R1446" s="16">
        <v>10</v>
      </c>
      <c r="S1446" s="18" t="s">
        <v>43</v>
      </c>
      <c r="T1446" s="18"/>
      <c r="U1446" s="17">
        <v>1000</v>
      </c>
      <c r="V1446" s="18" t="s">
        <v>77</v>
      </c>
      <c r="W1446" s="18" t="s">
        <v>184</v>
      </c>
      <c r="X1446" s="16">
        <v>10</v>
      </c>
      <c r="Y1446" s="43" t="str">
        <f>HYPERLINK("https://api-enni.alpina.ru/FilePrivilegesApproval/49","https://api-enni.alpina.ru/FilePrivilegesApproval/49")</f>
        <v>https://api-enni.alpina.ru/FilePrivilegesApproval/49</v>
      </c>
      <c r="Z1446" s="18"/>
      <c r="AS1446" s="1">
        <f>IF($A1446&lt;&gt;0,1,0)</f>
        <v>0</v>
      </c>
      <c r="AT1446" s="1">
        <f>$A1446*$B1446</f>
        <v>0</v>
      </c>
      <c r="AU1446" s="1">
        <f>$A1446*$O1446</f>
        <v>0</v>
      </c>
      <c r="AV1446" s="1">
        <f>IF($R1446=0,0,INT($A1446/$R1446))</f>
        <v>0</v>
      </c>
      <c r="AW1446" s="1">
        <f>$A1446-$AV1446*$R1446</f>
        <v>0</v>
      </c>
    </row>
    <row r="1447" ht="21.95" customHeight="1" outlineLevel="3" s="1" customFormat="1">
      <c r="A1447" s="15"/>
      <c r="B1447" s="17">
        <v>1108</v>
      </c>
      <c r="C1447" s="17">
        <v>1496</v>
      </c>
      <c r="D1447" s="16">
        <v>34520</v>
      </c>
      <c r="E1447" s="18"/>
      <c r="F1447" s="18" t="s">
        <v>4780</v>
      </c>
      <c r="G1447" s="18" t="s">
        <v>4781</v>
      </c>
      <c r="H1447" s="18" t="s">
        <v>95</v>
      </c>
      <c r="I1447" s="18"/>
      <c r="J1447" s="16">
        <v>2026</v>
      </c>
      <c r="K1447" s="18" t="s">
        <v>4782</v>
      </c>
      <c r="L1447" s="16">
        <v>9785206005059</v>
      </c>
      <c r="M1447" s="18" t="s">
        <v>4783</v>
      </c>
      <c r="N1447" s="16">
        <v>336</v>
      </c>
      <c r="O1447" s="19">
        <v>0.42</v>
      </c>
      <c r="P1447" s="16">
        <v>160</v>
      </c>
      <c r="Q1447" s="16">
        <v>230</v>
      </c>
      <c r="R1447" s="16">
        <v>5</v>
      </c>
      <c r="S1447" s="18" t="s">
        <v>123</v>
      </c>
      <c r="T1447" s="18"/>
      <c r="U1447" s="17">
        <v>1510</v>
      </c>
      <c r="V1447" s="18" t="s">
        <v>44</v>
      </c>
      <c r="W1447" s="18" t="s">
        <v>45</v>
      </c>
      <c r="X1447" s="16">
        <v>22</v>
      </c>
      <c r="Y1447" s="43" t="str">
        <f>HYPERLINK("","")</f>
      </c>
      <c r="Z1447" s="18"/>
      <c r="AS1447" s="1">
        <f>IF($A1447&lt;&gt;0,1,0)</f>
        <v>0</v>
      </c>
      <c r="AT1447" s="1">
        <f>$A1447*$B1447</f>
        <v>0</v>
      </c>
      <c r="AU1447" s="1">
        <f>$A1447*$O1447</f>
        <v>0</v>
      </c>
      <c r="AV1447" s="1">
        <f>IF($R1447=0,0,INT($A1447/$R1447))</f>
        <v>0</v>
      </c>
      <c r="AW1447" s="1">
        <f>$A1447-$AV1447*$R1447</f>
        <v>0</v>
      </c>
    </row>
    <row r="1448" ht="21.95" customHeight="1" outlineLevel="3" s="1" customFormat="1">
      <c r="A1448" s="15"/>
      <c r="B1448" s="17">
        <v>2532</v>
      </c>
      <c r="C1448" s="17">
        <v>3292</v>
      </c>
      <c r="D1448" s="16">
        <v>31922</v>
      </c>
      <c r="E1448" s="18"/>
      <c r="F1448" s="18" t="s">
        <v>4784</v>
      </c>
      <c r="G1448" s="18" t="s">
        <v>4785</v>
      </c>
      <c r="H1448" s="18" t="s">
        <v>592</v>
      </c>
      <c r="I1448" s="18" t="s">
        <v>74</v>
      </c>
      <c r="J1448" s="16">
        <v>2025</v>
      </c>
      <c r="K1448" s="18" t="s">
        <v>4786</v>
      </c>
      <c r="L1448" s="16">
        <v>9786018215506</v>
      </c>
      <c r="M1448" s="18" t="s">
        <v>4787</v>
      </c>
      <c r="N1448" s="16">
        <v>188</v>
      </c>
      <c r="O1448" s="19">
        <v>0.43</v>
      </c>
      <c r="P1448" s="16">
        <v>170</v>
      </c>
      <c r="Q1448" s="16">
        <v>240</v>
      </c>
      <c r="R1448" s="16">
        <v>8</v>
      </c>
      <c r="S1448" s="18" t="s">
        <v>123</v>
      </c>
      <c r="T1448" s="18"/>
      <c r="U1448" s="17">
        <v>2500</v>
      </c>
      <c r="V1448" s="18" t="s">
        <v>77</v>
      </c>
      <c r="W1448" s="18" t="s">
        <v>91</v>
      </c>
      <c r="X1448" s="16">
        <v>22</v>
      </c>
      <c r="Y1448" s="43" t="str">
        <f>HYPERLINK("","")</f>
      </c>
      <c r="Z1448" s="18"/>
      <c r="AS1448" s="1">
        <f>IF($A1448&lt;&gt;0,1,0)</f>
        <v>0</v>
      </c>
      <c r="AT1448" s="1">
        <f>$A1448*$B1448</f>
        <v>0</v>
      </c>
      <c r="AU1448" s="1">
        <f>$A1448*$O1448</f>
        <v>0</v>
      </c>
      <c r="AV1448" s="1">
        <f>IF($R1448=0,0,INT($A1448/$R1448))</f>
        <v>0</v>
      </c>
      <c r="AW1448" s="1">
        <f>$A1448-$AV1448*$R1448</f>
        <v>0</v>
      </c>
    </row>
    <row r="1449" ht="24.95" customHeight="1" outlineLevel="3" s="1" customFormat="1">
      <c r="A1449" s="15"/>
      <c r="B1449" s="16">
        <v>750</v>
      </c>
      <c r="C1449" s="17">
        <v>1088</v>
      </c>
      <c r="D1449" s="16">
        <v>32191</v>
      </c>
      <c r="E1449" s="18"/>
      <c r="F1449" s="18" t="s">
        <v>4788</v>
      </c>
      <c r="G1449" s="18" t="s">
        <v>4789</v>
      </c>
      <c r="H1449" s="18" t="s">
        <v>95</v>
      </c>
      <c r="I1449" s="18"/>
      <c r="J1449" s="16">
        <v>2025</v>
      </c>
      <c r="K1449" s="18" t="s">
        <v>4790</v>
      </c>
      <c r="L1449" s="16">
        <v>9785206004540</v>
      </c>
      <c r="M1449" s="18" t="s">
        <v>4791</v>
      </c>
      <c r="N1449" s="16">
        <v>224</v>
      </c>
      <c r="O1449" s="19">
        <v>0.37</v>
      </c>
      <c r="P1449" s="16">
        <v>150</v>
      </c>
      <c r="Q1449" s="16">
        <v>220</v>
      </c>
      <c r="R1449" s="16">
        <v>5</v>
      </c>
      <c r="S1449" s="18" t="s">
        <v>43</v>
      </c>
      <c r="T1449" s="18"/>
      <c r="U1449" s="17">
        <v>2005</v>
      </c>
      <c r="V1449" s="18" t="s">
        <v>77</v>
      </c>
      <c r="W1449" s="18" t="s">
        <v>91</v>
      </c>
      <c r="X1449" s="16">
        <v>10</v>
      </c>
      <c r="Y1449" s="43" t="str">
        <f>HYPERLINK("https://api-enni.alpina.ru/FilePrivilegesApproval/834","https://api-enni.alpina.ru/FilePrivilegesApproval/834")</f>
        <v>https://api-enni.alpina.ru/FilePrivilegesApproval/834</v>
      </c>
      <c r="Z1449" s="18"/>
      <c r="AS1449" s="1">
        <f>IF($A1449&lt;&gt;0,1,0)</f>
        <v>0</v>
      </c>
      <c r="AT1449" s="1">
        <f>$A1449*$B1449</f>
        <v>0</v>
      </c>
      <c r="AU1449" s="1">
        <f>$A1449*$O1449</f>
        <v>0</v>
      </c>
      <c r="AV1449" s="1">
        <f>IF($R1449=0,0,INT($A1449/$R1449))</f>
        <v>0</v>
      </c>
      <c r="AW1449" s="1">
        <f>$A1449-$AV1449*$R1449</f>
        <v>0</v>
      </c>
    </row>
    <row r="1450" ht="24.95" customHeight="1" outlineLevel="3" s="1" customFormat="1">
      <c r="A1450" s="15"/>
      <c r="B1450" s="16">
        <v>990</v>
      </c>
      <c r="C1450" s="17">
        <v>1386</v>
      </c>
      <c r="D1450" s="16">
        <v>11799</v>
      </c>
      <c r="E1450" s="18"/>
      <c r="F1450" s="18" t="s">
        <v>4792</v>
      </c>
      <c r="G1450" s="18" t="s">
        <v>4793</v>
      </c>
      <c r="H1450" s="18" t="s">
        <v>86</v>
      </c>
      <c r="I1450" s="18" t="s">
        <v>74</v>
      </c>
      <c r="J1450" s="16">
        <v>2026</v>
      </c>
      <c r="K1450" s="18" t="s">
        <v>4794</v>
      </c>
      <c r="L1450" s="16">
        <v>9785961428506</v>
      </c>
      <c r="M1450" s="18" t="s">
        <v>4795</v>
      </c>
      <c r="N1450" s="16">
        <v>205</v>
      </c>
      <c r="O1450" s="19">
        <v>0.35</v>
      </c>
      <c r="P1450" s="16">
        <v>141</v>
      </c>
      <c r="Q1450" s="16">
        <v>210</v>
      </c>
      <c r="R1450" s="16">
        <v>14</v>
      </c>
      <c r="S1450" s="18" t="s">
        <v>43</v>
      </c>
      <c r="T1450" s="18"/>
      <c r="U1450" s="17">
        <v>4000</v>
      </c>
      <c r="V1450" s="18" t="s">
        <v>44</v>
      </c>
      <c r="W1450" s="18" t="s">
        <v>69</v>
      </c>
      <c r="X1450" s="16">
        <v>10</v>
      </c>
      <c r="Y1450" s="43" t="str">
        <f>HYPERLINK("https://api-enni.alpina.ru/FilePrivilegesApproval/125","https://api-enni.alpina.ru/FilePrivilegesApproval/125")</f>
        <v>https://api-enni.alpina.ru/FilePrivilegesApproval/125</v>
      </c>
      <c r="Z1450" s="18" t="s">
        <v>1869</v>
      </c>
      <c r="AS1450" s="1">
        <f>IF($A1450&lt;&gt;0,1,0)</f>
        <v>0</v>
      </c>
      <c r="AT1450" s="1">
        <f>$A1450*$B1450</f>
        <v>0</v>
      </c>
      <c r="AU1450" s="1">
        <f>$A1450*$O1450</f>
        <v>0</v>
      </c>
      <c r="AV1450" s="1">
        <f>IF($R1450=0,0,INT($A1450/$R1450))</f>
        <v>0</v>
      </c>
      <c r="AW1450" s="1">
        <f>$A1450-$AV1450*$R1450</f>
        <v>0</v>
      </c>
    </row>
    <row r="1451" ht="24.95" customHeight="1" outlineLevel="3" s="1" customFormat="1">
      <c r="A1451" s="15"/>
      <c r="B1451" s="17">
        <v>1190</v>
      </c>
      <c r="C1451" s="17">
        <v>1606</v>
      </c>
      <c r="D1451" s="16">
        <v>37409</v>
      </c>
      <c r="E1451" s="18"/>
      <c r="F1451" s="18" t="s">
        <v>4792</v>
      </c>
      <c r="G1451" s="18" t="s">
        <v>4793</v>
      </c>
      <c r="H1451" s="18" t="s">
        <v>86</v>
      </c>
      <c r="I1451" s="18" t="s">
        <v>74</v>
      </c>
      <c r="J1451" s="16">
        <v>2026</v>
      </c>
      <c r="K1451" s="18" t="s">
        <v>4796</v>
      </c>
      <c r="L1451" s="16">
        <v>9785006320055</v>
      </c>
      <c r="M1451" s="18" t="s">
        <v>4797</v>
      </c>
      <c r="N1451" s="16">
        <v>205</v>
      </c>
      <c r="O1451" s="19">
        <v>0.42</v>
      </c>
      <c r="P1451" s="16">
        <v>150</v>
      </c>
      <c r="Q1451" s="16">
        <v>220</v>
      </c>
      <c r="R1451" s="16">
        <v>10</v>
      </c>
      <c r="S1451" s="18" t="s">
        <v>43</v>
      </c>
      <c r="T1451" s="18"/>
      <c r="U1451" s="17">
        <v>2000</v>
      </c>
      <c r="V1451" s="18" t="s">
        <v>77</v>
      </c>
      <c r="W1451" s="18" t="s">
        <v>69</v>
      </c>
      <c r="X1451" s="16">
        <v>10</v>
      </c>
      <c r="Y1451" s="43" t="str">
        <f>HYPERLINK("https://api-enni.alpina.ru/FilePrivilegesApproval/1195","https://api-enni.alpina.ru/FilePrivilegesApproval/1195")</f>
        <v>https://api-enni.alpina.ru/FilePrivilegesApproval/1195</v>
      </c>
      <c r="Z1451" s="18" t="s">
        <v>185</v>
      </c>
      <c r="AS1451" s="1">
        <f>IF($A1451&lt;&gt;0,1,0)</f>
        <v>0</v>
      </c>
      <c r="AT1451" s="1">
        <f>$A1451*$B1451</f>
        <v>0</v>
      </c>
      <c r="AU1451" s="1">
        <f>$A1451*$O1451</f>
        <v>0</v>
      </c>
      <c r="AV1451" s="1">
        <f>IF($R1451=0,0,INT($A1451/$R1451))</f>
        <v>0</v>
      </c>
      <c r="AW1451" s="1">
        <f>$A1451-$AV1451*$R1451</f>
        <v>0</v>
      </c>
    </row>
    <row r="1452" ht="24.95" customHeight="1" outlineLevel="3" s="1" customFormat="1">
      <c r="A1452" s="15"/>
      <c r="B1452" s="16">
        <v>790</v>
      </c>
      <c r="C1452" s="17">
        <v>1146</v>
      </c>
      <c r="D1452" s="16">
        <v>18674</v>
      </c>
      <c r="E1452" s="18"/>
      <c r="F1452" s="18" t="s">
        <v>4798</v>
      </c>
      <c r="G1452" s="18" t="s">
        <v>4799</v>
      </c>
      <c r="H1452" s="18" t="s">
        <v>86</v>
      </c>
      <c r="I1452" s="18"/>
      <c r="J1452" s="16">
        <v>2021</v>
      </c>
      <c r="K1452" s="18" t="s">
        <v>4800</v>
      </c>
      <c r="L1452" s="16">
        <v>9785961437638</v>
      </c>
      <c r="M1452" s="18" t="s">
        <v>4801</v>
      </c>
      <c r="N1452" s="16">
        <v>342</v>
      </c>
      <c r="O1452" s="19">
        <v>0.5</v>
      </c>
      <c r="P1452" s="16">
        <v>146</v>
      </c>
      <c r="Q1452" s="16">
        <v>216</v>
      </c>
      <c r="R1452" s="16">
        <v>10</v>
      </c>
      <c r="S1452" s="18" t="s">
        <v>43</v>
      </c>
      <c r="T1452" s="18"/>
      <c r="U1452" s="17">
        <v>2000</v>
      </c>
      <c r="V1452" s="18" t="s">
        <v>77</v>
      </c>
      <c r="W1452" s="18" t="s">
        <v>55</v>
      </c>
      <c r="X1452" s="16">
        <v>10</v>
      </c>
      <c r="Y1452" s="43" t="str">
        <f>HYPERLINK("https://api-enni.alpina.ru/FilePrivilegesApproval/75","https://api-enni.alpina.ru/FilePrivilegesApproval/75")</f>
        <v>https://api-enni.alpina.ru/FilePrivilegesApproval/75</v>
      </c>
      <c r="Z1452" s="18"/>
      <c r="AS1452" s="1">
        <f>IF($A1452&lt;&gt;0,1,0)</f>
        <v>0</v>
      </c>
      <c r="AT1452" s="1">
        <f>$A1452*$B1452</f>
        <v>0</v>
      </c>
      <c r="AU1452" s="1">
        <f>$A1452*$O1452</f>
        <v>0</v>
      </c>
      <c r="AV1452" s="1">
        <f>IF($R1452=0,0,INT($A1452/$R1452))</f>
        <v>0</v>
      </c>
      <c r="AW1452" s="1">
        <f>$A1452-$AV1452*$R1452</f>
        <v>0</v>
      </c>
    </row>
    <row r="1453" ht="24.95" customHeight="1" outlineLevel="3" s="1" customFormat="1">
      <c r="A1453" s="25"/>
      <c r="B1453" s="26">
        <v>640</v>
      </c>
      <c r="C1453" s="26">
        <v>960</v>
      </c>
      <c r="D1453" s="26">
        <v>6853</v>
      </c>
      <c r="E1453" s="27"/>
      <c r="F1453" s="27" t="s">
        <v>4802</v>
      </c>
      <c r="G1453" s="27" t="s">
        <v>4803</v>
      </c>
      <c r="H1453" s="27" t="s">
        <v>95</v>
      </c>
      <c r="I1453" s="27" t="s">
        <v>74</v>
      </c>
      <c r="J1453" s="26">
        <v>2023</v>
      </c>
      <c r="K1453" s="27" t="s">
        <v>4804</v>
      </c>
      <c r="L1453" s="26">
        <v>9785961460230</v>
      </c>
      <c r="M1453" s="27" t="s">
        <v>4805</v>
      </c>
      <c r="N1453" s="26">
        <v>228</v>
      </c>
      <c r="O1453" s="28">
        <v>0.5</v>
      </c>
      <c r="P1453" s="26">
        <v>171</v>
      </c>
      <c r="Q1453" s="26">
        <v>241</v>
      </c>
      <c r="R1453" s="26">
        <v>5</v>
      </c>
      <c r="S1453" s="27" t="s">
        <v>123</v>
      </c>
      <c r="T1453" s="27"/>
      <c r="U1453" s="29">
        <v>1000</v>
      </c>
      <c r="V1453" s="27" t="s">
        <v>77</v>
      </c>
      <c r="W1453" s="27" t="s">
        <v>184</v>
      </c>
      <c r="X1453" s="26">
        <v>10</v>
      </c>
      <c r="Y1453" s="45" t="str">
        <f>HYPERLINK("https://api-enni.alpina.ru/FilePrivilegesApproval/2","https://api-enni.alpina.ru/FilePrivilegesApproval/2")</f>
        <v>https://api-enni.alpina.ru/FilePrivilegesApproval/2</v>
      </c>
      <c r="Z1453" s="27"/>
      <c r="AS1453" s="1">
        <f>IF($A1453&lt;&gt;0,1,0)</f>
        <v>0</v>
      </c>
      <c r="AT1453" s="1">
        <f>$A1453*$B1453</f>
        <v>0</v>
      </c>
      <c r="AU1453" s="1">
        <f>$A1453*$O1453</f>
        <v>0</v>
      </c>
      <c r="AV1453" s="1">
        <f>IF($R1453=0,0,INT($A1453/$R1453))</f>
        <v>0</v>
      </c>
      <c r="AW1453" s="1">
        <f>$A1453-$AV1453*$R1453</f>
        <v>0</v>
      </c>
    </row>
    <row r="1454" ht="24.95" customHeight="1" outlineLevel="3" s="1" customFormat="1">
      <c r="A1454" s="15"/>
      <c r="B1454" s="16">
        <v>890</v>
      </c>
      <c r="C1454" s="17">
        <v>1246</v>
      </c>
      <c r="D1454" s="16">
        <v>30735</v>
      </c>
      <c r="E1454" s="18"/>
      <c r="F1454" s="18" t="s">
        <v>4806</v>
      </c>
      <c r="G1454" s="18" t="s">
        <v>4807</v>
      </c>
      <c r="H1454" s="18" t="s">
        <v>86</v>
      </c>
      <c r="I1454" s="18"/>
      <c r="J1454" s="16">
        <v>2025</v>
      </c>
      <c r="K1454" s="18" t="s">
        <v>4808</v>
      </c>
      <c r="L1454" s="16">
        <v>9785961496345</v>
      </c>
      <c r="M1454" s="18" t="s">
        <v>4809</v>
      </c>
      <c r="N1454" s="16">
        <v>392</v>
      </c>
      <c r="O1454" s="19">
        <v>0.56</v>
      </c>
      <c r="P1454" s="16">
        <v>150</v>
      </c>
      <c r="Q1454" s="16">
        <v>220</v>
      </c>
      <c r="R1454" s="16">
        <v>10</v>
      </c>
      <c r="S1454" s="18" t="s">
        <v>43</v>
      </c>
      <c r="T1454" s="18"/>
      <c r="U1454" s="17">
        <v>2000</v>
      </c>
      <c r="V1454" s="18" t="s">
        <v>77</v>
      </c>
      <c r="W1454" s="18" t="s">
        <v>91</v>
      </c>
      <c r="X1454" s="16">
        <v>10</v>
      </c>
      <c r="Y1454" s="43" t="str">
        <f>HYPERLINK("https://api-enni.alpina.ru/FilePrivilegesApproval/546","https://api-enni.alpina.ru/FilePrivilegesApproval/546")</f>
        <v>https://api-enni.alpina.ru/FilePrivilegesApproval/546</v>
      </c>
      <c r="Z1454" s="18"/>
      <c r="AS1454" s="1">
        <f>IF($A1454&lt;&gt;0,1,0)</f>
        <v>0</v>
      </c>
      <c r="AT1454" s="1">
        <f>$A1454*$B1454</f>
        <v>0</v>
      </c>
      <c r="AU1454" s="1">
        <f>$A1454*$O1454</f>
        <v>0</v>
      </c>
      <c r="AV1454" s="1">
        <f>IF($R1454=0,0,INT($A1454/$R1454))</f>
        <v>0</v>
      </c>
      <c r="AW1454" s="1">
        <f>$A1454-$AV1454*$R1454</f>
        <v>0</v>
      </c>
    </row>
    <row r="1455" ht="24.95" customHeight="1" outlineLevel="3" s="1" customFormat="1">
      <c r="A1455" s="15"/>
      <c r="B1455" s="16">
        <v>690</v>
      </c>
      <c r="C1455" s="17">
        <v>1035</v>
      </c>
      <c r="D1455" s="16">
        <v>22767</v>
      </c>
      <c r="E1455" s="18"/>
      <c r="F1455" s="18" t="s">
        <v>4810</v>
      </c>
      <c r="G1455" s="18" t="s">
        <v>4811</v>
      </c>
      <c r="H1455" s="18" t="s">
        <v>86</v>
      </c>
      <c r="I1455" s="18" t="s">
        <v>74</v>
      </c>
      <c r="J1455" s="16">
        <v>2025</v>
      </c>
      <c r="K1455" s="18" t="s">
        <v>4812</v>
      </c>
      <c r="L1455" s="16">
        <v>9785961474985</v>
      </c>
      <c r="M1455" s="18" t="s">
        <v>4813</v>
      </c>
      <c r="N1455" s="16">
        <v>216</v>
      </c>
      <c r="O1455" s="19">
        <v>0.34</v>
      </c>
      <c r="P1455" s="16">
        <v>150</v>
      </c>
      <c r="Q1455" s="16">
        <v>220</v>
      </c>
      <c r="R1455" s="16">
        <v>10</v>
      </c>
      <c r="S1455" s="18" t="s">
        <v>43</v>
      </c>
      <c r="T1455" s="18"/>
      <c r="U1455" s="17">
        <v>1000</v>
      </c>
      <c r="V1455" s="18" t="s">
        <v>77</v>
      </c>
      <c r="W1455" s="18" t="s">
        <v>91</v>
      </c>
      <c r="X1455" s="16">
        <v>10</v>
      </c>
      <c r="Y1455" s="43" t="str">
        <f>HYPERLINK("https://api-enni.alpina.ru/FilePrivilegesApproval/124","https://api-enni.alpina.ru/FilePrivilegesApproval/124")</f>
        <v>https://api-enni.alpina.ru/FilePrivilegesApproval/124</v>
      </c>
      <c r="Z1455" s="18"/>
      <c r="AS1455" s="1">
        <f>IF($A1455&lt;&gt;0,1,0)</f>
        <v>0</v>
      </c>
      <c r="AT1455" s="1">
        <f>$A1455*$B1455</f>
        <v>0</v>
      </c>
      <c r="AU1455" s="1">
        <f>$A1455*$O1455</f>
        <v>0</v>
      </c>
      <c r="AV1455" s="1">
        <f>IF($R1455=0,0,INT($A1455/$R1455))</f>
        <v>0</v>
      </c>
      <c r="AW1455" s="1">
        <f>$A1455-$AV1455*$R1455</f>
        <v>0</v>
      </c>
    </row>
    <row r="1456" ht="24.95" customHeight="1" outlineLevel="3" s="1" customFormat="1">
      <c r="A1456" s="25"/>
      <c r="B1456" s="26">
        <v>490</v>
      </c>
      <c r="C1456" s="26">
        <v>760</v>
      </c>
      <c r="D1456" s="26">
        <v>25101</v>
      </c>
      <c r="E1456" s="27"/>
      <c r="F1456" s="27" t="s">
        <v>4814</v>
      </c>
      <c r="G1456" s="27" t="s">
        <v>4815</v>
      </c>
      <c r="H1456" s="27" t="s">
        <v>86</v>
      </c>
      <c r="I1456" s="27" t="s">
        <v>74</v>
      </c>
      <c r="J1456" s="26">
        <v>2023</v>
      </c>
      <c r="K1456" s="27" t="s">
        <v>4816</v>
      </c>
      <c r="L1456" s="26">
        <v>9785961476880</v>
      </c>
      <c r="M1456" s="27" t="s">
        <v>4817</v>
      </c>
      <c r="N1456" s="26">
        <v>288</v>
      </c>
      <c r="O1456" s="28">
        <v>0.29</v>
      </c>
      <c r="P1456" s="26">
        <v>130</v>
      </c>
      <c r="Q1456" s="26">
        <v>200</v>
      </c>
      <c r="R1456" s="26">
        <v>16</v>
      </c>
      <c r="S1456" s="27" t="s">
        <v>90</v>
      </c>
      <c r="T1456" s="27"/>
      <c r="U1456" s="29">
        <v>1500</v>
      </c>
      <c r="V1456" s="27" t="s">
        <v>44</v>
      </c>
      <c r="W1456" s="27" t="s">
        <v>184</v>
      </c>
      <c r="X1456" s="26">
        <v>10</v>
      </c>
      <c r="Y1456" s="45" t="str">
        <f>HYPERLINK("https://api-enni.alpina.ru/FilePrivilegesApproval/163","https://api-enni.alpina.ru/FilePrivilegesApproval/163")</f>
        <v>https://api-enni.alpina.ru/FilePrivilegesApproval/163</v>
      </c>
      <c r="Z1456" s="27"/>
      <c r="AS1456" s="1">
        <f>IF($A1456&lt;&gt;0,1,0)</f>
        <v>0</v>
      </c>
      <c r="AT1456" s="1">
        <f>$A1456*$B1456</f>
        <v>0</v>
      </c>
      <c r="AU1456" s="1">
        <f>$A1456*$O1456</f>
        <v>0</v>
      </c>
      <c r="AV1456" s="1">
        <f>IF($R1456=0,0,INT($A1456/$R1456))</f>
        <v>0</v>
      </c>
      <c r="AW1456" s="1">
        <f>$A1456-$AV1456*$R1456</f>
        <v>0</v>
      </c>
    </row>
    <row r="1457" ht="24.95" customHeight="1" outlineLevel="3" s="1" customFormat="1">
      <c r="A1457" s="15"/>
      <c r="B1457" s="16">
        <v>890</v>
      </c>
      <c r="C1457" s="17">
        <v>1246</v>
      </c>
      <c r="D1457" s="16">
        <v>25700</v>
      </c>
      <c r="E1457" s="18"/>
      <c r="F1457" s="18" t="s">
        <v>4818</v>
      </c>
      <c r="G1457" s="18" t="s">
        <v>4819</v>
      </c>
      <c r="H1457" s="18" t="s">
        <v>86</v>
      </c>
      <c r="I1457" s="18"/>
      <c r="J1457" s="16">
        <v>2024</v>
      </c>
      <c r="K1457" s="18" t="s">
        <v>4820</v>
      </c>
      <c r="L1457" s="16">
        <v>9785961478402</v>
      </c>
      <c r="M1457" s="18" t="s">
        <v>4821</v>
      </c>
      <c r="N1457" s="16">
        <v>348</v>
      </c>
      <c r="O1457" s="19">
        <v>0.75</v>
      </c>
      <c r="P1457" s="16">
        <v>180</v>
      </c>
      <c r="Q1457" s="16">
        <v>220</v>
      </c>
      <c r="R1457" s="16">
        <v>5</v>
      </c>
      <c r="S1457" s="18" t="s">
        <v>52</v>
      </c>
      <c r="T1457" s="18"/>
      <c r="U1457" s="17">
        <v>2000</v>
      </c>
      <c r="V1457" s="18" t="s">
        <v>77</v>
      </c>
      <c r="W1457" s="18" t="s">
        <v>91</v>
      </c>
      <c r="X1457" s="16">
        <v>10</v>
      </c>
      <c r="Y1457" s="43" t="str">
        <f>HYPERLINK("https://api-enni.alpina.ru/FilePrivilegesApproval/156","https://api-enni.alpina.ru/FilePrivilegesApproval/156")</f>
        <v>https://api-enni.alpina.ru/FilePrivilegesApproval/156</v>
      </c>
      <c r="Z1457" s="18"/>
      <c r="AS1457" s="1">
        <f>IF($A1457&lt;&gt;0,1,0)</f>
        <v>0</v>
      </c>
      <c r="AT1457" s="1">
        <f>$A1457*$B1457</f>
        <v>0</v>
      </c>
      <c r="AU1457" s="1">
        <f>$A1457*$O1457</f>
        <v>0</v>
      </c>
      <c r="AV1457" s="1">
        <f>IF($R1457=0,0,INT($A1457/$R1457))</f>
        <v>0</v>
      </c>
      <c r="AW1457" s="1">
        <f>$A1457-$AV1457*$R1457</f>
        <v>0</v>
      </c>
    </row>
    <row r="1458" ht="24.95" customHeight="1" outlineLevel="3" s="1" customFormat="1">
      <c r="A1458" s="15"/>
      <c r="B1458" s="16">
        <v>890</v>
      </c>
      <c r="C1458" s="17">
        <v>1246</v>
      </c>
      <c r="D1458" s="16">
        <v>36563</v>
      </c>
      <c r="E1458" s="18"/>
      <c r="F1458" s="18" t="s">
        <v>4818</v>
      </c>
      <c r="G1458" s="18" t="s">
        <v>4819</v>
      </c>
      <c r="H1458" s="18" t="s">
        <v>86</v>
      </c>
      <c r="I1458" s="18"/>
      <c r="J1458" s="16">
        <v>2025</v>
      </c>
      <c r="K1458" s="18" t="s">
        <v>4822</v>
      </c>
      <c r="L1458" s="16">
        <v>9785006317598</v>
      </c>
      <c r="M1458" s="18" t="s">
        <v>4823</v>
      </c>
      <c r="N1458" s="16">
        <v>332</v>
      </c>
      <c r="O1458" s="19">
        <v>0.65</v>
      </c>
      <c r="P1458" s="16">
        <v>170</v>
      </c>
      <c r="Q1458" s="16">
        <v>240</v>
      </c>
      <c r="R1458" s="16">
        <v>10</v>
      </c>
      <c r="S1458" s="18" t="s">
        <v>123</v>
      </c>
      <c r="T1458" s="18"/>
      <c r="U1458" s="17">
        <v>1000</v>
      </c>
      <c r="V1458" s="18" t="s">
        <v>77</v>
      </c>
      <c r="W1458" s="18" t="s">
        <v>91</v>
      </c>
      <c r="X1458" s="16">
        <v>10</v>
      </c>
      <c r="Y1458" s="43" t="str">
        <f>HYPERLINK("https://api-enni.alpina.ru/FilePrivilegesApproval/156","https://api-enni.alpina.ru/FilePrivilegesApproval/156")</f>
        <v>https://api-enni.alpina.ru/FilePrivilegesApproval/156</v>
      </c>
      <c r="Z1458" s="18"/>
      <c r="AS1458" s="1">
        <f>IF($A1458&lt;&gt;0,1,0)</f>
        <v>0</v>
      </c>
      <c r="AT1458" s="1">
        <f>$A1458*$B1458</f>
        <v>0</v>
      </c>
      <c r="AU1458" s="1">
        <f>$A1458*$O1458</f>
        <v>0</v>
      </c>
      <c r="AV1458" s="1">
        <f>IF($R1458=0,0,INT($A1458/$R1458))</f>
        <v>0</v>
      </c>
      <c r="AW1458" s="1">
        <f>$A1458-$AV1458*$R1458</f>
        <v>0</v>
      </c>
    </row>
    <row r="1459" ht="24.95" customHeight="1" outlineLevel="3" s="1" customFormat="1">
      <c r="A1459" s="25"/>
      <c r="B1459" s="26">
        <v>540</v>
      </c>
      <c r="C1459" s="26">
        <v>837</v>
      </c>
      <c r="D1459" s="26">
        <v>22872</v>
      </c>
      <c r="E1459" s="27"/>
      <c r="F1459" s="27" t="s">
        <v>1127</v>
      </c>
      <c r="G1459" s="27" t="s">
        <v>4824</v>
      </c>
      <c r="H1459" s="27" t="s">
        <v>95</v>
      </c>
      <c r="I1459" s="27"/>
      <c r="J1459" s="26">
        <v>2024</v>
      </c>
      <c r="K1459" s="27" t="s">
        <v>4825</v>
      </c>
      <c r="L1459" s="26">
        <v>9785907470095</v>
      </c>
      <c r="M1459" s="27" t="s">
        <v>4826</v>
      </c>
      <c r="N1459" s="26">
        <v>112</v>
      </c>
      <c r="O1459" s="28">
        <v>0.27</v>
      </c>
      <c r="P1459" s="26">
        <v>150</v>
      </c>
      <c r="Q1459" s="26">
        <v>220</v>
      </c>
      <c r="R1459" s="26">
        <v>10</v>
      </c>
      <c r="S1459" s="27" t="s">
        <v>43</v>
      </c>
      <c r="T1459" s="27"/>
      <c r="U1459" s="29">
        <v>1000</v>
      </c>
      <c r="V1459" s="27" t="s">
        <v>77</v>
      </c>
      <c r="W1459" s="27" t="s">
        <v>91</v>
      </c>
      <c r="X1459" s="26">
        <v>10</v>
      </c>
      <c r="Y1459" s="45" t="str">
        <f>HYPERLINK("https://api-enni.alpina.ru/FilePrivilegesApproval/120","https://api-enni.alpina.ru/FilePrivilegesApproval/120")</f>
        <v>https://api-enni.alpina.ru/FilePrivilegesApproval/120</v>
      </c>
      <c r="Z1459" s="27"/>
      <c r="AS1459" s="1">
        <f>IF($A1459&lt;&gt;0,1,0)</f>
        <v>0</v>
      </c>
      <c r="AT1459" s="1">
        <f>$A1459*$B1459</f>
        <v>0</v>
      </c>
      <c r="AU1459" s="1">
        <f>$A1459*$O1459</f>
        <v>0</v>
      </c>
      <c r="AV1459" s="1">
        <f>IF($R1459=0,0,INT($A1459/$R1459))</f>
        <v>0</v>
      </c>
      <c r="AW1459" s="1">
        <f>$A1459-$AV1459*$R1459</f>
        <v>0</v>
      </c>
    </row>
    <row r="1460" ht="24.95" customHeight="1" outlineLevel="3" s="1" customFormat="1">
      <c r="A1460" s="15"/>
      <c r="B1460" s="16">
        <v>990</v>
      </c>
      <c r="C1460" s="17">
        <v>1386</v>
      </c>
      <c r="D1460" s="16">
        <v>4573</v>
      </c>
      <c r="E1460" s="18"/>
      <c r="F1460" s="18" t="s">
        <v>4827</v>
      </c>
      <c r="G1460" s="18" t="s">
        <v>4828</v>
      </c>
      <c r="H1460" s="18" t="s">
        <v>86</v>
      </c>
      <c r="I1460" s="18" t="s">
        <v>74</v>
      </c>
      <c r="J1460" s="16">
        <v>2026</v>
      </c>
      <c r="K1460" s="18" t="s">
        <v>4829</v>
      </c>
      <c r="L1460" s="16">
        <v>9785961468502</v>
      </c>
      <c r="M1460" s="18" t="s">
        <v>4830</v>
      </c>
      <c r="N1460" s="16">
        <v>352</v>
      </c>
      <c r="O1460" s="19">
        <v>0.7</v>
      </c>
      <c r="P1460" s="16">
        <v>170</v>
      </c>
      <c r="Q1460" s="16">
        <v>240</v>
      </c>
      <c r="R1460" s="16">
        <v>5</v>
      </c>
      <c r="S1460" s="18" t="s">
        <v>123</v>
      </c>
      <c r="T1460" s="18"/>
      <c r="U1460" s="17">
        <v>1000</v>
      </c>
      <c r="V1460" s="18" t="s">
        <v>77</v>
      </c>
      <c r="W1460" s="18" t="s">
        <v>184</v>
      </c>
      <c r="X1460" s="16">
        <v>10</v>
      </c>
      <c r="Y1460" s="43" t="str">
        <f>HYPERLINK("https://api-enni.alpina.ru/FilePrivilegesApproval/2","https://api-enni.alpina.ru/FilePrivilegesApproval/2")</f>
        <v>https://api-enni.alpina.ru/FilePrivilegesApproval/2</v>
      </c>
      <c r="Z1460" s="18"/>
      <c r="AS1460" s="1">
        <f>IF($A1460&lt;&gt;0,1,0)</f>
        <v>0</v>
      </c>
      <c r="AT1460" s="1">
        <f>$A1460*$B1460</f>
        <v>0</v>
      </c>
      <c r="AU1460" s="1">
        <f>$A1460*$O1460</f>
        <v>0</v>
      </c>
      <c r="AV1460" s="1">
        <f>IF($R1460=0,0,INT($A1460/$R1460))</f>
        <v>0</v>
      </c>
      <c r="AW1460" s="1">
        <f>$A1460-$AV1460*$R1460</f>
        <v>0</v>
      </c>
    </row>
    <row r="1461" ht="24.95" customHeight="1" outlineLevel="3" s="1" customFormat="1">
      <c r="A1461" s="15"/>
      <c r="B1461" s="16">
        <v>990</v>
      </c>
      <c r="C1461" s="17">
        <v>1386</v>
      </c>
      <c r="D1461" s="16">
        <v>24235</v>
      </c>
      <c r="E1461" s="18"/>
      <c r="F1461" s="18" t="s">
        <v>4697</v>
      </c>
      <c r="G1461" s="18" t="s">
        <v>4831</v>
      </c>
      <c r="H1461" s="18" t="s">
        <v>86</v>
      </c>
      <c r="I1461" s="18"/>
      <c r="J1461" s="16">
        <v>2025</v>
      </c>
      <c r="K1461" s="18" t="s">
        <v>4832</v>
      </c>
      <c r="L1461" s="16">
        <v>9785961480160</v>
      </c>
      <c r="M1461" s="18" t="s">
        <v>4833</v>
      </c>
      <c r="N1461" s="16">
        <v>472</v>
      </c>
      <c r="O1461" s="19">
        <v>0.64</v>
      </c>
      <c r="P1461" s="16">
        <v>150</v>
      </c>
      <c r="Q1461" s="16">
        <v>220</v>
      </c>
      <c r="R1461" s="16">
        <v>8</v>
      </c>
      <c r="S1461" s="18" t="s">
        <v>43</v>
      </c>
      <c r="T1461" s="18"/>
      <c r="U1461" s="17">
        <v>2000</v>
      </c>
      <c r="V1461" s="18" t="s">
        <v>77</v>
      </c>
      <c r="W1461" s="18" t="s">
        <v>69</v>
      </c>
      <c r="X1461" s="16">
        <v>10</v>
      </c>
      <c r="Y1461" s="43" t="str">
        <f>HYPERLINK("https://api-enni.alpina.ru/FilePrivilegesApproval/152","https://api-enni.alpina.ru/FilePrivilegesApproval/152")</f>
        <v>https://api-enni.alpina.ru/FilePrivilegesApproval/152</v>
      </c>
      <c r="Z1461" s="18"/>
      <c r="AS1461" s="1">
        <f>IF($A1461&lt;&gt;0,1,0)</f>
        <v>0</v>
      </c>
      <c r="AT1461" s="1">
        <f>$A1461*$B1461</f>
        <v>0</v>
      </c>
      <c r="AU1461" s="1">
        <f>$A1461*$O1461</f>
        <v>0</v>
      </c>
      <c r="AV1461" s="1">
        <f>IF($R1461=0,0,INT($A1461/$R1461))</f>
        <v>0</v>
      </c>
      <c r="AW1461" s="1">
        <f>$A1461-$AV1461*$R1461</f>
        <v>0</v>
      </c>
    </row>
    <row r="1462" ht="24.95" customHeight="1" outlineLevel="3" s="1" customFormat="1">
      <c r="A1462" s="15"/>
      <c r="B1462" s="16">
        <v>990</v>
      </c>
      <c r="C1462" s="17">
        <v>1386</v>
      </c>
      <c r="D1462" s="16">
        <v>34872</v>
      </c>
      <c r="E1462" s="18"/>
      <c r="F1462" s="18" t="s">
        <v>4834</v>
      </c>
      <c r="G1462" s="18" t="s">
        <v>4835</v>
      </c>
      <c r="H1462" s="18" t="s">
        <v>95</v>
      </c>
      <c r="I1462" s="18" t="s">
        <v>74</v>
      </c>
      <c r="J1462" s="16">
        <v>2025</v>
      </c>
      <c r="K1462" s="18" t="s">
        <v>4836</v>
      </c>
      <c r="L1462" s="16">
        <v>9785206005240</v>
      </c>
      <c r="M1462" s="18" t="s">
        <v>4837</v>
      </c>
      <c r="N1462" s="16">
        <v>224</v>
      </c>
      <c r="O1462" s="19">
        <v>0.36</v>
      </c>
      <c r="P1462" s="16">
        <v>150</v>
      </c>
      <c r="Q1462" s="16">
        <v>220</v>
      </c>
      <c r="R1462" s="16">
        <v>10</v>
      </c>
      <c r="S1462" s="18" t="s">
        <v>43</v>
      </c>
      <c r="T1462" s="18"/>
      <c r="U1462" s="17">
        <v>1000</v>
      </c>
      <c r="V1462" s="18" t="s">
        <v>77</v>
      </c>
      <c r="W1462" s="18" t="s">
        <v>69</v>
      </c>
      <c r="X1462" s="16">
        <v>10</v>
      </c>
      <c r="Y1462" s="43" t="str">
        <f>HYPERLINK("","")</f>
      </c>
      <c r="Z1462" s="18" t="s">
        <v>246</v>
      </c>
      <c r="AS1462" s="1">
        <f>IF($A1462&lt;&gt;0,1,0)</f>
        <v>0</v>
      </c>
      <c r="AT1462" s="1">
        <f>$A1462*$B1462</f>
        <v>0</v>
      </c>
      <c r="AU1462" s="1">
        <f>$A1462*$O1462</f>
        <v>0</v>
      </c>
      <c r="AV1462" s="1">
        <f>IF($R1462=0,0,INT($A1462/$R1462))</f>
        <v>0</v>
      </c>
      <c r="AW1462" s="1">
        <f>$A1462-$AV1462*$R1462</f>
        <v>0</v>
      </c>
    </row>
    <row r="1463" ht="24.95" customHeight="1" outlineLevel="3" s="1" customFormat="1">
      <c r="A1463" s="15"/>
      <c r="B1463" s="16">
        <v>890</v>
      </c>
      <c r="C1463" s="17">
        <v>1246</v>
      </c>
      <c r="D1463" s="16">
        <v>5534</v>
      </c>
      <c r="E1463" s="18"/>
      <c r="F1463" s="18" t="s">
        <v>4838</v>
      </c>
      <c r="G1463" s="18" t="s">
        <v>4839</v>
      </c>
      <c r="H1463" s="18" t="s">
        <v>86</v>
      </c>
      <c r="I1463" s="18" t="s">
        <v>74</v>
      </c>
      <c r="J1463" s="16">
        <v>2025</v>
      </c>
      <c r="K1463" s="18" t="s">
        <v>4840</v>
      </c>
      <c r="L1463" s="16">
        <v>9785961471113</v>
      </c>
      <c r="M1463" s="18" t="s">
        <v>4841</v>
      </c>
      <c r="N1463" s="16">
        <v>414</v>
      </c>
      <c r="O1463" s="19">
        <v>0.78</v>
      </c>
      <c r="P1463" s="16">
        <v>170</v>
      </c>
      <c r="Q1463" s="16">
        <v>240</v>
      </c>
      <c r="R1463" s="16">
        <v>6</v>
      </c>
      <c r="S1463" s="18" t="s">
        <v>123</v>
      </c>
      <c r="T1463" s="18"/>
      <c r="U1463" s="17">
        <v>2000</v>
      </c>
      <c r="V1463" s="18" t="s">
        <v>77</v>
      </c>
      <c r="W1463" s="18" t="s">
        <v>184</v>
      </c>
      <c r="X1463" s="16">
        <v>10</v>
      </c>
      <c r="Y1463" s="43" t="str">
        <f>HYPERLINK("https://api-enni.alpina.ru/FilePrivilegesApproval/2","https://api-enni.alpina.ru/FilePrivilegesApproval/2")</f>
        <v>https://api-enni.alpina.ru/FilePrivilegesApproval/2</v>
      </c>
      <c r="Z1463" s="18"/>
      <c r="AS1463" s="1">
        <f>IF($A1463&lt;&gt;0,1,0)</f>
        <v>0</v>
      </c>
      <c r="AT1463" s="1">
        <f>$A1463*$B1463</f>
        <v>0</v>
      </c>
      <c r="AU1463" s="1">
        <f>$A1463*$O1463</f>
        <v>0</v>
      </c>
      <c r="AV1463" s="1">
        <f>IF($R1463=0,0,INT($A1463/$R1463))</f>
        <v>0</v>
      </c>
      <c r="AW1463" s="1">
        <f>$A1463-$AV1463*$R1463</f>
        <v>0</v>
      </c>
    </row>
    <row r="1464" ht="21.95" customHeight="1" outlineLevel="3" s="1" customFormat="1">
      <c r="A1464" s="15"/>
      <c r="B1464" s="16">
        <v>890</v>
      </c>
      <c r="C1464" s="17">
        <v>1246</v>
      </c>
      <c r="D1464" s="16">
        <v>7368</v>
      </c>
      <c r="E1464" s="18"/>
      <c r="F1464" s="18" t="s">
        <v>1325</v>
      </c>
      <c r="G1464" s="18" t="s">
        <v>4842</v>
      </c>
      <c r="H1464" s="18" t="s">
        <v>86</v>
      </c>
      <c r="I1464" s="18" t="s">
        <v>74</v>
      </c>
      <c r="J1464" s="16">
        <v>2026</v>
      </c>
      <c r="K1464" s="18" t="s">
        <v>4843</v>
      </c>
      <c r="L1464" s="16">
        <v>9785961469844</v>
      </c>
      <c r="M1464" s="18" t="s">
        <v>4844</v>
      </c>
      <c r="N1464" s="16">
        <v>336</v>
      </c>
      <c r="O1464" s="19">
        <v>0.58</v>
      </c>
      <c r="P1464" s="16">
        <v>168</v>
      </c>
      <c r="Q1464" s="16">
        <v>241</v>
      </c>
      <c r="R1464" s="16">
        <v>10</v>
      </c>
      <c r="S1464" s="18" t="s">
        <v>123</v>
      </c>
      <c r="T1464" s="18"/>
      <c r="U1464" s="17">
        <v>1000</v>
      </c>
      <c r="V1464" s="18" t="s">
        <v>77</v>
      </c>
      <c r="W1464" s="18" t="s">
        <v>184</v>
      </c>
      <c r="X1464" s="16">
        <v>10</v>
      </c>
      <c r="Y1464" s="43" t="str">
        <f>HYPERLINK("","")</f>
      </c>
      <c r="Z1464" s="18" t="s">
        <v>246</v>
      </c>
      <c r="AS1464" s="1">
        <f>IF($A1464&lt;&gt;0,1,0)</f>
        <v>0</v>
      </c>
      <c r="AT1464" s="1">
        <f>$A1464*$B1464</f>
        <v>0</v>
      </c>
      <c r="AU1464" s="1">
        <f>$A1464*$O1464</f>
        <v>0</v>
      </c>
      <c r="AV1464" s="1">
        <f>IF($R1464=0,0,INT($A1464/$R1464))</f>
        <v>0</v>
      </c>
      <c r="AW1464" s="1">
        <f>$A1464-$AV1464*$R1464</f>
        <v>0</v>
      </c>
    </row>
    <row r="1465" ht="24.95" customHeight="1" outlineLevel="3" s="1" customFormat="1">
      <c r="A1465" s="15"/>
      <c r="B1465" s="16">
        <v>740</v>
      </c>
      <c r="C1465" s="17">
        <v>1073</v>
      </c>
      <c r="D1465" s="16">
        <v>7655</v>
      </c>
      <c r="E1465" s="18"/>
      <c r="F1465" s="18" t="s">
        <v>1325</v>
      </c>
      <c r="G1465" s="18" t="s">
        <v>4845</v>
      </c>
      <c r="H1465" s="18" t="s">
        <v>86</v>
      </c>
      <c r="I1465" s="18" t="s">
        <v>74</v>
      </c>
      <c r="J1465" s="16">
        <v>2025</v>
      </c>
      <c r="K1465" s="18" t="s">
        <v>4846</v>
      </c>
      <c r="L1465" s="16">
        <v>9785961465242</v>
      </c>
      <c r="M1465" s="18" t="s">
        <v>4847</v>
      </c>
      <c r="N1465" s="16">
        <v>336</v>
      </c>
      <c r="O1465" s="19">
        <v>0.53</v>
      </c>
      <c r="P1465" s="16">
        <v>160</v>
      </c>
      <c r="Q1465" s="16">
        <v>240</v>
      </c>
      <c r="R1465" s="16">
        <v>7</v>
      </c>
      <c r="S1465" s="18" t="s">
        <v>123</v>
      </c>
      <c r="T1465" s="18"/>
      <c r="U1465" s="17">
        <v>4000</v>
      </c>
      <c r="V1465" s="18" t="s">
        <v>44</v>
      </c>
      <c r="W1465" s="18" t="s">
        <v>184</v>
      </c>
      <c r="X1465" s="16">
        <v>10</v>
      </c>
      <c r="Y1465" s="43" t="str">
        <f>HYPERLINK("https://api-enni.alpina.ru/FilePrivilegesApproval/2","https://api-enni.alpina.ru/FilePrivilegesApproval/2")</f>
        <v>https://api-enni.alpina.ru/FilePrivilegesApproval/2</v>
      </c>
      <c r="Z1465" s="18"/>
      <c r="AS1465" s="1">
        <f>IF($A1465&lt;&gt;0,1,0)</f>
        <v>0</v>
      </c>
      <c r="AT1465" s="1">
        <f>$A1465*$B1465</f>
        <v>0</v>
      </c>
      <c r="AU1465" s="1">
        <f>$A1465*$O1465</f>
        <v>0</v>
      </c>
      <c r="AV1465" s="1">
        <f>IF($R1465=0,0,INT($A1465/$R1465))</f>
        <v>0</v>
      </c>
      <c r="AW1465" s="1">
        <f>$A1465-$AV1465*$R1465</f>
        <v>0</v>
      </c>
    </row>
    <row r="1466" ht="24.95" customHeight="1" outlineLevel="3" s="1" customFormat="1">
      <c r="A1466" s="15"/>
      <c r="B1466" s="17">
        <v>1990</v>
      </c>
      <c r="C1466" s="17">
        <v>2587</v>
      </c>
      <c r="D1466" s="16">
        <v>22929</v>
      </c>
      <c r="E1466" s="18"/>
      <c r="F1466" s="18" t="s">
        <v>4848</v>
      </c>
      <c r="G1466" s="18" t="s">
        <v>4849</v>
      </c>
      <c r="H1466" s="18" t="s">
        <v>86</v>
      </c>
      <c r="I1466" s="18" t="s">
        <v>74</v>
      </c>
      <c r="J1466" s="16">
        <v>2025</v>
      </c>
      <c r="K1466" s="18" t="s">
        <v>4850</v>
      </c>
      <c r="L1466" s="16">
        <v>9785961464160</v>
      </c>
      <c r="M1466" s="18" t="s">
        <v>4851</v>
      </c>
      <c r="N1466" s="16">
        <v>322</v>
      </c>
      <c r="O1466" s="19">
        <v>0.78</v>
      </c>
      <c r="P1466" s="16">
        <v>200</v>
      </c>
      <c r="Q1466" s="16">
        <v>240</v>
      </c>
      <c r="R1466" s="16">
        <v>6</v>
      </c>
      <c r="S1466" s="18" t="s">
        <v>328</v>
      </c>
      <c r="T1466" s="18" t="s">
        <v>816</v>
      </c>
      <c r="U1466" s="17">
        <v>1500</v>
      </c>
      <c r="V1466" s="18" t="s">
        <v>44</v>
      </c>
      <c r="W1466" s="18" t="s">
        <v>184</v>
      </c>
      <c r="X1466" s="16">
        <v>10</v>
      </c>
      <c r="Y1466" s="43" t="str">
        <f>HYPERLINK("https://api-enni.alpina.ru/FilePrivilegesApproval/152","https://api-enni.alpina.ru/FilePrivilegesApproval/152")</f>
        <v>https://api-enni.alpina.ru/FilePrivilegesApproval/152</v>
      </c>
      <c r="Z1466" s="18"/>
      <c r="AS1466" s="1">
        <f>IF($A1466&lt;&gt;0,1,0)</f>
        <v>0</v>
      </c>
      <c r="AT1466" s="1">
        <f>$A1466*$B1466</f>
        <v>0</v>
      </c>
      <c r="AU1466" s="1">
        <f>$A1466*$O1466</f>
        <v>0</v>
      </c>
      <c r="AV1466" s="1">
        <f>IF($R1466=0,0,INT($A1466/$R1466))</f>
        <v>0</v>
      </c>
      <c r="AW1466" s="1">
        <f>$A1466-$AV1466*$R1466</f>
        <v>0</v>
      </c>
    </row>
    <row r="1467" ht="24.95" customHeight="1" outlineLevel="3" s="1" customFormat="1">
      <c r="A1467" s="15"/>
      <c r="B1467" s="17">
        <v>1190</v>
      </c>
      <c r="C1467" s="17">
        <v>1606</v>
      </c>
      <c r="D1467" s="16">
        <v>22705</v>
      </c>
      <c r="E1467" s="18"/>
      <c r="F1467" s="18" t="s">
        <v>4852</v>
      </c>
      <c r="G1467" s="18" t="s">
        <v>4853</v>
      </c>
      <c r="H1467" s="18" t="s">
        <v>95</v>
      </c>
      <c r="I1467" s="18"/>
      <c r="J1467" s="16">
        <v>2025</v>
      </c>
      <c r="K1467" s="18" t="s">
        <v>4854</v>
      </c>
      <c r="L1467" s="16">
        <v>9785907274495</v>
      </c>
      <c r="M1467" s="18" t="s">
        <v>4855</v>
      </c>
      <c r="N1467" s="16">
        <v>408</v>
      </c>
      <c r="O1467" s="19">
        <v>0.77</v>
      </c>
      <c r="P1467" s="16">
        <v>170</v>
      </c>
      <c r="Q1467" s="16">
        <v>240</v>
      </c>
      <c r="R1467" s="16">
        <v>28</v>
      </c>
      <c r="S1467" s="18" t="s">
        <v>123</v>
      </c>
      <c r="T1467" s="18"/>
      <c r="U1467" s="17">
        <v>1000</v>
      </c>
      <c r="V1467" s="18" t="s">
        <v>77</v>
      </c>
      <c r="W1467" s="18" t="s">
        <v>91</v>
      </c>
      <c r="X1467" s="16">
        <v>10</v>
      </c>
      <c r="Y1467" s="43" t="str">
        <f>HYPERLINK("https://api-enni.alpina.ru/FilePrivilegesApproval/114","https://api-enni.alpina.ru/FilePrivilegesApproval/114")</f>
        <v>https://api-enni.alpina.ru/FilePrivilegesApproval/114</v>
      </c>
      <c r="Z1467" s="18"/>
      <c r="AS1467" s="1">
        <f>IF($A1467&lt;&gt;0,1,0)</f>
        <v>0</v>
      </c>
      <c r="AT1467" s="1">
        <f>$A1467*$B1467</f>
        <v>0</v>
      </c>
      <c r="AU1467" s="1">
        <f>$A1467*$O1467</f>
        <v>0</v>
      </c>
      <c r="AV1467" s="1">
        <f>IF($R1467=0,0,INT($A1467/$R1467))</f>
        <v>0</v>
      </c>
      <c r="AW1467" s="1">
        <f>$A1467-$AV1467*$R1467</f>
        <v>0</v>
      </c>
    </row>
    <row r="1468" ht="24.95" customHeight="1" outlineLevel="3" s="1" customFormat="1">
      <c r="A1468" s="15"/>
      <c r="B1468" s="16">
        <v>890</v>
      </c>
      <c r="C1468" s="17">
        <v>1246</v>
      </c>
      <c r="D1468" s="16">
        <v>32713</v>
      </c>
      <c r="E1468" s="18"/>
      <c r="F1468" s="18" t="s">
        <v>4856</v>
      </c>
      <c r="G1468" s="18" t="s">
        <v>4857</v>
      </c>
      <c r="H1468" s="18" t="s">
        <v>95</v>
      </c>
      <c r="I1468" s="18"/>
      <c r="J1468" s="16">
        <v>2025</v>
      </c>
      <c r="K1468" s="18" t="s">
        <v>4858</v>
      </c>
      <c r="L1468" s="16">
        <v>9785206004328</v>
      </c>
      <c r="M1468" s="18" t="s">
        <v>4859</v>
      </c>
      <c r="N1468" s="16">
        <v>248</v>
      </c>
      <c r="O1468" s="19">
        <v>0.4</v>
      </c>
      <c r="P1468" s="16">
        <v>150</v>
      </c>
      <c r="Q1468" s="16">
        <v>220</v>
      </c>
      <c r="R1468" s="16">
        <v>10</v>
      </c>
      <c r="S1468" s="18" t="s">
        <v>43</v>
      </c>
      <c r="T1468" s="18"/>
      <c r="U1468" s="17">
        <v>1000</v>
      </c>
      <c r="V1468" s="18" t="s">
        <v>77</v>
      </c>
      <c r="W1468" s="18" t="s">
        <v>69</v>
      </c>
      <c r="X1468" s="16">
        <v>10</v>
      </c>
      <c r="Y1468" s="43" t="str">
        <f>HYPERLINK("https://api-enni.alpina.ru/FilePrivilegesApproval/920","https://api-enni.alpina.ru/FilePrivilegesApproval/920")</f>
        <v>https://api-enni.alpina.ru/FilePrivilegesApproval/920</v>
      </c>
      <c r="Z1468" s="18"/>
      <c r="AS1468" s="1">
        <f>IF($A1468&lt;&gt;0,1,0)</f>
        <v>0</v>
      </c>
      <c r="AT1468" s="1">
        <f>$A1468*$B1468</f>
        <v>0</v>
      </c>
      <c r="AU1468" s="1">
        <f>$A1468*$O1468</f>
        <v>0</v>
      </c>
      <c r="AV1468" s="1">
        <f>IF($R1468=0,0,INT($A1468/$R1468))</f>
        <v>0</v>
      </c>
      <c r="AW1468" s="1">
        <f>$A1468-$AV1468*$R1468</f>
        <v>0</v>
      </c>
    </row>
    <row r="1469" ht="24.95" customHeight="1" outlineLevel="3" s="1" customFormat="1">
      <c r="A1469" s="15"/>
      <c r="B1469" s="16">
        <v>940</v>
      </c>
      <c r="C1469" s="17">
        <v>1316</v>
      </c>
      <c r="D1469" s="16">
        <v>30716</v>
      </c>
      <c r="E1469" s="18"/>
      <c r="F1469" s="18" t="s">
        <v>4860</v>
      </c>
      <c r="G1469" s="18" t="s">
        <v>4861</v>
      </c>
      <c r="H1469" s="18" t="s">
        <v>95</v>
      </c>
      <c r="I1469" s="18" t="s">
        <v>74</v>
      </c>
      <c r="J1469" s="16">
        <v>2024</v>
      </c>
      <c r="K1469" s="18" t="s">
        <v>4862</v>
      </c>
      <c r="L1469" s="16">
        <v>9785206003369</v>
      </c>
      <c r="M1469" s="18" t="s">
        <v>4863</v>
      </c>
      <c r="N1469" s="16">
        <v>400</v>
      </c>
      <c r="O1469" s="19">
        <v>0.56</v>
      </c>
      <c r="P1469" s="16">
        <v>150</v>
      </c>
      <c r="Q1469" s="16">
        <v>220</v>
      </c>
      <c r="R1469" s="16">
        <v>4</v>
      </c>
      <c r="S1469" s="18" t="s">
        <v>43</v>
      </c>
      <c r="T1469" s="18"/>
      <c r="U1469" s="17">
        <v>1500</v>
      </c>
      <c r="V1469" s="18" t="s">
        <v>77</v>
      </c>
      <c r="W1469" s="18" t="s">
        <v>45</v>
      </c>
      <c r="X1469" s="16">
        <v>10</v>
      </c>
      <c r="Y1469" s="43" t="str">
        <f>HYPERLINK("https://api-enni.alpina.ru/FilePrivilegesApproval/541","https://api-enni.alpina.ru/FilePrivilegesApproval/541")</f>
        <v>https://api-enni.alpina.ru/FilePrivilegesApproval/541</v>
      </c>
      <c r="Z1469" s="18"/>
      <c r="AS1469" s="1">
        <f>IF($A1469&lt;&gt;0,1,0)</f>
        <v>0</v>
      </c>
      <c r="AT1469" s="1">
        <f>$A1469*$B1469</f>
        <v>0</v>
      </c>
      <c r="AU1469" s="1">
        <f>$A1469*$O1469</f>
        <v>0</v>
      </c>
      <c r="AV1469" s="1">
        <f>IF($R1469=0,0,INT($A1469/$R1469))</f>
        <v>0</v>
      </c>
      <c r="AW1469" s="1">
        <f>$A1469-$AV1469*$R1469</f>
        <v>0</v>
      </c>
    </row>
    <row r="1470" ht="24.95" customHeight="1" outlineLevel="3" s="1" customFormat="1">
      <c r="A1470" s="15"/>
      <c r="B1470" s="16">
        <v>990</v>
      </c>
      <c r="C1470" s="17">
        <v>1386</v>
      </c>
      <c r="D1470" s="16">
        <v>5291</v>
      </c>
      <c r="E1470" s="18"/>
      <c r="F1470" s="18" t="s">
        <v>4864</v>
      </c>
      <c r="G1470" s="18" t="s">
        <v>4865</v>
      </c>
      <c r="H1470" s="18" t="s">
        <v>86</v>
      </c>
      <c r="I1470" s="18" t="s">
        <v>74</v>
      </c>
      <c r="J1470" s="16">
        <v>2025</v>
      </c>
      <c r="K1470" s="18" t="s">
        <v>4866</v>
      </c>
      <c r="L1470" s="16">
        <v>9785961463972</v>
      </c>
      <c r="M1470" s="18" t="s">
        <v>4867</v>
      </c>
      <c r="N1470" s="16">
        <v>214</v>
      </c>
      <c r="O1470" s="19">
        <v>0.37</v>
      </c>
      <c r="P1470" s="16">
        <v>153</v>
      </c>
      <c r="Q1470" s="16">
        <v>216</v>
      </c>
      <c r="R1470" s="16">
        <v>10</v>
      </c>
      <c r="S1470" s="18" t="s">
        <v>43</v>
      </c>
      <c r="T1470" s="18"/>
      <c r="U1470" s="17">
        <v>1000</v>
      </c>
      <c r="V1470" s="18" t="s">
        <v>77</v>
      </c>
      <c r="W1470" s="18" t="s">
        <v>184</v>
      </c>
      <c r="X1470" s="16">
        <v>10</v>
      </c>
      <c r="Y1470" s="43" t="str">
        <f>HYPERLINK("https://api-enni.alpina.ru/FilePrivilegesApproval/2","https://api-enni.alpina.ru/FilePrivilegesApproval/2")</f>
        <v>https://api-enni.alpina.ru/FilePrivilegesApproval/2</v>
      </c>
      <c r="Z1470" s="18"/>
      <c r="AS1470" s="1">
        <f>IF($A1470&lt;&gt;0,1,0)</f>
        <v>0</v>
      </c>
      <c r="AT1470" s="1">
        <f>$A1470*$B1470</f>
        <v>0</v>
      </c>
      <c r="AU1470" s="1">
        <f>$A1470*$O1470</f>
        <v>0</v>
      </c>
      <c r="AV1470" s="1">
        <f>IF($R1470=0,0,INT($A1470/$R1470))</f>
        <v>0</v>
      </c>
      <c r="AW1470" s="1">
        <f>$A1470-$AV1470*$R1470</f>
        <v>0</v>
      </c>
    </row>
    <row r="1471" ht="24.95" customHeight="1" outlineLevel="3" s="1" customFormat="1">
      <c r="A1471" s="15"/>
      <c r="B1471" s="16">
        <v>790</v>
      </c>
      <c r="C1471" s="17">
        <v>1146</v>
      </c>
      <c r="D1471" s="16">
        <v>24227</v>
      </c>
      <c r="E1471" s="18"/>
      <c r="F1471" s="18" t="s">
        <v>4868</v>
      </c>
      <c r="G1471" s="18" t="s">
        <v>4869</v>
      </c>
      <c r="H1471" s="18" t="s">
        <v>95</v>
      </c>
      <c r="I1471" s="18" t="s">
        <v>74</v>
      </c>
      <c r="J1471" s="16">
        <v>2021</v>
      </c>
      <c r="K1471" s="18" t="s">
        <v>4870</v>
      </c>
      <c r="L1471" s="16">
        <v>9785907470583</v>
      </c>
      <c r="M1471" s="18" t="s">
        <v>4871</v>
      </c>
      <c r="N1471" s="16">
        <v>192</v>
      </c>
      <c r="O1471" s="19">
        <v>0.33</v>
      </c>
      <c r="P1471" s="16">
        <v>146</v>
      </c>
      <c r="Q1471" s="16">
        <v>216</v>
      </c>
      <c r="R1471" s="16">
        <v>12</v>
      </c>
      <c r="S1471" s="18" t="s">
        <v>43</v>
      </c>
      <c r="T1471" s="18"/>
      <c r="U1471" s="17">
        <v>1500</v>
      </c>
      <c r="V1471" s="18" t="s">
        <v>77</v>
      </c>
      <c r="W1471" s="18" t="s">
        <v>91</v>
      </c>
      <c r="X1471" s="16">
        <v>10</v>
      </c>
      <c r="Y1471" s="43" t="str">
        <f>HYPERLINK("https://api-enni.alpina.ru/FilePrivilegesApproval/129","https://api-enni.alpina.ru/FilePrivilegesApproval/129")</f>
        <v>https://api-enni.alpina.ru/FilePrivilegesApproval/129</v>
      </c>
      <c r="Z1471" s="18"/>
      <c r="AS1471" s="1">
        <f>IF($A1471&lt;&gt;0,1,0)</f>
        <v>0</v>
      </c>
      <c r="AT1471" s="1">
        <f>$A1471*$B1471</f>
        <v>0</v>
      </c>
      <c r="AU1471" s="1">
        <f>$A1471*$O1471</f>
        <v>0</v>
      </c>
      <c r="AV1471" s="1">
        <f>IF($R1471=0,0,INT($A1471/$R1471))</f>
        <v>0</v>
      </c>
      <c r="AW1471" s="1">
        <f>$A1471-$AV1471*$R1471</f>
        <v>0</v>
      </c>
    </row>
    <row r="1472" ht="24.95" customHeight="1" outlineLevel="3" s="1" customFormat="1">
      <c r="A1472" s="15"/>
      <c r="B1472" s="16">
        <v>740</v>
      </c>
      <c r="C1472" s="17">
        <v>1073</v>
      </c>
      <c r="D1472" s="16">
        <v>33129</v>
      </c>
      <c r="E1472" s="18"/>
      <c r="F1472" s="18" t="s">
        <v>4597</v>
      </c>
      <c r="G1472" s="18" t="s">
        <v>4872</v>
      </c>
      <c r="H1472" s="18" t="s">
        <v>95</v>
      </c>
      <c r="I1472" s="18"/>
      <c r="J1472" s="16">
        <v>2025</v>
      </c>
      <c r="K1472" s="18" t="s">
        <v>4873</v>
      </c>
      <c r="L1472" s="16">
        <v>9785206004595</v>
      </c>
      <c r="M1472" s="18" t="s">
        <v>4874</v>
      </c>
      <c r="N1472" s="16">
        <v>160</v>
      </c>
      <c r="O1472" s="19">
        <v>0.22</v>
      </c>
      <c r="P1472" s="16">
        <v>150</v>
      </c>
      <c r="Q1472" s="16">
        <v>210</v>
      </c>
      <c r="R1472" s="16">
        <v>22</v>
      </c>
      <c r="S1472" s="18" t="s">
        <v>43</v>
      </c>
      <c r="T1472" s="18"/>
      <c r="U1472" s="17">
        <v>1505</v>
      </c>
      <c r="V1472" s="18" t="s">
        <v>44</v>
      </c>
      <c r="W1472" s="18" t="s">
        <v>91</v>
      </c>
      <c r="X1472" s="16">
        <v>10</v>
      </c>
      <c r="Y1472" s="43" t="str">
        <f>HYPERLINK("https://api-enni.alpina.ru/FilePrivilegesApproval/872","https://api-enni.alpina.ru/FilePrivilegesApproval/872")</f>
        <v>https://api-enni.alpina.ru/FilePrivilegesApproval/872</v>
      </c>
      <c r="Z1472" s="18"/>
      <c r="AS1472" s="1">
        <f>IF($A1472&lt;&gt;0,1,0)</f>
        <v>0</v>
      </c>
      <c r="AT1472" s="1">
        <f>$A1472*$B1472</f>
        <v>0</v>
      </c>
      <c r="AU1472" s="1">
        <f>$A1472*$O1472</f>
        <v>0</v>
      </c>
      <c r="AV1472" s="1">
        <f>IF($R1472=0,0,INT($A1472/$R1472))</f>
        <v>0</v>
      </c>
      <c r="AW1472" s="1">
        <f>$A1472-$AV1472*$R1472</f>
        <v>0</v>
      </c>
    </row>
    <row r="1473" ht="24.95" customHeight="1" outlineLevel="3" s="1" customFormat="1">
      <c r="A1473" s="15"/>
      <c r="B1473" s="16">
        <v>990</v>
      </c>
      <c r="C1473" s="17">
        <v>1386</v>
      </c>
      <c r="D1473" s="16">
        <v>18525</v>
      </c>
      <c r="E1473" s="18"/>
      <c r="F1473" s="18" t="s">
        <v>4875</v>
      </c>
      <c r="G1473" s="18" t="s">
        <v>4876</v>
      </c>
      <c r="H1473" s="18" t="s">
        <v>95</v>
      </c>
      <c r="I1473" s="18" t="s">
        <v>74</v>
      </c>
      <c r="J1473" s="16">
        <v>2021</v>
      </c>
      <c r="K1473" s="18" t="s">
        <v>4877</v>
      </c>
      <c r="L1473" s="16">
        <v>9785907274914</v>
      </c>
      <c r="M1473" s="18" t="s">
        <v>4878</v>
      </c>
      <c r="N1473" s="16">
        <v>232</v>
      </c>
      <c r="O1473" s="19">
        <v>0.5</v>
      </c>
      <c r="P1473" s="16">
        <v>168</v>
      </c>
      <c r="Q1473" s="16">
        <v>241</v>
      </c>
      <c r="R1473" s="16">
        <v>7</v>
      </c>
      <c r="S1473" s="18" t="s">
        <v>123</v>
      </c>
      <c r="T1473" s="18"/>
      <c r="U1473" s="17">
        <v>4000</v>
      </c>
      <c r="V1473" s="18" t="s">
        <v>77</v>
      </c>
      <c r="W1473" s="18" t="s">
        <v>91</v>
      </c>
      <c r="X1473" s="16">
        <v>10</v>
      </c>
      <c r="Y1473" s="43" t="str">
        <f>HYPERLINK("https://api-enni.alpina.ru/FilePrivilegesApproval/199","https://api-enni.alpina.ru/FilePrivilegesApproval/199")</f>
        <v>https://api-enni.alpina.ru/FilePrivilegesApproval/199</v>
      </c>
      <c r="Z1473" s="18"/>
      <c r="AS1473" s="1">
        <f>IF($A1473&lt;&gt;0,1,0)</f>
        <v>0</v>
      </c>
      <c r="AT1473" s="1">
        <f>$A1473*$B1473</f>
        <v>0</v>
      </c>
      <c r="AU1473" s="1">
        <f>$A1473*$O1473</f>
        <v>0</v>
      </c>
      <c r="AV1473" s="1">
        <f>IF($R1473=0,0,INT($A1473/$R1473))</f>
        <v>0</v>
      </c>
      <c r="AW1473" s="1">
        <f>$A1473-$AV1473*$R1473</f>
        <v>0</v>
      </c>
    </row>
    <row r="1474" ht="24.95" customHeight="1" outlineLevel="3" s="1" customFormat="1">
      <c r="A1474" s="15"/>
      <c r="B1474" s="17">
        <v>1610</v>
      </c>
      <c r="C1474" s="17">
        <v>2093</v>
      </c>
      <c r="D1474" s="16">
        <v>4074</v>
      </c>
      <c r="E1474" s="18"/>
      <c r="F1474" s="18" t="s">
        <v>4879</v>
      </c>
      <c r="G1474" s="18" t="s">
        <v>4880</v>
      </c>
      <c r="H1474" s="18" t="s">
        <v>86</v>
      </c>
      <c r="I1474" s="18" t="s">
        <v>87</v>
      </c>
      <c r="J1474" s="15"/>
      <c r="K1474" s="18" t="s">
        <v>4881</v>
      </c>
      <c r="L1474" s="16">
        <v>9785961446272</v>
      </c>
      <c r="M1474" s="18" t="s">
        <v>4882</v>
      </c>
      <c r="N1474" s="16">
        <v>368</v>
      </c>
      <c r="O1474" s="19">
        <v>0.7</v>
      </c>
      <c r="P1474" s="16">
        <v>168</v>
      </c>
      <c r="Q1474" s="16">
        <v>241</v>
      </c>
      <c r="R1474" s="16">
        <v>6</v>
      </c>
      <c r="S1474" s="18" t="s">
        <v>123</v>
      </c>
      <c r="T1474" s="18"/>
      <c r="U1474" s="17">
        <v>1524</v>
      </c>
      <c r="V1474" s="18" t="s">
        <v>77</v>
      </c>
      <c r="W1474" s="18" t="s">
        <v>184</v>
      </c>
      <c r="X1474" s="16">
        <v>10</v>
      </c>
      <c r="Y1474" s="43" t="str">
        <f>HYPERLINK("https://api-enni.alpina.ru/FilePrivilegesApproval/2","https://api-enni.alpina.ru/FilePrivilegesApproval/2")</f>
        <v>https://api-enni.alpina.ru/FilePrivilegesApproval/2</v>
      </c>
      <c r="Z1474" s="18"/>
      <c r="AS1474" s="1">
        <f>IF($A1474&lt;&gt;0,1,0)</f>
        <v>0</v>
      </c>
      <c r="AT1474" s="1">
        <f>$A1474*$B1474</f>
        <v>0</v>
      </c>
      <c r="AU1474" s="1">
        <f>$A1474*$O1474</f>
        <v>0</v>
      </c>
      <c r="AV1474" s="1">
        <f>IF($R1474=0,0,INT($A1474/$R1474))</f>
        <v>0</v>
      </c>
      <c r="AW1474" s="1">
        <f>$A1474-$AV1474*$R1474</f>
        <v>0</v>
      </c>
    </row>
    <row r="1475" ht="24.95" customHeight="1" outlineLevel="3" s="1" customFormat="1">
      <c r="A1475" s="15"/>
      <c r="B1475" s="16">
        <v>790</v>
      </c>
      <c r="C1475" s="17">
        <v>1146</v>
      </c>
      <c r="D1475" s="16">
        <v>22876</v>
      </c>
      <c r="E1475" s="18"/>
      <c r="F1475" s="18" t="s">
        <v>4883</v>
      </c>
      <c r="G1475" s="18" t="s">
        <v>4884</v>
      </c>
      <c r="H1475" s="18" t="s">
        <v>95</v>
      </c>
      <c r="I1475" s="18"/>
      <c r="J1475" s="16">
        <v>2021</v>
      </c>
      <c r="K1475" s="18" t="s">
        <v>4885</v>
      </c>
      <c r="L1475" s="16">
        <v>9785907394858</v>
      </c>
      <c r="M1475" s="18" t="s">
        <v>4886</v>
      </c>
      <c r="N1475" s="16">
        <v>208</v>
      </c>
      <c r="O1475" s="19">
        <v>0.35</v>
      </c>
      <c r="P1475" s="16">
        <v>146</v>
      </c>
      <c r="Q1475" s="16">
        <v>216</v>
      </c>
      <c r="R1475" s="16">
        <v>12</v>
      </c>
      <c r="S1475" s="18" t="s">
        <v>43</v>
      </c>
      <c r="T1475" s="18"/>
      <c r="U1475" s="17">
        <v>1200</v>
      </c>
      <c r="V1475" s="18" t="s">
        <v>77</v>
      </c>
      <c r="W1475" s="18" t="s">
        <v>91</v>
      </c>
      <c r="X1475" s="16">
        <v>10</v>
      </c>
      <c r="Y1475" s="43" t="str">
        <f>HYPERLINK("https://api-enni.alpina.ru/FilePrivilegesApproval/114","https://api-enni.alpina.ru/FilePrivilegesApproval/114")</f>
        <v>https://api-enni.alpina.ru/FilePrivilegesApproval/114</v>
      </c>
      <c r="Z1475" s="18"/>
      <c r="AS1475" s="1">
        <f>IF($A1475&lt;&gt;0,1,0)</f>
        <v>0</v>
      </c>
      <c r="AT1475" s="1">
        <f>$A1475*$B1475</f>
        <v>0</v>
      </c>
      <c r="AU1475" s="1">
        <f>$A1475*$O1475</f>
        <v>0</v>
      </c>
      <c r="AV1475" s="1">
        <f>IF($R1475=0,0,INT($A1475/$R1475))</f>
        <v>0</v>
      </c>
      <c r="AW1475" s="1">
        <f>$A1475-$AV1475*$R1475</f>
        <v>0</v>
      </c>
    </row>
    <row r="1476" ht="24.95" customHeight="1" outlineLevel="3" s="1" customFormat="1">
      <c r="A1476" s="15"/>
      <c r="B1476" s="16">
        <v>790</v>
      </c>
      <c r="C1476" s="17">
        <v>1146</v>
      </c>
      <c r="D1476" s="16">
        <v>26989</v>
      </c>
      <c r="E1476" s="18"/>
      <c r="F1476" s="18" t="s">
        <v>4887</v>
      </c>
      <c r="G1476" s="18" t="s">
        <v>4888</v>
      </c>
      <c r="H1476" s="18" t="s">
        <v>86</v>
      </c>
      <c r="I1476" s="18" t="s">
        <v>74</v>
      </c>
      <c r="J1476" s="16">
        <v>2025</v>
      </c>
      <c r="K1476" s="18" t="s">
        <v>4889</v>
      </c>
      <c r="L1476" s="16">
        <v>9785961483635</v>
      </c>
      <c r="M1476" s="18" t="s">
        <v>4890</v>
      </c>
      <c r="N1476" s="16">
        <v>344</v>
      </c>
      <c r="O1476" s="19">
        <v>0.54</v>
      </c>
      <c r="P1476" s="16">
        <v>170</v>
      </c>
      <c r="Q1476" s="16">
        <v>240</v>
      </c>
      <c r="R1476" s="16">
        <v>8</v>
      </c>
      <c r="S1476" s="18" t="s">
        <v>123</v>
      </c>
      <c r="T1476" s="18"/>
      <c r="U1476" s="17">
        <v>2000</v>
      </c>
      <c r="V1476" s="18" t="s">
        <v>44</v>
      </c>
      <c r="W1476" s="18" t="s">
        <v>55</v>
      </c>
      <c r="X1476" s="16">
        <v>10</v>
      </c>
      <c r="Y1476" s="43" t="str">
        <f>HYPERLINK("https://api-enni.alpina.ru/FilePrivilegesApproval/164","https://api-enni.alpina.ru/FilePrivilegesApproval/164")</f>
        <v>https://api-enni.alpina.ru/FilePrivilegesApproval/164</v>
      </c>
      <c r="Z1476" s="18"/>
      <c r="AS1476" s="1">
        <f>IF($A1476&lt;&gt;0,1,0)</f>
        <v>0</v>
      </c>
      <c r="AT1476" s="1">
        <f>$A1476*$B1476</f>
        <v>0</v>
      </c>
      <c r="AU1476" s="1">
        <f>$A1476*$O1476</f>
        <v>0</v>
      </c>
      <c r="AV1476" s="1">
        <f>IF($R1476=0,0,INT($A1476/$R1476))</f>
        <v>0</v>
      </c>
      <c r="AW1476" s="1">
        <f>$A1476-$AV1476*$R1476</f>
        <v>0</v>
      </c>
    </row>
    <row r="1477" ht="24.95" customHeight="1" outlineLevel="3" s="1" customFormat="1">
      <c r="A1477" s="15"/>
      <c r="B1477" s="16">
        <v>840</v>
      </c>
      <c r="C1477" s="17">
        <v>1218</v>
      </c>
      <c r="D1477" s="16">
        <v>28033</v>
      </c>
      <c r="E1477" s="18"/>
      <c r="F1477" s="18" t="s">
        <v>4891</v>
      </c>
      <c r="G1477" s="18" t="s">
        <v>4892</v>
      </c>
      <c r="H1477" s="18" t="s">
        <v>95</v>
      </c>
      <c r="I1477" s="18"/>
      <c r="J1477" s="16">
        <v>2023</v>
      </c>
      <c r="K1477" s="18" t="s">
        <v>4893</v>
      </c>
      <c r="L1477" s="16">
        <v>9785206001907</v>
      </c>
      <c r="M1477" s="18" t="s">
        <v>4894</v>
      </c>
      <c r="N1477" s="16">
        <v>262</v>
      </c>
      <c r="O1477" s="19">
        <v>0.42</v>
      </c>
      <c r="P1477" s="16">
        <v>150</v>
      </c>
      <c r="Q1477" s="16">
        <v>220</v>
      </c>
      <c r="R1477" s="16">
        <v>5</v>
      </c>
      <c r="S1477" s="18" t="s">
        <v>43</v>
      </c>
      <c r="T1477" s="18"/>
      <c r="U1477" s="17">
        <v>1000</v>
      </c>
      <c r="V1477" s="18" t="s">
        <v>77</v>
      </c>
      <c r="W1477" s="18" t="s">
        <v>69</v>
      </c>
      <c r="X1477" s="16">
        <v>10</v>
      </c>
      <c r="Y1477" s="43" t="str">
        <f>HYPERLINK("https://api-enni.alpina.ru/FilePrivilegesApproval/316","https://api-enni.alpina.ru/FilePrivilegesApproval/316")</f>
        <v>https://api-enni.alpina.ru/FilePrivilegesApproval/316</v>
      </c>
      <c r="Z1477" s="18"/>
      <c r="AS1477" s="1">
        <f>IF($A1477&lt;&gt;0,1,0)</f>
        <v>0</v>
      </c>
      <c r="AT1477" s="1">
        <f>$A1477*$B1477</f>
        <v>0</v>
      </c>
      <c r="AU1477" s="1">
        <f>$A1477*$O1477</f>
        <v>0</v>
      </c>
      <c r="AV1477" s="1">
        <f>IF($R1477=0,0,INT($A1477/$R1477))</f>
        <v>0</v>
      </c>
      <c r="AW1477" s="1">
        <f>$A1477-$AV1477*$R1477</f>
        <v>0</v>
      </c>
    </row>
    <row r="1478" ht="24.95" customHeight="1" outlineLevel="3" s="1" customFormat="1">
      <c r="A1478" s="15"/>
      <c r="B1478" s="17">
        <v>1090</v>
      </c>
      <c r="C1478" s="17">
        <v>1472</v>
      </c>
      <c r="D1478" s="16">
        <v>34375</v>
      </c>
      <c r="E1478" s="18"/>
      <c r="F1478" s="18" t="s">
        <v>964</v>
      </c>
      <c r="G1478" s="18" t="s">
        <v>4895</v>
      </c>
      <c r="H1478" s="18" t="s">
        <v>95</v>
      </c>
      <c r="I1478" s="18" t="s">
        <v>74</v>
      </c>
      <c r="J1478" s="16">
        <v>2025</v>
      </c>
      <c r="K1478" s="18" t="s">
        <v>4896</v>
      </c>
      <c r="L1478" s="16">
        <v>9785206004984</v>
      </c>
      <c r="M1478" s="18" t="s">
        <v>4897</v>
      </c>
      <c r="N1478" s="16">
        <v>288</v>
      </c>
      <c r="O1478" s="19">
        <v>0.44</v>
      </c>
      <c r="P1478" s="16">
        <v>150</v>
      </c>
      <c r="Q1478" s="16">
        <v>220</v>
      </c>
      <c r="R1478" s="16">
        <v>10</v>
      </c>
      <c r="S1478" s="18" t="s">
        <v>43</v>
      </c>
      <c r="T1478" s="18"/>
      <c r="U1478" s="17">
        <v>2000</v>
      </c>
      <c r="V1478" s="18" t="s">
        <v>77</v>
      </c>
      <c r="W1478" s="18" t="s">
        <v>69</v>
      </c>
      <c r="X1478" s="16">
        <v>10</v>
      </c>
      <c r="Y1478" s="43" t="str">
        <f>HYPERLINK("https://api-enni.alpina.ru/FilePrivilegesApproval/984","https://api-enni.alpina.ru/FilePrivilegesApproval/984")</f>
        <v>https://api-enni.alpina.ru/FilePrivilegesApproval/984</v>
      </c>
      <c r="Z1478" s="18"/>
      <c r="AS1478" s="1">
        <f>IF($A1478&lt;&gt;0,1,0)</f>
        <v>0</v>
      </c>
      <c r="AT1478" s="1">
        <f>$A1478*$B1478</f>
        <v>0</v>
      </c>
      <c r="AU1478" s="1">
        <f>$A1478*$O1478</f>
        <v>0</v>
      </c>
      <c r="AV1478" s="1">
        <f>IF($R1478=0,0,INT($A1478/$R1478))</f>
        <v>0</v>
      </c>
      <c r="AW1478" s="1">
        <f>$A1478-$AV1478*$R1478</f>
        <v>0</v>
      </c>
    </row>
    <row r="1479" ht="24.95" customHeight="1" outlineLevel="3" s="1" customFormat="1">
      <c r="A1479" s="15"/>
      <c r="B1479" s="16">
        <v>590</v>
      </c>
      <c r="C1479" s="16">
        <v>885</v>
      </c>
      <c r="D1479" s="16">
        <v>21206</v>
      </c>
      <c r="E1479" s="18"/>
      <c r="F1479" s="18" t="s">
        <v>4898</v>
      </c>
      <c r="G1479" s="18" t="s">
        <v>4899</v>
      </c>
      <c r="H1479" s="18" t="s">
        <v>86</v>
      </c>
      <c r="I1479" s="18" t="s">
        <v>74</v>
      </c>
      <c r="J1479" s="16">
        <v>2023</v>
      </c>
      <c r="K1479" s="18" t="s">
        <v>4900</v>
      </c>
      <c r="L1479" s="16">
        <v>9785961442595</v>
      </c>
      <c r="M1479" s="18" t="s">
        <v>4901</v>
      </c>
      <c r="N1479" s="16">
        <v>328</v>
      </c>
      <c r="O1479" s="19">
        <v>0.5</v>
      </c>
      <c r="P1479" s="16">
        <v>150</v>
      </c>
      <c r="Q1479" s="16">
        <v>220</v>
      </c>
      <c r="R1479" s="16">
        <v>12</v>
      </c>
      <c r="S1479" s="18" t="s">
        <v>43</v>
      </c>
      <c r="T1479" s="18"/>
      <c r="U1479" s="17">
        <v>2000</v>
      </c>
      <c r="V1479" s="18" t="s">
        <v>77</v>
      </c>
      <c r="W1479" s="18" t="s">
        <v>69</v>
      </c>
      <c r="X1479" s="16">
        <v>10</v>
      </c>
      <c r="Y1479" s="43" t="str">
        <f>HYPERLINK("https://api-enni.alpina.ru/FilePrivilegesApproval/177","https://api-enni.alpina.ru/FilePrivilegesApproval/177")</f>
        <v>https://api-enni.alpina.ru/FilePrivilegesApproval/177</v>
      </c>
      <c r="Z1479" s="18"/>
      <c r="AS1479" s="1">
        <f>IF($A1479&lt;&gt;0,1,0)</f>
        <v>0</v>
      </c>
      <c r="AT1479" s="1">
        <f>$A1479*$B1479</f>
        <v>0</v>
      </c>
      <c r="AU1479" s="1">
        <f>$A1479*$O1479</f>
        <v>0</v>
      </c>
      <c r="AV1479" s="1">
        <f>IF($R1479=0,0,INT($A1479/$R1479))</f>
        <v>0</v>
      </c>
      <c r="AW1479" s="1">
        <f>$A1479-$AV1479*$R1479</f>
        <v>0</v>
      </c>
    </row>
    <row r="1480" ht="24.95" customHeight="1" outlineLevel="3" s="1" customFormat="1">
      <c r="A1480" s="15"/>
      <c r="B1480" s="16">
        <v>650</v>
      </c>
      <c r="C1480" s="16">
        <v>975</v>
      </c>
      <c r="D1480" s="16">
        <v>7709</v>
      </c>
      <c r="E1480" s="18"/>
      <c r="F1480" s="18" t="s">
        <v>654</v>
      </c>
      <c r="G1480" s="18" t="s">
        <v>4902</v>
      </c>
      <c r="H1480" s="18" t="s">
        <v>86</v>
      </c>
      <c r="I1480" s="18"/>
      <c r="J1480" s="16">
        <v>2025</v>
      </c>
      <c r="K1480" s="18" t="s">
        <v>4903</v>
      </c>
      <c r="L1480" s="16">
        <v>9785961470192</v>
      </c>
      <c r="M1480" s="18" t="s">
        <v>4904</v>
      </c>
      <c r="N1480" s="16">
        <v>184</v>
      </c>
      <c r="O1480" s="19">
        <v>0.32</v>
      </c>
      <c r="P1480" s="16">
        <v>150</v>
      </c>
      <c r="Q1480" s="16">
        <v>220</v>
      </c>
      <c r="R1480" s="16">
        <v>10</v>
      </c>
      <c r="S1480" s="18" t="s">
        <v>43</v>
      </c>
      <c r="T1480" s="18"/>
      <c r="U1480" s="17">
        <v>1000</v>
      </c>
      <c r="V1480" s="18" t="s">
        <v>77</v>
      </c>
      <c r="W1480" s="18" t="s">
        <v>184</v>
      </c>
      <c r="X1480" s="16">
        <v>10</v>
      </c>
      <c r="Y1480" s="43" t="str">
        <f>HYPERLINK("https://api-enni.alpina.ru/FilePrivilegesApproval/2","https://api-enni.alpina.ru/FilePrivilegesApproval/2")</f>
        <v>https://api-enni.alpina.ru/FilePrivilegesApproval/2</v>
      </c>
      <c r="Z1480" s="18"/>
      <c r="AS1480" s="1">
        <f>IF($A1480&lt;&gt;0,1,0)</f>
        <v>0</v>
      </c>
      <c r="AT1480" s="1">
        <f>$A1480*$B1480</f>
        <v>0</v>
      </c>
      <c r="AU1480" s="1">
        <f>$A1480*$O1480</f>
        <v>0</v>
      </c>
      <c r="AV1480" s="1">
        <f>IF($R1480=0,0,INT($A1480/$R1480))</f>
        <v>0</v>
      </c>
      <c r="AW1480" s="1">
        <f>$A1480-$AV1480*$R1480</f>
        <v>0</v>
      </c>
    </row>
    <row r="1481" ht="24.95" customHeight="1" outlineLevel="3" s="1" customFormat="1">
      <c r="A1481" s="25"/>
      <c r="B1481" s="29">
        <v>1490</v>
      </c>
      <c r="C1481" s="29">
        <v>2012</v>
      </c>
      <c r="D1481" s="26">
        <v>6246</v>
      </c>
      <c r="E1481" s="27"/>
      <c r="F1481" s="27" t="s">
        <v>718</v>
      </c>
      <c r="G1481" s="27" t="s">
        <v>719</v>
      </c>
      <c r="H1481" s="27" t="s">
        <v>86</v>
      </c>
      <c r="I1481" s="27"/>
      <c r="J1481" s="26">
        <v>2026</v>
      </c>
      <c r="K1481" s="27" t="s">
        <v>720</v>
      </c>
      <c r="L1481" s="26">
        <v>9785961470338</v>
      </c>
      <c r="M1481" s="27" t="s">
        <v>721</v>
      </c>
      <c r="N1481" s="26">
        <v>312</v>
      </c>
      <c r="O1481" s="28">
        <v>0.63</v>
      </c>
      <c r="P1481" s="26">
        <v>171</v>
      </c>
      <c r="Q1481" s="26">
        <v>241</v>
      </c>
      <c r="R1481" s="26">
        <v>10</v>
      </c>
      <c r="S1481" s="27" t="s">
        <v>123</v>
      </c>
      <c r="T1481" s="27"/>
      <c r="U1481" s="29">
        <v>1000</v>
      </c>
      <c r="V1481" s="27" t="s">
        <v>77</v>
      </c>
      <c r="W1481" s="27" t="s">
        <v>184</v>
      </c>
      <c r="X1481" s="26">
        <v>10</v>
      </c>
      <c r="Y1481" s="45" t="str">
        <f>HYPERLINK("https://api-enni.alpina.ru/FilePrivilegesApproval/2","https://api-enni.alpina.ru/FilePrivilegesApproval/2")</f>
        <v>https://api-enni.alpina.ru/FilePrivilegesApproval/2</v>
      </c>
      <c r="Z1481" s="27" t="s">
        <v>410</v>
      </c>
      <c r="AS1481" s="1">
        <f>IF($A1481&lt;&gt;0,1,0)</f>
        <v>0</v>
      </c>
      <c r="AT1481" s="1">
        <f>$A1481*$B1481</f>
        <v>0</v>
      </c>
      <c r="AU1481" s="1">
        <f>$A1481*$O1481</f>
        <v>0</v>
      </c>
      <c r="AV1481" s="1">
        <f>IF($R1481=0,0,INT($A1481/$R1481))</f>
        <v>0</v>
      </c>
      <c r="AW1481" s="1">
        <f>$A1481-$AV1481*$R1481</f>
        <v>0</v>
      </c>
    </row>
    <row r="1482" ht="24.95" customHeight="1" outlineLevel="3" s="1" customFormat="1">
      <c r="A1482" s="15"/>
      <c r="B1482" s="16">
        <v>790</v>
      </c>
      <c r="C1482" s="17">
        <v>1146</v>
      </c>
      <c r="D1482" s="16">
        <v>22914</v>
      </c>
      <c r="E1482" s="18"/>
      <c r="F1482" s="18" t="s">
        <v>4905</v>
      </c>
      <c r="G1482" s="18" t="s">
        <v>4906</v>
      </c>
      <c r="H1482" s="18" t="s">
        <v>86</v>
      </c>
      <c r="I1482" s="18"/>
      <c r="J1482" s="16">
        <v>2026</v>
      </c>
      <c r="K1482" s="18" t="s">
        <v>4907</v>
      </c>
      <c r="L1482" s="16">
        <v>9785961472448</v>
      </c>
      <c r="M1482" s="18" t="s">
        <v>4908</v>
      </c>
      <c r="N1482" s="16">
        <v>228</v>
      </c>
      <c r="O1482" s="19">
        <v>0.46</v>
      </c>
      <c r="P1482" s="16">
        <v>150</v>
      </c>
      <c r="Q1482" s="16">
        <v>220</v>
      </c>
      <c r="R1482" s="16">
        <v>10</v>
      </c>
      <c r="S1482" s="18" t="s">
        <v>43</v>
      </c>
      <c r="T1482" s="18"/>
      <c r="U1482" s="17">
        <v>3000</v>
      </c>
      <c r="V1482" s="18" t="s">
        <v>77</v>
      </c>
      <c r="W1482" s="18" t="s">
        <v>91</v>
      </c>
      <c r="X1482" s="16">
        <v>10</v>
      </c>
      <c r="Y1482" s="43" t="str">
        <f>HYPERLINK("https://api-enni.alpina.ru/FilePrivilegesApproval/140","https://api-enni.alpina.ru/FilePrivilegesApproval/140")</f>
        <v>https://api-enni.alpina.ru/FilePrivilegesApproval/140</v>
      </c>
      <c r="Z1482" s="18" t="s">
        <v>950</v>
      </c>
      <c r="AS1482" s="1">
        <f>IF($A1482&lt;&gt;0,1,0)</f>
        <v>0</v>
      </c>
      <c r="AT1482" s="1">
        <f>$A1482*$B1482</f>
        <v>0</v>
      </c>
      <c r="AU1482" s="1">
        <f>$A1482*$O1482</f>
        <v>0</v>
      </c>
      <c r="AV1482" s="1">
        <f>IF($R1482=0,0,INT($A1482/$R1482))</f>
        <v>0</v>
      </c>
      <c r="AW1482" s="1">
        <f>$A1482-$AV1482*$R1482</f>
        <v>0</v>
      </c>
    </row>
    <row r="1483" ht="24.95" customHeight="1" outlineLevel="3" s="1" customFormat="1">
      <c r="A1483" s="15"/>
      <c r="B1483" s="16">
        <v>740</v>
      </c>
      <c r="C1483" s="17">
        <v>1073</v>
      </c>
      <c r="D1483" s="16">
        <v>32900</v>
      </c>
      <c r="E1483" s="18"/>
      <c r="F1483" s="18" t="s">
        <v>4909</v>
      </c>
      <c r="G1483" s="18" t="s">
        <v>4910</v>
      </c>
      <c r="H1483" s="18" t="s">
        <v>86</v>
      </c>
      <c r="I1483" s="18"/>
      <c r="J1483" s="16">
        <v>2025</v>
      </c>
      <c r="K1483" s="18" t="s">
        <v>4911</v>
      </c>
      <c r="L1483" s="16">
        <v>9785006303331</v>
      </c>
      <c r="M1483" s="18" t="s">
        <v>4912</v>
      </c>
      <c r="N1483" s="16">
        <v>192</v>
      </c>
      <c r="O1483" s="19">
        <v>0.5</v>
      </c>
      <c r="P1483" s="16">
        <v>140</v>
      </c>
      <c r="Q1483" s="16">
        <v>200</v>
      </c>
      <c r="R1483" s="16">
        <v>18</v>
      </c>
      <c r="S1483" s="18" t="s">
        <v>43</v>
      </c>
      <c r="T1483" s="18"/>
      <c r="U1483" s="17">
        <v>1500</v>
      </c>
      <c r="V1483" s="18" t="s">
        <v>77</v>
      </c>
      <c r="W1483" s="18" t="s">
        <v>91</v>
      </c>
      <c r="X1483" s="16">
        <v>10</v>
      </c>
      <c r="Y1483" s="43" t="str">
        <f>HYPERLINK("https://api-enni.alpina.ru/FilePrivilegesApproval/921","https://api-enni.alpina.ru/FilePrivilegesApproval/921")</f>
        <v>https://api-enni.alpina.ru/FilePrivilegesApproval/921</v>
      </c>
      <c r="Z1483" s="18"/>
      <c r="AS1483" s="1">
        <f>IF($A1483&lt;&gt;0,1,0)</f>
        <v>0</v>
      </c>
      <c r="AT1483" s="1">
        <f>$A1483*$B1483</f>
        <v>0</v>
      </c>
      <c r="AU1483" s="1">
        <f>$A1483*$O1483</f>
        <v>0</v>
      </c>
      <c r="AV1483" s="1">
        <f>IF($R1483=0,0,INT($A1483/$R1483))</f>
        <v>0</v>
      </c>
      <c r="AW1483" s="1">
        <f>$A1483-$AV1483*$R1483</f>
        <v>0</v>
      </c>
    </row>
    <row r="1484" ht="24.95" customHeight="1" outlineLevel="3" s="1" customFormat="1">
      <c r="A1484" s="25"/>
      <c r="B1484" s="26">
        <v>790</v>
      </c>
      <c r="C1484" s="29">
        <v>1146</v>
      </c>
      <c r="D1484" s="26">
        <v>8503</v>
      </c>
      <c r="E1484" s="27"/>
      <c r="F1484" s="27" t="s">
        <v>4913</v>
      </c>
      <c r="G1484" s="27" t="s">
        <v>4914</v>
      </c>
      <c r="H1484" s="27" t="s">
        <v>86</v>
      </c>
      <c r="I1484" s="27" t="s">
        <v>74</v>
      </c>
      <c r="J1484" s="26">
        <v>2025</v>
      </c>
      <c r="K1484" s="27" t="s">
        <v>4915</v>
      </c>
      <c r="L1484" s="26">
        <v>9785961412444</v>
      </c>
      <c r="M1484" s="27" t="s">
        <v>4916</v>
      </c>
      <c r="N1484" s="26">
        <v>182</v>
      </c>
      <c r="O1484" s="28">
        <v>0.41</v>
      </c>
      <c r="P1484" s="26">
        <v>171</v>
      </c>
      <c r="Q1484" s="26">
        <v>241</v>
      </c>
      <c r="R1484" s="26">
        <v>10</v>
      </c>
      <c r="S1484" s="27" t="s">
        <v>123</v>
      </c>
      <c r="T1484" s="27"/>
      <c r="U1484" s="29">
        <v>1000</v>
      </c>
      <c r="V1484" s="27" t="s">
        <v>77</v>
      </c>
      <c r="W1484" s="27" t="s">
        <v>69</v>
      </c>
      <c r="X1484" s="26">
        <v>10</v>
      </c>
      <c r="Y1484" s="45" t="str">
        <f>HYPERLINK("https://api-enni.alpina.ru/FilePrivilegesApproval/2","https://api-enni.alpina.ru/FilePrivilegesApproval/2")</f>
        <v>https://api-enni.alpina.ru/FilePrivilegesApproval/2</v>
      </c>
      <c r="Z1484" s="27"/>
      <c r="AS1484" s="1">
        <f>IF($A1484&lt;&gt;0,1,0)</f>
        <v>0</v>
      </c>
      <c r="AT1484" s="1">
        <f>$A1484*$B1484</f>
        <v>0</v>
      </c>
      <c r="AU1484" s="1">
        <f>$A1484*$O1484</f>
        <v>0</v>
      </c>
      <c r="AV1484" s="1">
        <f>IF($R1484=0,0,INT($A1484/$R1484))</f>
        <v>0</v>
      </c>
      <c r="AW1484" s="1">
        <f>$A1484-$AV1484*$R1484</f>
        <v>0</v>
      </c>
    </row>
    <row r="1485" ht="24.95" customHeight="1" outlineLevel="3" s="1" customFormat="1">
      <c r="A1485" s="15"/>
      <c r="B1485" s="16">
        <v>690</v>
      </c>
      <c r="C1485" s="17">
        <v>1035</v>
      </c>
      <c r="D1485" s="16">
        <v>30686</v>
      </c>
      <c r="E1485" s="18"/>
      <c r="F1485" s="18" t="s">
        <v>4917</v>
      </c>
      <c r="G1485" s="18" t="s">
        <v>4918</v>
      </c>
      <c r="H1485" s="18" t="s">
        <v>86</v>
      </c>
      <c r="I1485" s="18"/>
      <c r="J1485" s="16">
        <v>2026</v>
      </c>
      <c r="K1485" s="18" t="s">
        <v>4919</v>
      </c>
      <c r="L1485" s="16">
        <v>9785961496253</v>
      </c>
      <c r="M1485" s="18" t="s">
        <v>4920</v>
      </c>
      <c r="N1485" s="16">
        <v>336</v>
      </c>
      <c r="O1485" s="19">
        <v>0.4</v>
      </c>
      <c r="P1485" s="16">
        <v>140</v>
      </c>
      <c r="Q1485" s="16">
        <v>210</v>
      </c>
      <c r="R1485" s="16">
        <v>10</v>
      </c>
      <c r="S1485" s="18" t="s">
        <v>43</v>
      </c>
      <c r="T1485" s="18"/>
      <c r="U1485" s="17">
        <v>1000</v>
      </c>
      <c r="V1485" s="18" t="s">
        <v>44</v>
      </c>
      <c r="W1485" s="18" t="s">
        <v>184</v>
      </c>
      <c r="X1485" s="16">
        <v>10</v>
      </c>
      <c r="Y1485" s="43" t="str">
        <f>HYPERLINK("https://api-enni.alpina.ru/FilePrivilegesApproval/25","https://api-enni.alpina.ru/FilePrivilegesApproval/25")</f>
        <v>https://api-enni.alpina.ru/FilePrivilegesApproval/25</v>
      </c>
      <c r="Z1485" s="18" t="s">
        <v>46</v>
      </c>
      <c r="AS1485" s="1">
        <f>IF($A1485&lt;&gt;0,1,0)</f>
        <v>0</v>
      </c>
      <c r="AT1485" s="1">
        <f>$A1485*$B1485</f>
        <v>0</v>
      </c>
      <c r="AU1485" s="1">
        <f>$A1485*$O1485</f>
        <v>0</v>
      </c>
      <c r="AV1485" s="1">
        <f>IF($R1485=0,0,INT($A1485/$R1485))</f>
        <v>0</v>
      </c>
      <c r="AW1485" s="1">
        <f>$A1485-$AV1485*$R1485</f>
        <v>0</v>
      </c>
    </row>
    <row r="1486" ht="24.95" customHeight="1" outlineLevel="3" s="1" customFormat="1">
      <c r="A1486" s="15"/>
      <c r="B1486" s="16">
        <v>590</v>
      </c>
      <c r="C1486" s="16">
        <v>885</v>
      </c>
      <c r="D1486" s="16">
        <v>29638</v>
      </c>
      <c r="E1486" s="18"/>
      <c r="F1486" s="18" t="s">
        <v>4601</v>
      </c>
      <c r="G1486" s="18" t="s">
        <v>4921</v>
      </c>
      <c r="H1486" s="18" t="s">
        <v>86</v>
      </c>
      <c r="I1486" s="18" t="s">
        <v>74</v>
      </c>
      <c r="J1486" s="16">
        <v>2025</v>
      </c>
      <c r="K1486" s="18" t="s">
        <v>4922</v>
      </c>
      <c r="L1486" s="16">
        <v>9785961493245</v>
      </c>
      <c r="M1486" s="18" t="s">
        <v>4923</v>
      </c>
      <c r="N1486" s="16">
        <v>208</v>
      </c>
      <c r="O1486" s="19">
        <v>0.2</v>
      </c>
      <c r="P1486" s="16">
        <v>150</v>
      </c>
      <c r="Q1486" s="16">
        <v>220</v>
      </c>
      <c r="R1486" s="16">
        <v>18</v>
      </c>
      <c r="S1486" s="18" t="s">
        <v>43</v>
      </c>
      <c r="T1486" s="18" t="s">
        <v>4605</v>
      </c>
      <c r="U1486" s="17">
        <v>2000</v>
      </c>
      <c r="V1486" s="18" t="s">
        <v>77</v>
      </c>
      <c r="W1486" s="18" t="s">
        <v>69</v>
      </c>
      <c r="X1486" s="16">
        <v>10</v>
      </c>
      <c r="Y1486" s="43" t="str">
        <f>HYPERLINK("https://api-enni.alpina.ru/FilePrivilegesApproval/945","https://api-enni.alpina.ru/FilePrivilegesApproval/945")</f>
        <v>https://api-enni.alpina.ru/FilePrivilegesApproval/945</v>
      </c>
      <c r="Z1486" s="18"/>
      <c r="AS1486" s="1">
        <f>IF($A1486&lt;&gt;0,1,0)</f>
        <v>0</v>
      </c>
      <c r="AT1486" s="1">
        <f>$A1486*$B1486</f>
        <v>0</v>
      </c>
      <c r="AU1486" s="1">
        <f>$A1486*$O1486</f>
        <v>0</v>
      </c>
      <c r="AV1486" s="1">
        <f>IF($R1486=0,0,INT($A1486/$R1486))</f>
        <v>0</v>
      </c>
      <c r="AW1486" s="1">
        <f>$A1486-$AV1486*$R1486</f>
        <v>0</v>
      </c>
    </row>
    <row r="1487" ht="24.95" customHeight="1" outlineLevel="3" s="1" customFormat="1">
      <c r="A1487" s="25"/>
      <c r="B1487" s="26">
        <v>790</v>
      </c>
      <c r="C1487" s="29">
        <v>1146</v>
      </c>
      <c r="D1487" s="26">
        <v>12488</v>
      </c>
      <c r="E1487" s="27"/>
      <c r="F1487" s="27" t="s">
        <v>4924</v>
      </c>
      <c r="G1487" s="27" t="s">
        <v>4925</v>
      </c>
      <c r="H1487" s="27" t="s">
        <v>86</v>
      </c>
      <c r="I1487" s="27" t="s">
        <v>74</v>
      </c>
      <c r="J1487" s="26">
        <v>2025</v>
      </c>
      <c r="K1487" s="27" t="s">
        <v>4926</v>
      </c>
      <c r="L1487" s="26">
        <v>9785961428964</v>
      </c>
      <c r="M1487" s="27" t="s">
        <v>4927</v>
      </c>
      <c r="N1487" s="26">
        <v>224</v>
      </c>
      <c r="O1487" s="28">
        <v>0.44</v>
      </c>
      <c r="P1487" s="26">
        <v>146</v>
      </c>
      <c r="Q1487" s="26">
        <v>216</v>
      </c>
      <c r="R1487" s="26">
        <v>10</v>
      </c>
      <c r="S1487" s="27" t="s">
        <v>43</v>
      </c>
      <c r="T1487" s="27"/>
      <c r="U1487" s="29">
        <v>1000</v>
      </c>
      <c r="V1487" s="27" t="s">
        <v>77</v>
      </c>
      <c r="W1487" s="27" t="s">
        <v>184</v>
      </c>
      <c r="X1487" s="26">
        <v>10</v>
      </c>
      <c r="Y1487" s="45" t="str">
        <f>HYPERLINK("https://api-enni.alpina.ru/FilePrivilegesApproval/33","https://api-enni.alpina.ru/FilePrivilegesApproval/33")</f>
        <v>https://api-enni.alpina.ru/FilePrivilegesApproval/33</v>
      </c>
      <c r="Z1487" s="27"/>
      <c r="AS1487" s="1">
        <f>IF($A1487&lt;&gt;0,1,0)</f>
        <v>0</v>
      </c>
      <c r="AT1487" s="1">
        <f>$A1487*$B1487</f>
        <v>0</v>
      </c>
      <c r="AU1487" s="1">
        <f>$A1487*$O1487</f>
        <v>0</v>
      </c>
      <c r="AV1487" s="1">
        <f>IF($R1487=0,0,INT($A1487/$R1487))</f>
        <v>0</v>
      </c>
      <c r="AW1487" s="1">
        <f>$A1487-$AV1487*$R1487</f>
        <v>0</v>
      </c>
    </row>
    <row r="1488" ht="24.95" customHeight="1" outlineLevel="3" s="1" customFormat="1">
      <c r="A1488" s="15"/>
      <c r="B1488" s="17">
        <v>1990</v>
      </c>
      <c r="C1488" s="17">
        <v>2587</v>
      </c>
      <c r="D1488" s="16">
        <v>23390</v>
      </c>
      <c r="E1488" s="18"/>
      <c r="F1488" s="18" t="s">
        <v>4928</v>
      </c>
      <c r="G1488" s="18" t="s">
        <v>4929</v>
      </c>
      <c r="H1488" s="18" t="s">
        <v>95</v>
      </c>
      <c r="I1488" s="18"/>
      <c r="J1488" s="16">
        <v>2024</v>
      </c>
      <c r="K1488" s="18" t="s">
        <v>4930</v>
      </c>
      <c r="L1488" s="16">
        <v>9785206000047</v>
      </c>
      <c r="M1488" s="18" t="s">
        <v>4931</v>
      </c>
      <c r="N1488" s="16">
        <v>504</v>
      </c>
      <c r="O1488" s="19">
        <v>1.44</v>
      </c>
      <c r="P1488" s="16">
        <v>210</v>
      </c>
      <c r="Q1488" s="16">
        <v>270</v>
      </c>
      <c r="R1488" s="16">
        <v>4</v>
      </c>
      <c r="S1488" s="18" t="s">
        <v>328</v>
      </c>
      <c r="T1488" s="18"/>
      <c r="U1488" s="17">
        <v>3000</v>
      </c>
      <c r="V1488" s="18" t="s">
        <v>77</v>
      </c>
      <c r="W1488" s="18" t="s">
        <v>91</v>
      </c>
      <c r="X1488" s="16">
        <v>10</v>
      </c>
      <c r="Y1488" s="43" t="str">
        <f>HYPERLINK("https://api-enni.alpina.ru/FilePrivilegesApproval/168","https://api-enni.alpina.ru/FilePrivilegesApproval/168")</f>
        <v>https://api-enni.alpina.ru/FilePrivilegesApproval/168</v>
      </c>
      <c r="Z1488" s="18"/>
      <c r="AS1488" s="1">
        <f>IF($A1488&lt;&gt;0,1,0)</f>
        <v>0</v>
      </c>
      <c r="AT1488" s="1">
        <f>$A1488*$B1488</f>
        <v>0</v>
      </c>
      <c r="AU1488" s="1">
        <f>$A1488*$O1488</f>
        <v>0</v>
      </c>
      <c r="AV1488" s="1">
        <f>IF($R1488=0,0,INT($A1488/$R1488))</f>
        <v>0</v>
      </c>
      <c r="AW1488" s="1">
        <f>$A1488-$AV1488*$R1488</f>
        <v>0</v>
      </c>
    </row>
    <row r="1489" ht="24.95" customHeight="1" outlineLevel="3" s="1" customFormat="1">
      <c r="A1489" s="15"/>
      <c r="B1489" s="16">
        <v>890</v>
      </c>
      <c r="C1489" s="17">
        <v>1246</v>
      </c>
      <c r="D1489" s="16">
        <v>35210</v>
      </c>
      <c r="E1489" s="18"/>
      <c r="F1489" s="18" t="s">
        <v>4932</v>
      </c>
      <c r="G1489" s="18" t="s">
        <v>4933</v>
      </c>
      <c r="H1489" s="18" t="s">
        <v>86</v>
      </c>
      <c r="I1489" s="18" t="s">
        <v>74</v>
      </c>
      <c r="J1489" s="16">
        <v>2026</v>
      </c>
      <c r="K1489" s="18" t="s">
        <v>4934</v>
      </c>
      <c r="L1489" s="16">
        <v>9785006310612</v>
      </c>
      <c r="M1489" s="18" t="s">
        <v>4935</v>
      </c>
      <c r="N1489" s="16">
        <v>356</v>
      </c>
      <c r="O1489" s="19">
        <v>0.53</v>
      </c>
      <c r="P1489" s="16">
        <v>150</v>
      </c>
      <c r="Q1489" s="16">
        <v>220</v>
      </c>
      <c r="R1489" s="16">
        <v>10</v>
      </c>
      <c r="S1489" s="18" t="s">
        <v>43</v>
      </c>
      <c r="T1489" s="18"/>
      <c r="U1489" s="17">
        <v>3000</v>
      </c>
      <c r="V1489" s="18" t="s">
        <v>77</v>
      </c>
      <c r="W1489" s="18" t="s">
        <v>69</v>
      </c>
      <c r="X1489" s="16">
        <v>10</v>
      </c>
      <c r="Y1489" s="43" t="str">
        <f>HYPERLINK("https://api-enni.alpina.ru/FilePrivilegesApproval/1078","https://api-enni.alpina.ru/FilePrivilegesApproval/1078")</f>
        <v>https://api-enni.alpina.ru/FilePrivilegesApproval/1078</v>
      </c>
      <c r="Z1489" s="18"/>
      <c r="AS1489" s="1">
        <f>IF($A1489&lt;&gt;0,1,0)</f>
        <v>0</v>
      </c>
      <c r="AT1489" s="1">
        <f>$A1489*$B1489</f>
        <v>0</v>
      </c>
      <c r="AU1489" s="1">
        <f>$A1489*$O1489</f>
        <v>0</v>
      </c>
      <c r="AV1489" s="1">
        <f>IF($R1489=0,0,INT($A1489/$R1489))</f>
        <v>0</v>
      </c>
      <c r="AW1489" s="1">
        <f>$A1489-$AV1489*$R1489</f>
        <v>0</v>
      </c>
    </row>
    <row r="1490" ht="24.95" customHeight="1" outlineLevel="3" s="1" customFormat="1">
      <c r="A1490" s="15"/>
      <c r="B1490" s="16">
        <v>690</v>
      </c>
      <c r="C1490" s="17">
        <v>1035</v>
      </c>
      <c r="D1490" s="16">
        <v>8994</v>
      </c>
      <c r="E1490" s="18"/>
      <c r="F1490" s="18" t="s">
        <v>4936</v>
      </c>
      <c r="G1490" s="18" t="s">
        <v>4937</v>
      </c>
      <c r="H1490" s="18" t="s">
        <v>86</v>
      </c>
      <c r="I1490" s="18" t="s">
        <v>74</v>
      </c>
      <c r="J1490" s="16">
        <v>2020</v>
      </c>
      <c r="K1490" s="18" t="s">
        <v>4938</v>
      </c>
      <c r="L1490" s="16">
        <v>9785961430943</v>
      </c>
      <c r="M1490" s="18" t="s">
        <v>4939</v>
      </c>
      <c r="N1490" s="16">
        <v>400</v>
      </c>
      <c r="O1490" s="19">
        <v>0.91</v>
      </c>
      <c r="P1490" s="16">
        <v>168</v>
      </c>
      <c r="Q1490" s="16">
        <v>241</v>
      </c>
      <c r="R1490" s="16">
        <v>6</v>
      </c>
      <c r="S1490" s="18" t="s">
        <v>123</v>
      </c>
      <c r="T1490" s="18"/>
      <c r="U1490" s="17">
        <v>2500</v>
      </c>
      <c r="V1490" s="18" t="s">
        <v>77</v>
      </c>
      <c r="W1490" s="18" t="s">
        <v>184</v>
      </c>
      <c r="X1490" s="16">
        <v>10</v>
      </c>
      <c r="Y1490" s="43" t="str">
        <f>HYPERLINK("https://api-enni.alpina.ru/FilePrivilegesApproval/35","https://api-enni.alpina.ru/FilePrivilegesApproval/35")</f>
        <v>https://api-enni.alpina.ru/FilePrivilegesApproval/35</v>
      </c>
      <c r="Z1490" s="18"/>
      <c r="AS1490" s="1">
        <f>IF($A1490&lt;&gt;0,1,0)</f>
        <v>0</v>
      </c>
      <c r="AT1490" s="1">
        <f>$A1490*$B1490</f>
        <v>0</v>
      </c>
      <c r="AU1490" s="1">
        <f>$A1490*$O1490</f>
        <v>0</v>
      </c>
      <c r="AV1490" s="1">
        <f>IF($R1490=0,0,INT($A1490/$R1490))</f>
        <v>0</v>
      </c>
      <c r="AW1490" s="1">
        <f>$A1490-$AV1490*$R1490</f>
        <v>0</v>
      </c>
    </row>
    <row r="1491" ht="24.95" customHeight="1" outlineLevel="3" s="1" customFormat="1">
      <c r="A1491" s="15"/>
      <c r="B1491" s="16">
        <v>690</v>
      </c>
      <c r="C1491" s="17">
        <v>1035</v>
      </c>
      <c r="D1491" s="16">
        <v>5893</v>
      </c>
      <c r="E1491" s="18"/>
      <c r="F1491" s="18" t="s">
        <v>1759</v>
      </c>
      <c r="G1491" s="18" t="s">
        <v>4940</v>
      </c>
      <c r="H1491" s="18" t="s">
        <v>86</v>
      </c>
      <c r="I1491" s="18" t="s">
        <v>74</v>
      </c>
      <c r="J1491" s="16">
        <v>2025</v>
      </c>
      <c r="K1491" s="18" t="s">
        <v>4941</v>
      </c>
      <c r="L1491" s="16">
        <v>9785961461497</v>
      </c>
      <c r="M1491" s="18" t="s">
        <v>4942</v>
      </c>
      <c r="N1491" s="16">
        <v>234</v>
      </c>
      <c r="O1491" s="19">
        <v>0.39</v>
      </c>
      <c r="P1491" s="16">
        <v>153</v>
      </c>
      <c r="Q1491" s="16">
        <v>216</v>
      </c>
      <c r="R1491" s="16">
        <v>10</v>
      </c>
      <c r="S1491" s="18" t="s">
        <v>43</v>
      </c>
      <c r="T1491" s="18"/>
      <c r="U1491" s="17">
        <v>1000</v>
      </c>
      <c r="V1491" s="18" t="s">
        <v>77</v>
      </c>
      <c r="W1491" s="18" t="s">
        <v>184</v>
      </c>
      <c r="X1491" s="16">
        <v>10</v>
      </c>
      <c r="Y1491" s="43" t="str">
        <f>HYPERLINK("https://api-enni.alpina.ru/FilePrivilegesApproval/2","https://api-enni.alpina.ru/FilePrivilegesApproval/2")</f>
        <v>https://api-enni.alpina.ru/FilePrivilegesApproval/2</v>
      </c>
      <c r="Z1491" s="18"/>
      <c r="AS1491" s="1">
        <f>IF($A1491&lt;&gt;0,1,0)</f>
        <v>0</v>
      </c>
      <c r="AT1491" s="1">
        <f>$A1491*$B1491</f>
        <v>0</v>
      </c>
      <c r="AU1491" s="1">
        <f>$A1491*$O1491</f>
        <v>0</v>
      </c>
      <c r="AV1491" s="1">
        <f>IF($R1491=0,0,INT($A1491/$R1491))</f>
        <v>0</v>
      </c>
      <c r="AW1491" s="1">
        <f>$A1491-$AV1491*$R1491</f>
        <v>0</v>
      </c>
    </row>
    <row r="1492" ht="24.95" customHeight="1" outlineLevel="3" s="1" customFormat="1">
      <c r="A1492" s="15"/>
      <c r="B1492" s="16">
        <v>940</v>
      </c>
      <c r="C1492" s="17">
        <v>1316</v>
      </c>
      <c r="D1492" s="16">
        <v>32489</v>
      </c>
      <c r="E1492" s="18"/>
      <c r="F1492" s="18" t="s">
        <v>4943</v>
      </c>
      <c r="G1492" s="18" t="s">
        <v>4944</v>
      </c>
      <c r="H1492" s="18" t="s">
        <v>95</v>
      </c>
      <c r="I1492" s="18" t="s">
        <v>74</v>
      </c>
      <c r="J1492" s="16">
        <v>2025</v>
      </c>
      <c r="K1492" s="18" t="s">
        <v>4945</v>
      </c>
      <c r="L1492" s="16">
        <v>9785206004687</v>
      </c>
      <c r="M1492" s="18" t="s">
        <v>4946</v>
      </c>
      <c r="N1492" s="16">
        <v>160</v>
      </c>
      <c r="O1492" s="19">
        <v>0.3</v>
      </c>
      <c r="P1492" s="16">
        <v>150</v>
      </c>
      <c r="Q1492" s="16">
        <v>210</v>
      </c>
      <c r="R1492" s="16">
        <v>10</v>
      </c>
      <c r="S1492" s="18" t="s">
        <v>43</v>
      </c>
      <c r="T1492" s="18"/>
      <c r="U1492" s="17">
        <v>1000</v>
      </c>
      <c r="V1492" s="18" t="s">
        <v>77</v>
      </c>
      <c r="W1492" s="18" t="s">
        <v>69</v>
      </c>
      <c r="X1492" s="16">
        <v>10</v>
      </c>
      <c r="Y1492" s="43" t="str">
        <f>HYPERLINK("https://api-enni.alpina.ru/FilePrivilegesApproval/834","https://api-enni.alpina.ru/FilePrivilegesApproval/834")</f>
        <v>https://api-enni.alpina.ru/FilePrivilegesApproval/834</v>
      </c>
      <c r="Z1492" s="18"/>
      <c r="AS1492" s="1">
        <f>IF($A1492&lt;&gt;0,1,0)</f>
        <v>0</v>
      </c>
      <c r="AT1492" s="1">
        <f>$A1492*$B1492</f>
        <v>0</v>
      </c>
      <c r="AU1492" s="1">
        <f>$A1492*$O1492</f>
        <v>0</v>
      </c>
      <c r="AV1492" s="1">
        <f>IF($R1492=0,0,INT($A1492/$R1492))</f>
        <v>0</v>
      </c>
      <c r="AW1492" s="1">
        <f>$A1492-$AV1492*$R1492</f>
        <v>0</v>
      </c>
    </row>
    <row r="1493" ht="24.95" customHeight="1" outlineLevel="3" s="1" customFormat="1">
      <c r="A1493" s="15"/>
      <c r="B1493" s="16">
        <v>790</v>
      </c>
      <c r="C1493" s="17">
        <v>1146</v>
      </c>
      <c r="D1493" s="16">
        <v>33401</v>
      </c>
      <c r="E1493" s="18"/>
      <c r="F1493" s="18" t="s">
        <v>2649</v>
      </c>
      <c r="G1493" s="18" t="s">
        <v>4947</v>
      </c>
      <c r="H1493" s="18" t="s">
        <v>86</v>
      </c>
      <c r="I1493" s="18"/>
      <c r="J1493" s="16">
        <v>2026</v>
      </c>
      <c r="K1493" s="18" t="s">
        <v>4948</v>
      </c>
      <c r="L1493" s="16">
        <v>9785006304611</v>
      </c>
      <c r="M1493" s="18" t="s">
        <v>4949</v>
      </c>
      <c r="N1493" s="16">
        <v>230</v>
      </c>
      <c r="O1493" s="19">
        <v>0.38</v>
      </c>
      <c r="P1493" s="16">
        <v>150</v>
      </c>
      <c r="Q1493" s="16">
        <v>220</v>
      </c>
      <c r="R1493" s="16">
        <v>16</v>
      </c>
      <c r="S1493" s="18" t="s">
        <v>43</v>
      </c>
      <c r="T1493" s="18"/>
      <c r="U1493" s="17">
        <v>3000</v>
      </c>
      <c r="V1493" s="18" t="s">
        <v>77</v>
      </c>
      <c r="W1493" s="18" t="s">
        <v>91</v>
      </c>
      <c r="X1493" s="16">
        <v>10</v>
      </c>
      <c r="Y1493" s="43" t="str">
        <f>HYPERLINK("https://api-enni.alpina.ru/FilePrivilegesApproval/965","https://api-enni.alpina.ru/FilePrivilegesApproval/965")</f>
        <v>https://api-enni.alpina.ru/FilePrivilegesApproval/965</v>
      </c>
      <c r="Z1493" s="18"/>
      <c r="AS1493" s="1">
        <f>IF($A1493&lt;&gt;0,1,0)</f>
        <v>0</v>
      </c>
      <c r="AT1493" s="1">
        <f>$A1493*$B1493</f>
        <v>0</v>
      </c>
      <c r="AU1493" s="1">
        <f>$A1493*$O1493</f>
        <v>0</v>
      </c>
      <c r="AV1493" s="1">
        <f>IF($R1493=0,0,INT($A1493/$R1493))</f>
        <v>0</v>
      </c>
      <c r="AW1493" s="1">
        <f>$A1493-$AV1493*$R1493</f>
        <v>0</v>
      </c>
    </row>
    <row r="1494" ht="24.95" customHeight="1" outlineLevel="3" s="1" customFormat="1">
      <c r="A1494" s="15"/>
      <c r="B1494" s="16">
        <v>790</v>
      </c>
      <c r="C1494" s="17">
        <v>1146</v>
      </c>
      <c r="D1494" s="16">
        <v>12665</v>
      </c>
      <c r="E1494" s="18"/>
      <c r="F1494" s="18" t="s">
        <v>2649</v>
      </c>
      <c r="G1494" s="18" t="s">
        <v>4950</v>
      </c>
      <c r="H1494" s="18" t="s">
        <v>86</v>
      </c>
      <c r="I1494" s="18"/>
      <c r="J1494" s="16">
        <v>2025</v>
      </c>
      <c r="K1494" s="18" t="s">
        <v>4951</v>
      </c>
      <c r="L1494" s="16">
        <v>9785961426595</v>
      </c>
      <c r="M1494" s="18" t="s">
        <v>4952</v>
      </c>
      <c r="N1494" s="16">
        <v>368</v>
      </c>
      <c r="O1494" s="19">
        <v>0.52</v>
      </c>
      <c r="P1494" s="16">
        <v>146</v>
      </c>
      <c r="Q1494" s="16">
        <v>216</v>
      </c>
      <c r="R1494" s="16">
        <v>10</v>
      </c>
      <c r="S1494" s="18" t="s">
        <v>43</v>
      </c>
      <c r="T1494" s="18"/>
      <c r="U1494" s="17">
        <v>4000</v>
      </c>
      <c r="V1494" s="18" t="s">
        <v>77</v>
      </c>
      <c r="W1494" s="18" t="s">
        <v>91</v>
      </c>
      <c r="X1494" s="16">
        <v>10</v>
      </c>
      <c r="Y1494" s="43" t="str">
        <f>HYPERLINK("https://api-enni.alpina.ru/FilePrivilegesApproval/124","https://api-enni.alpina.ru/FilePrivilegesApproval/124")</f>
        <v>https://api-enni.alpina.ru/FilePrivilegesApproval/124</v>
      </c>
      <c r="Z1494" s="18"/>
      <c r="AS1494" s="1">
        <f>IF($A1494&lt;&gt;0,1,0)</f>
        <v>0</v>
      </c>
      <c r="AT1494" s="1">
        <f>$A1494*$B1494</f>
        <v>0</v>
      </c>
      <c r="AU1494" s="1">
        <f>$A1494*$O1494</f>
        <v>0</v>
      </c>
      <c r="AV1494" s="1">
        <f>IF($R1494=0,0,INT($A1494/$R1494))</f>
        <v>0</v>
      </c>
      <c r="AW1494" s="1">
        <f>$A1494-$AV1494*$R1494</f>
        <v>0</v>
      </c>
    </row>
    <row r="1495" ht="24.95" customHeight="1" outlineLevel="3" s="1" customFormat="1">
      <c r="A1495" s="15"/>
      <c r="B1495" s="16">
        <v>890</v>
      </c>
      <c r="C1495" s="17">
        <v>1246</v>
      </c>
      <c r="D1495" s="16">
        <v>34737</v>
      </c>
      <c r="E1495" s="18"/>
      <c r="F1495" s="18" t="s">
        <v>823</v>
      </c>
      <c r="G1495" s="18" t="s">
        <v>824</v>
      </c>
      <c r="H1495" s="18" t="s">
        <v>95</v>
      </c>
      <c r="I1495" s="18"/>
      <c r="J1495" s="16">
        <v>2025</v>
      </c>
      <c r="K1495" s="18" t="s">
        <v>825</v>
      </c>
      <c r="L1495" s="16">
        <v>9785206005196</v>
      </c>
      <c r="M1495" s="18" t="s">
        <v>826</v>
      </c>
      <c r="N1495" s="16">
        <v>288</v>
      </c>
      <c r="O1495" s="19">
        <v>0.57</v>
      </c>
      <c r="P1495" s="16">
        <v>170</v>
      </c>
      <c r="Q1495" s="16">
        <v>240</v>
      </c>
      <c r="R1495" s="16">
        <v>10</v>
      </c>
      <c r="S1495" s="18" t="s">
        <v>123</v>
      </c>
      <c r="T1495" s="18"/>
      <c r="U1495" s="17">
        <v>1000</v>
      </c>
      <c r="V1495" s="18" t="s">
        <v>77</v>
      </c>
      <c r="W1495" s="18" t="s">
        <v>69</v>
      </c>
      <c r="X1495" s="16">
        <v>10</v>
      </c>
      <c r="Y1495" s="43" t="str">
        <f>HYPERLINK("","")</f>
      </c>
      <c r="Z1495" s="18" t="s">
        <v>246</v>
      </c>
      <c r="AS1495" s="1">
        <f>IF($A1495&lt;&gt;0,1,0)</f>
        <v>0</v>
      </c>
      <c r="AT1495" s="1">
        <f>$A1495*$B1495</f>
        <v>0</v>
      </c>
      <c r="AU1495" s="1">
        <f>$A1495*$O1495</f>
        <v>0</v>
      </c>
      <c r="AV1495" s="1">
        <f>IF($R1495=0,0,INT($A1495/$R1495))</f>
        <v>0</v>
      </c>
      <c r="AW1495" s="1">
        <f>$A1495-$AV1495*$R1495</f>
        <v>0</v>
      </c>
    </row>
    <row r="1496" ht="24.95" customHeight="1" outlineLevel="3" s="1" customFormat="1">
      <c r="A1496" s="15"/>
      <c r="B1496" s="16">
        <v>890</v>
      </c>
      <c r="C1496" s="17">
        <v>1246</v>
      </c>
      <c r="D1496" s="16">
        <v>33765</v>
      </c>
      <c r="E1496" s="18"/>
      <c r="F1496" s="18" t="s">
        <v>4953</v>
      </c>
      <c r="G1496" s="18" t="s">
        <v>4954</v>
      </c>
      <c r="H1496" s="18" t="s">
        <v>95</v>
      </c>
      <c r="I1496" s="18"/>
      <c r="J1496" s="16">
        <v>2025</v>
      </c>
      <c r="K1496" s="18" t="s">
        <v>4955</v>
      </c>
      <c r="L1496" s="16">
        <v>9785206004793</v>
      </c>
      <c r="M1496" s="18" t="s">
        <v>4956</v>
      </c>
      <c r="N1496" s="16">
        <v>362</v>
      </c>
      <c r="O1496" s="19">
        <v>0.54</v>
      </c>
      <c r="P1496" s="16">
        <v>150</v>
      </c>
      <c r="Q1496" s="16">
        <v>220</v>
      </c>
      <c r="R1496" s="16">
        <v>6</v>
      </c>
      <c r="S1496" s="18" t="s">
        <v>43</v>
      </c>
      <c r="T1496" s="18"/>
      <c r="U1496" s="17">
        <v>1005</v>
      </c>
      <c r="V1496" s="18" t="s">
        <v>77</v>
      </c>
      <c r="W1496" s="18" t="s">
        <v>69</v>
      </c>
      <c r="X1496" s="16">
        <v>10</v>
      </c>
      <c r="Y1496" s="43" t="str">
        <f>HYPERLINK("https://api-enni.alpina.ru/FilePrivilegesApproval/920","https://api-enni.alpina.ru/FilePrivilegesApproval/920")</f>
        <v>https://api-enni.alpina.ru/FilePrivilegesApproval/920</v>
      </c>
      <c r="Z1496" s="18"/>
      <c r="AS1496" s="1">
        <f>IF($A1496&lt;&gt;0,1,0)</f>
        <v>0</v>
      </c>
      <c r="AT1496" s="1">
        <f>$A1496*$B1496</f>
        <v>0</v>
      </c>
      <c r="AU1496" s="1">
        <f>$A1496*$O1496</f>
        <v>0</v>
      </c>
      <c r="AV1496" s="1">
        <f>IF($R1496=0,0,INT($A1496/$R1496))</f>
        <v>0</v>
      </c>
      <c r="AW1496" s="1">
        <f>$A1496-$AV1496*$R1496</f>
        <v>0</v>
      </c>
    </row>
    <row r="1497" ht="24.95" customHeight="1" outlineLevel="3" s="1" customFormat="1">
      <c r="A1497" s="15"/>
      <c r="B1497" s="16">
        <v>790</v>
      </c>
      <c r="C1497" s="17">
        <v>1146</v>
      </c>
      <c r="D1497" s="16">
        <v>24957</v>
      </c>
      <c r="E1497" s="18"/>
      <c r="F1497" s="18" t="s">
        <v>4957</v>
      </c>
      <c r="G1497" s="18" t="s">
        <v>4958</v>
      </c>
      <c r="H1497" s="18" t="s">
        <v>95</v>
      </c>
      <c r="I1497" s="18" t="s">
        <v>74</v>
      </c>
      <c r="J1497" s="16">
        <v>2026</v>
      </c>
      <c r="K1497" s="18" t="s">
        <v>4959</v>
      </c>
      <c r="L1497" s="16">
        <v>9785961476453</v>
      </c>
      <c r="M1497" s="18" t="s">
        <v>4960</v>
      </c>
      <c r="N1497" s="16">
        <v>224</v>
      </c>
      <c r="O1497" s="19">
        <v>0.39</v>
      </c>
      <c r="P1497" s="16">
        <v>160</v>
      </c>
      <c r="Q1497" s="16">
        <v>220</v>
      </c>
      <c r="R1497" s="16">
        <v>10</v>
      </c>
      <c r="S1497" s="18" t="s">
        <v>43</v>
      </c>
      <c r="T1497" s="18"/>
      <c r="U1497" s="17">
        <v>1000</v>
      </c>
      <c r="V1497" s="18" t="s">
        <v>77</v>
      </c>
      <c r="W1497" s="18" t="s">
        <v>69</v>
      </c>
      <c r="X1497" s="16">
        <v>10</v>
      </c>
      <c r="Y1497" s="43" t="str">
        <f>HYPERLINK("https://api-enni.alpina.ru/FilePrivilegesApproval/130","https://api-enni.alpina.ru/FilePrivilegesApproval/130")</f>
        <v>https://api-enni.alpina.ru/FilePrivilegesApproval/130</v>
      </c>
      <c r="Z1497" s="18"/>
      <c r="AS1497" s="1">
        <f>IF($A1497&lt;&gt;0,1,0)</f>
        <v>0</v>
      </c>
      <c r="AT1497" s="1">
        <f>$A1497*$B1497</f>
        <v>0</v>
      </c>
      <c r="AU1497" s="1">
        <f>$A1497*$O1497</f>
        <v>0</v>
      </c>
      <c r="AV1497" s="1">
        <f>IF($R1497=0,0,INT($A1497/$R1497))</f>
        <v>0</v>
      </c>
      <c r="AW1497" s="1">
        <f>$A1497-$AV1497*$R1497</f>
        <v>0</v>
      </c>
    </row>
    <row r="1498" ht="24.95" customHeight="1" outlineLevel="3" s="1" customFormat="1">
      <c r="A1498" s="15"/>
      <c r="B1498" s="16">
        <v>590</v>
      </c>
      <c r="C1498" s="16">
        <v>885</v>
      </c>
      <c r="D1498" s="16">
        <v>32195</v>
      </c>
      <c r="E1498" s="18"/>
      <c r="F1498" s="18" t="s">
        <v>4961</v>
      </c>
      <c r="G1498" s="18" t="s">
        <v>4962</v>
      </c>
      <c r="H1498" s="18" t="s">
        <v>95</v>
      </c>
      <c r="I1498" s="18"/>
      <c r="J1498" s="16">
        <v>2024</v>
      </c>
      <c r="K1498" s="18" t="s">
        <v>4963</v>
      </c>
      <c r="L1498" s="16">
        <v>9785206004212</v>
      </c>
      <c r="M1498" s="18" t="s">
        <v>4964</v>
      </c>
      <c r="N1498" s="16">
        <v>280</v>
      </c>
      <c r="O1498" s="19">
        <v>0.53</v>
      </c>
      <c r="P1498" s="16">
        <v>150</v>
      </c>
      <c r="Q1498" s="16">
        <v>220</v>
      </c>
      <c r="R1498" s="16">
        <v>8</v>
      </c>
      <c r="S1498" s="18" t="s">
        <v>43</v>
      </c>
      <c r="T1498" s="18"/>
      <c r="U1498" s="17">
        <v>1000</v>
      </c>
      <c r="V1498" s="18" t="s">
        <v>77</v>
      </c>
      <c r="W1498" s="18" t="s">
        <v>69</v>
      </c>
      <c r="X1498" s="16">
        <v>10</v>
      </c>
      <c r="Y1498" s="43" t="str">
        <f>HYPERLINK("https://api-enni.alpina.ru/FilePrivilegesApproval/834","https://api-enni.alpina.ru/FilePrivilegesApproval/834")</f>
        <v>https://api-enni.alpina.ru/FilePrivilegesApproval/834</v>
      </c>
      <c r="Z1498" s="18"/>
      <c r="AS1498" s="1">
        <f>IF($A1498&lt;&gt;0,1,0)</f>
        <v>0</v>
      </c>
      <c r="AT1498" s="1">
        <f>$A1498*$B1498</f>
        <v>0</v>
      </c>
      <c r="AU1498" s="1">
        <f>$A1498*$O1498</f>
        <v>0</v>
      </c>
      <c r="AV1498" s="1">
        <f>IF($R1498=0,0,INT($A1498/$R1498))</f>
        <v>0</v>
      </c>
      <c r="AW1498" s="1">
        <f>$A1498-$AV1498*$R1498</f>
        <v>0</v>
      </c>
    </row>
    <row r="1499" ht="24.95" customHeight="1" outlineLevel="3" s="1" customFormat="1">
      <c r="A1499" s="25"/>
      <c r="B1499" s="29">
        <v>1290</v>
      </c>
      <c r="C1499" s="29">
        <v>1742</v>
      </c>
      <c r="D1499" s="26">
        <v>7090</v>
      </c>
      <c r="E1499" s="27"/>
      <c r="F1499" s="27" t="s">
        <v>4965</v>
      </c>
      <c r="G1499" s="27" t="s">
        <v>4966</v>
      </c>
      <c r="H1499" s="27" t="s">
        <v>95</v>
      </c>
      <c r="I1499" s="27" t="s">
        <v>74</v>
      </c>
      <c r="J1499" s="26">
        <v>2024</v>
      </c>
      <c r="K1499" s="27" t="s">
        <v>4967</v>
      </c>
      <c r="L1499" s="26">
        <v>9785961462692</v>
      </c>
      <c r="M1499" s="27" t="s">
        <v>4968</v>
      </c>
      <c r="N1499" s="26">
        <v>626</v>
      </c>
      <c r="O1499" s="28">
        <v>1.08</v>
      </c>
      <c r="P1499" s="26">
        <v>171</v>
      </c>
      <c r="Q1499" s="26">
        <v>241</v>
      </c>
      <c r="R1499" s="26">
        <v>4</v>
      </c>
      <c r="S1499" s="27" t="s">
        <v>123</v>
      </c>
      <c r="T1499" s="27"/>
      <c r="U1499" s="29">
        <v>1000</v>
      </c>
      <c r="V1499" s="27" t="s">
        <v>77</v>
      </c>
      <c r="W1499" s="27" t="s">
        <v>184</v>
      </c>
      <c r="X1499" s="26">
        <v>10</v>
      </c>
      <c r="Y1499" s="45" t="str">
        <f>HYPERLINK("https://api-enni.alpina.ru/FilePrivilegesApproval/154","https://api-enni.alpina.ru/FilePrivilegesApproval/154")</f>
        <v>https://api-enni.alpina.ru/FilePrivilegesApproval/154</v>
      </c>
      <c r="Z1499" s="27"/>
      <c r="AS1499" s="1">
        <f>IF($A1499&lt;&gt;0,1,0)</f>
        <v>0</v>
      </c>
      <c r="AT1499" s="1">
        <f>$A1499*$B1499</f>
        <v>0</v>
      </c>
      <c r="AU1499" s="1">
        <f>$A1499*$O1499</f>
        <v>0</v>
      </c>
      <c r="AV1499" s="1">
        <f>IF($R1499=0,0,INT($A1499/$R1499))</f>
        <v>0</v>
      </c>
      <c r="AW1499" s="1">
        <f>$A1499-$AV1499*$R1499</f>
        <v>0</v>
      </c>
    </row>
    <row r="1500" ht="24.95" customHeight="1" outlineLevel="3" s="1" customFormat="1">
      <c r="A1500" s="15"/>
      <c r="B1500" s="17">
        <v>1490</v>
      </c>
      <c r="C1500" s="17">
        <v>2012</v>
      </c>
      <c r="D1500" s="16">
        <v>34540</v>
      </c>
      <c r="E1500" s="18"/>
      <c r="F1500" s="18" t="s">
        <v>2559</v>
      </c>
      <c r="G1500" s="18" t="s">
        <v>4969</v>
      </c>
      <c r="H1500" s="18" t="s">
        <v>95</v>
      </c>
      <c r="I1500" s="18"/>
      <c r="J1500" s="16">
        <v>2026</v>
      </c>
      <c r="K1500" s="18" t="s">
        <v>4970</v>
      </c>
      <c r="L1500" s="16">
        <v>9785206005080</v>
      </c>
      <c r="M1500" s="18" t="s">
        <v>4971</v>
      </c>
      <c r="N1500" s="16">
        <v>462</v>
      </c>
      <c r="O1500" s="19">
        <v>0.88</v>
      </c>
      <c r="P1500" s="16">
        <v>170</v>
      </c>
      <c r="Q1500" s="16">
        <v>240</v>
      </c>
      <c r="R1500" s="16">
        <v>4</v>
      </c>
      <c r="S1500" s="18" t="s">
        <v>123</v>
      </c>
      <c r="T1500" s="18"/>
      <c r="U1500" s="17">
        <v>3000</v>
      </c>
      <c r="V1500" s="18" t="s">
        <v>77</v>
      </c>
      <c r="W1500" s="18" t="s">
        <v>91</v>
      </c>
      <c r="X1500" s="16">
        <v>10</v>
      </c>
      <c r="Y1500" s="43" t="str">
        <f>HYPERLINK("https://api-enni.alpina.ru/FilePrivilegesApproval/1077","https://api-enni.alpina.ru/FilePrivilegesApproval/1077")</f>
        <v>https://api-enni.alpina.ru/FilePrivilegesApproval/1077</v>
      </c>
      <c r="Z1500" s="18"/>
      <c r="AS1500" s="1">
        <f>IF($A1500&lt;&gt;0,1,0)</f>
        <v>0</v>
      </c>
      <c r="AT1500" s="1">
        <f>$A1500*$B1500</f>
        <v>0</v>
      </c>
      <c r="AU1500" s="1">
        <f>$A1500*$O1500</f>
        <v>0</v>
      </c>
      <c r="AV1500" s="1">
        <f>IF($R1500=0,0,INT($A1500/$R1500))</f>
        <v>0</v>
      </c>
      <c r="AW1500" s="1">
        <f>$A1500-$AV1500*$R1500</f>
        <v>0</v>
      </c>
    </row>
    <row r="1501" ht="24.95" customHeight="1" outlineLevel="3" s="1" customFormat="1">
      <c r="A1501" s="15"/>
      <c r="B1501" s="17">
        <v>2390</v>
      </c>
      <c r="C1501" s="17">
        <v>3107</v>
      </c>
      <c r="D1501" s="16">
        <v>23301</v>
      </c>
      <c r="E1501" s="18"/>
      <c r="F1501" s="18" t="s">
        <v>4972</v>
      </c>
      <c r="G1501" s="18" t="s">
        <v>4973</v>
      </c>
      <c r="H1501" s="18" t="s">
        <v>86</v>
      </c>
      <c r="I1501" s="18" t="s">
        <v>74</v>
      </c>
      <c r="J1501" s="16">
        <v>2025</v>
      </c>
      <c r="K1501" s="18" t="s">
        <v>4974</v>
      </c>
      <c r="L1501" s="16">
        <v>9785961472073</v>
      </c>
      <c r="M1501" s="18" t="s">
        <v>4975</v>
      </c>
      <c r="N1501" s="16">
        <v>504</v>
      </c>
      <c r="O1501" s="19">
        <v>0.91</v>
      </c>
      <c r="P1501" s="16">
        <v>200</v>
      </c>
      <c r="Q1501" s="16">
        <v>240</v>
      </c>
      <c r="R1501" s="16">
        <v>4</v>
      </c>
      <c r="S1501" s="18" t="s">
        <v>83</v>
      </c>
      <c r="T1501" s="18"/>
      <c r="U1501" s="17">
        <v>2000</v>
      </c>
      <c r="V1501" s="18" t="s">
        <v>44</v>
      </c>
      <c r="W1501" s="18" t="s">
        <v>184</v>
      </c>
      <c r="X1501" s="16">
        <v>10</v>
      </c>
      <c r="Y1501" s="43" t="str">
        <f>HYPERLINK("https://api-enni.alpina.ru/FilePrivilegesApproval/124","https://api-enni.alpina.ru/FilePrivilegesApproval/124")</f>
        <v>https://api-enni.alpina.ru/FilePrivilegesApproval/124</v>
      </c>
      <c r="Z1501" s="18"/>
      <c r="AS1501" s="1">
        <f>IF($A1501&lt;&gt;0,1,0)</f>
        <v>0</v>
      </c>
      <c r="AT1501" s="1">
        <f>$A1501*$B1501</f>
        <v>0</v>
      </c>
      <c r="AU1501" s="1">
        <f>$A1501*$O1501</f>
        <v>0</v>
      </c>
      <c r="AV1501" s="1">
        <f>IF($R1501=0,0,INT($A1501/$R1501))</f>
        <v>0</v>
      </c>
      <c r="AW1501" s="1">
        <f>$A1501-$AV1501*$R1501</f>
        <v>0</v>
      </c>
    </row>
    <row r="1502" ht="24.95" customHeight="1" outlineLevel="3" s="1" customFormat="1">
      <c r="A1502" s="15"/>
      <c r="B1502" s="16">
        <v>990</v>
      </c>
      <c r="C1502" s="17">
        <v>1386</v>
      </c>
      <c r="D1502" s="16">
        <v>14943</v>
      </c>
      <c r="E1502" s="18"/>
      <c r="F1502" s="18" t="s">
        <v>4976</v>
      </c>
      <c r="G1502" s="18" t="s">
        <v>4977</v>
      </c>
      <c r="H1502" s="18" t="s">
        <v>86</v>
      </c>
      <c r="I1502" s="18"/>
      <c r="J1502" s="16">
        <v>2025</v>
      </c>
      <c r="K1502" s="18" t="s">
        <v>4978</v>
      </c>
      <c r="L1502" s="16">
        <v>9785961428384</v>
      </c>
      <c r="M1502" s="18" t="s">
        <v>4979</v>
      </c>
      <c r="N1502" s="16">
        <v>488</v>
      </c>
      <c r="O1502" s="19">
        <v>0.68</v>
      </c>
      <c r="P1502" s="16">
        <v>150</v>
      </c>
      <c r="Q1502" s="16">
        <v>220</v>
      </c>
      <c r="R1502" s="16">
        <v>5</v>
      </c>
      <c r="S1502" s="18" t="s">
        <v>43</v>
      </c>
      <c r="T1502" s="18"/>
      <c r="U1502" s="17">
        <v>1000</v>
      </c>
      <c r="V1502" s="18" t="s">
        <v>77</v>
      </c>
      <c r="W1502" s="18" t="s">
        <v>69</v>
      </c>
      <c r="X1502" s="16">
        <v>10</v>
      </c>
      <c r="Y1502" s="43" t="str">
        <f>HYPERLINK("https://api-enni.alpina.ru/FilePrivilegesApproval/37","https://api-enni.alpina.ru/FilePrivilegesApproval/37")</f>
        <v>https://api-enni.alpina.ru/FilePrivilegesApproval/37</v>
      </c>
      <c r="Z1502" s="18"/>
      <c r="AS1502" s="1">
        <f>IF($A1502&lt;&gt;0,1,0)</f>
        <v>0</v>
      </c>
      <c r="AT1502" s="1">
        <f>$A1502*$B1502</f>
        <v>0</v>
      </c>
      <c r="AU1502" s="1">
        <f>$A1502*$O1502</f>
        <v>0</v>
      </c>
      <c r="AV1502" s="1">
        <f>IF($R1502=0,0,INT($A1502/$R1502))</f>
        <v>0</v>
      </c>
      <c r="AW1502" s="1">
        <f>$A1502-$AV1502*$R1502</f>
        <v>0</v>
      </c>
    </row>
    <row r="1503" ht="24.95" customHeight="1" outlineLevel="3" s="1" customFormat="1">
      <c r="A1503" s="15"/>
      <c r="B1503" s="16">
        <v>590</v>
      </c>
      <c r="C1503" s="16">
        <v>885</v>
      </c>
      <c r="D1503" s="16">
        <v>28087</v>
      </c>
      <c r="E1503" s="18"/>
      <c r="F1503" s="18" t="s">
        <v>4980</v>
      </c>
      <c r="G1503" s="18" t="s">
        <v>4981</v>
      </c>
      <c r="H1503" s="18" t="s">
        <v>86</v>
      </c>
      <c r="I1503" s="18" t="s">
        <v>74</v>
      </c>
      <c r="J1503" s="16">
        <v>2025</v>
      </c>
      <c r="K1503" s="18" t="s">
        <v>4982</v>
      </c>
      <c r="L1503" s="16">
        <v>9785961487251</v>
      </c>
      <c r="M1503" s="18" t="s">
        <v>4983</v>
      </c>
      <c r="N1503" s="16">
        <v>256</v>
      </c>
      <c r="O1503" s="19">
        <v>0.41</v>
      </c>
      <c r="P1503" s="16">
        <v>170</v>
      </c>
      <c r="Q1503" s="16">
        <v>240</v>
      </c>
      <c r="R1503" s="16">
        <v>10</v>
      </c>
      <c r="S1503" s="18" t="s">
        <v>123</v>
      </c>
      <c r="T1503" s="18"/>
      <c r="U1503" s="17">
        <v>3000</v>
      </c>
      <c r="V1503" s="18" t="s">
        <v>44</v>
      </c>
      <c r="W1503" s="18" t="s">
        <v>184</v>
      </c>
      <c r="X1503" s="16">
        <v>10</v>
      </c>
      <c r="Y1503" s="43" t="str">
        <f>HYPERLINK("https://api-enni.alpina.ru/FilePrivilegesApproval/140","https://api-enni.alpina.ru/FilePrivilegesApproval/140")</f>
        <v>https://api-enni.alpina.ru/FilePrivilegesApproval/140</v>
      </c>
      <c r="Z1503" s="18"/>
      <c r="AS1503" s="1">
        <f>IF($A1503&lt;&gt;0,1,0)</f>
        <v>0</v>
      </c>
      <c r="AT1503" s="1">
        <f>$A1503*$B1503</f>
        <v>0</v>
      </c>
      <c r="AU1503" s="1">
        <f>$A1503*$O1503</f>
        <v>0</v>
      </c>
      <c r="AV1503" s="1">
        <f>IF($R1503=0,0,INT($A1503/$R1503))</f>
        <v>0</v>
      </c>
      <c r="AW1503" s="1">
        <f>$A1503-$AV1503*$R1503</f>
        <v>0</v>
      </c>
    </row>
    <row r="1504" ht="24.95" customHeight="1" outlineLevel="3" s="1" customFormat="1">
      <c r="A1504" s="15"/>
      <c r="B1504" s="16">
        <v>740</v>
      </c>
      <c r="C1504" s="17">
        <v>1073</v>
      </c>
      <c r="D1504" s="16">
        <v>22667</v>
      </c>
      <c r="E1504" s="18"/>
      <c r="F1504" s="18" t="s">
        <v>4984</v>
      </c>
      <c r="G1504" s="18" t="s">
        <v>4985</v>
      </c>
      <c r="H1504" s="18" t="s">
        <v>86</v>
      </c>
      <c r="I1504" s="18" t="s">
        <v>74</v>
      </c>
      <c r="J1504" s="16">
        <v>2022</v>
      </c>
      <c r="K1504" s="18" t="s">
        <v>4986</v>
      </c>
      <c r="L1504" s="16">
        <v>9785961476590</v>
      </c>
      <c r="M1504" s="18" t="s">
        <v>4987</v>
      </c>
      <c r="N1504" s="16">
        <v>380</v>
      </c>
      <c r="O1504" s="19">
        <v>0.55</v>
      </c>
      <c r="P1504" s="16">
        <v>146</v>
      </c>
      <c r="Q1504" s="16">
        <v>216</v>
      </c>
      <c r="R1504" s="16">
        <v>10</v>
      </c>
      <c r="S1504" s="18" t="s">
        <v>43</v>
      </c>
      <c r="T1504" s="18"/>
      <c r="U1504" s="17">
        <v>2000</v>
      </c>
      <c r="V1504" s="18" t="s">
        <v>77</v>
      </c>
      <c r="W1504" s="18" t="s">
        <v>91</v>
      </c>
      <c r="X1504" s="16">
        <v>10</v>
      </c>
      <c r="Y1504" s="43" t="str">
        <f>HYPERLINK("https://api-enni.alpina.ru/FilePrivilegesApproval/157","https://api-enni.alpina.ru/FilePrivilegesApproval/157")</f>
        <v>https://api-enni.alpina.ru/FilePrivilegesApproval/157</v>
      </c>
      <c r="Z1504" s="18"/>
      <c r="AS1504" s="1">
        <f>IF($A1504&lt;&gt;0,1,0)</f>
        <v>0</v>
      </c>
      <c r="AT1504" s="1">
        <f>$A1504*$B1504</f>
        <v>0</v>
      </c>
      <c r="AU1504" s="1">
        <f>$A1504*$O1504</f>
        <v>0</v>
      </c>
      <c r="AV1504" s="1">
        <f>IF($R1504=0,0,INT($A1504/$R1504))</f>
        <v>0</v>
      </c>
      <c r="AW1504" s="1">
        <f>$A1504-$AV1504*$R1504</f>
        <v>0</v>
      </c>
    </row>
    <row r="1505" ht="24.95" customHeight="1" outlineLevel="3" s="1" customFormat="1">
      <c r="A1505" s="15"/>
      <c r="B1505" s="16">
        <v>690</v>
      </c>
      <c r="C1505" s="17">
        <v>1035</v>
      </c>
      <c r="D1505" s="16">
        <v>25279</v>
      </c>
      <c r="E1505" s="18"/>
      <c r="F1505" s="18" t="s">
        <v>4601</v>
      </c>
      <c r="G1505" s="18" t="s">
        <v>4988</v>
      </c>
      <c r="H1505" s="18" t="s">
        <v>86</v>
      </c>
      <c r="I1505" s="18" t="s">
        <v>74</v>
      </c>
      <c r="J1505" s="16">
        <v>2025</v>
      </c>
      <c r="K1505" s="18" t="s">
        <v>4989</v>
      </c>
      <c r="L1505" s="16">
        <v>9785961477436</v>
      </c>
      <c r="M1505" s="18" t="s">
        <v>4990</v>
      </c>
      <c r="N1505" s="16">
        <v>200</v>
      </c>
      <c r="O1505" s="19">
        <v>0.4</v>
      </c>
      <c r="P1505" s="16">
        <v>170</v>
      </c>
      <c r="Q1505" s="16">
        <v>240</v>
      </c>
      <c r="R1505" s="16">
        <v>12</v>
      </c>
      <c r="S1505" s="18" t="s">
        <v>123</v>
      </c>
      <c r="T1505" s="18" t="s">
        <v>4605</v>
      </c>
      <c r="U1505" s="17">
        <v>2000</v>
      </c>
      <c r="V1505" s="18" t="s">
        <v>77</v>
      </c>
      <c r="W1505" s="18" t="s">
        <v>184</v>
      </c>
      <c r="X1505" s="16">
        <v>10</v>
      </c>
      <c r="Y1505" s="43" t="str">
        <f>HYPERLINK("https://api-enni.alpina.ru/FilePrivilegesApproval/132","https://api-enni.alpina.ru/FilePrivilegesApproval/132")</f>
        <v>https://api-enni.alpina.ru/FilePrivilegesApproval/132</v>
      </c>
      <c r="Z1505" s="18"/>
      <c r="AS1505" s="1">
        <f>IF($A1505&lt;&gt;0,1,0)</f>
        <v>0</v>
      </c>
      <c r="AT1505" s="1">
        <f>$A1505*$B1505</f>
        <v>0</v>
      </c>
      <c r="AU1505" s="1">
        <f>$A1505*$O1505</f>
        <v>0</v>
      </c>
      <c r="AV1505" s="1">
        <f>IF($R1505=0,0,INT($A1505/$R1505))</f>
        <v>0</v>
      </c>
      <c r="AW1505" s="1">
        <f>$A1505-$AV1505*$R1505</f>
        <v>0</v>
      </c>
    </row>
    <row r="1506" ht="24.95" customHeight="1" outlineLevel="3" s="1" customFormat="1">
      <c r="A1506" s="15"/>
      <c r="B1506" s="16">
        <v>490</v>
      </c>
      <c r="C1506" s="16">
        <v>760</v>
      </c>
      <c r="D1506" s="16">
        <v>24746</v>
      </c>
      <c r="E1506" s="18"/>
      <c r="F1506" s="18" t="s">
        <v>4601</v>
      </c>
      <c r="G1506" s="18" t="s">
        <v>4991</v>
      </c>
      <c r="H1506" s="18" t="s">
        <v>86</v>
      </c>
      <c r="I1506" s="18" t="s">
        <v>74</v>
      </c>
      <c r="J1506" s="16">
        <v>2025</v>
      </c>
      <c r="K1506" s="18" t="s">
        <v>4992</v>
      </c>
      <c r="L1506" s="16">
        <v>9785961476019</v>
      </c>
      <c r="M1506" s="18" t="s">
        <v>4993</v>
      </c>
      <c r="N1506" s="16">
        <v>176</v>
      </c>
      <c r="O1506" s="19">
        <v>0.27</v>
      </c>
      <c r="P1506" s="16">
        <v>120</v>
      </c>
      <c r="Q1506" s="16">
        <v>210</v>
      </c>
      <c r="R1506" s="16">
        <v>16</v>
      </c>
      <c r="S1506" s="18" t="s">
        <v>90</v>
      </c>
      <c r="T1506" s="18" t="s">
        <v>4605</v>
      </c>
      <c r="U1506" s="17">
        <v>2000</v>
      </c>
      <c r="V1506" s="18" t="s">
        <v>77</v>
      </c>
      <c r="W1506" s="18" t="s">
        <v>184</v>
      </c>
      <c r="X1506" s="16">
        <v>10</v>
      </c>
      <c r="Y1506" s="43" t="str">
        <f>HYPERLINK("https://api-enni.alpina.ru/FilePrivilegesApproval/140","https://api-enni.alpina.ru/FilePrivilegesApproval/140")</f>
        <v>https://api-enni.alpina.ru/FilePrivilegesApproval/140</v>
      </c>
      <c r="Z1506" s="18"/>
      <c r="AS1506" s="1">
        <f>IF($A1506&lt;&gt;0,1,0)</f>
        <v>0</v>
      </c>
      <c r="AT1506" s="1">
        <f>$A1506*$B1506</f>
        <v>0</v>
      </c>
      <c r="AU1506" s="1">
        <f>$A1506*$O1506</f>
        <v>0</v>
      </c>
      <c r="AV1506" s="1">
        <f>IF($R1506=0,0,INT($A1506/$R1506))</f>
        <v>0</v>
      </c>
      <c r="AW1506" s="1">
        <f>$A1506-$AV1506*$R1506</f>
        <v>0</v>
      </c>
    </row>
    <row r="1507" ht="24.95" customHeight="1" outlineLevel="3" s="1" customFormat="1">
      <c r="A1507" s="15"/>
      <c r="B1507" s="17">
        <v>1090</v>
      </c>
      <c r="C1507" s="17">
        <v>1472</v>
      </c>
      <c r="D1507" s="16">
        <v>23820</v>
      </c>
      <c r="E1507" s="18"/>
      <c r="F1507" s="18" t="s">
        <v>4601</v>
      </c>
      <c r="G1507" s="18" t="s">
        <v>4994</v>
      </c>
      <c r="H1507" s="18" t="s">
        <v>86</v>
      </c>
      <c r="I1507" s="18" t="s">
        <v>74</v>
      </c>
      <c r="J1507" s="16">
        <v>2025</v>
      </c>
      <c r="K1507" s="18" t="s">
        <v>4995</v>
      </c>
      <c r="L1507" s="16">
        <v>9785961478945</v>
      </c>
      <c r="M1507" s="18" t="s">
        <v>4996</v>
      </c>
      <c r="N1507" s="16">
        <v>514</v>
      </c>
      <c r="O1507" s="19">
        <v>0.94</v>
      </c>
      <c r="P1507" s="16">
        <v>170</v>
      </c>
      <c r="Q1507" s="16">
        <v>240</v>
      </c>
      <c r="R1507" s="16">
        <v>5</v>
      </c>
      <c r="S1507" s="18" t="s">
        <v>123</v>
      </c>
      <c r="T1507" s="18" t="s">
        <v>4605</v>
      </c>
      <c r="U1507" s="17">
        <v>3000</v>
      </c>
      <c r="V1507" s="18" t="s">
        <v>77</v>
      </c>
      <c r="W1507" s="18" t="s">
        <v>91</v>
      </c>
      <c r="X1507" s="16">
        <v>10</v>
      </c>
      <c r="Y1507" s="43" t="str">
        <f>HYPERLINK("https://api-enni.alpina.ru/FilePrivilegesApproval/156","https://api-enni.alpina.ru/FilePrivilegesApproval/156")</f>
        <v>https://api-enni.alpina.ru/FilePrivilegesApproval/156</v>
      </c>
      <c r="Z1507" s="18"/>
      <c r="AS1507" s="1">
        <f>IF($A1507&lt;&gt;0,1,0)</f>
        <v>0</v>
      </c>
      <c r="AT1507" s="1">
        <f>$A1507*$B1507</f>
        <v>0</v>
      </c>
      <c r="AU1507" s="1">
        <f>$A1507*$O1507</f>
        <v>0</v>
      </c>
      <c r="AV1507" s="1">
        <f>IF($R1507=0,0,INT($A1507/$R1507))</f>
        <v>0</v>
      </c>
      <c r="AW1507" s="1">
        <f>$A1507-$AV1507*$R1507</f>
        <v>0</v>
      </c>
    </row>
    <row r="1508" ht="24.95" customHeight="1" outlineLevel="3" s="1" customFormat="1">
      <c r="A1508" s="15"/>
      <c r="B1508" s="16">
        <v>890</v>
      </c>
      <c r="C1508" s="17">
        <v>1246</v>
      </c>
      <c r="D1508" s="16">
        <v>23885</v>
      </c>
      <c r="E1508" s="18"/>
      <c r="F1508" s="18" t="s">
        <v>4601</v>
      </c>
      <c r="G1508" s="18" t="s">
        <v>4997</v>
      </c>
      <c r="H1508" s="18" t="s">
        <v>86</v>
      </c>
      <c r="I1508" s="18" t="s">
        <v>74</v>
      </c>
      <c r="J1508" s="16">
        <v>2025</v>
      </c>
      <c r="K1508" s="18" t="s">
        <v>4998</v>
      </c>
      <c r="L1508" s="16">
        <v>9785961480320</v>
      </c>
      <c r="M1508" s="18" t="s">
        <v>4999</v>
      </c>
      <c r="N1508" s="16">
        <v>259</v>
      </c>
      <c r="O1508" s="19">
        <v>0.53</v>
      </c>
      <c r="P1508" s="16">
        <v>170</v>
      </c>
      <c r="Q1508" s="16">
        <v>250</v>
      </c>
      <c r="R1508" s="16">
        <v>8</v>
      </c>
      <c r="S1508" s="18" t="s">
        <v>123</v>
      </c>
      <c r="T1508" s="18" t="s">
        <v>4605</v>
      </c>
      <c r="U1508" s="17">
        <v>2000</v>
      </c>
      <c r="V1508" s="18" t="s">
        <v>77</v>
      </c>
      <c r="W1508" s="18" t="s">
        <v>91</v>
      </c>
      <c r="X1508" s="16">
        <v>10</v>
      </c>
      <c r="Y1508" s="43" t="str">
        <f>HYPERLINK("https://api-enni.alpina.ru/FilePrivilegesApproval/158","https://api-enni.alpina.ru/FilePrivilegesApproval/158")</f>
        <v>https://api-enni.alpina.ru/FilePrivilegesApproval/158</v>
      </c>
      <c r="Z1508" s="18"/>
      <c r="AS1508" s="1">
        <f>IF($A1508&lt;&gt;0,1,0)</f>
        <v>0</v>
      </c>
      <c r="AT1508" s="1">
        <f>$A1508*$B1508</f>
        <v>0</v>
      </c>
      <c r="AU1508" s="1">
        <f>$A1508*$O1508</f>
        <v>0</v>
      </c>
      <c r="AV1508" s="1">
        <f>IF($R1508=0,0,INT($A1508/$R1508))</f>
        <v>0</v>
      </c>
      <c r="AW1508" s="1">
        <f>$A1508-$AV1508*$R1508</f>
        <v>0</v>
      </c>
    </row>
    <row r="1509" ht="24.95" customHeight="1" outlineLevel="3" s="1" customFormat="1">
      <c r="A1509" s="15"/>
      <c r="B1509" s="16">
        <v>840</v>
      </c>
      <c r="C1509" s="17">
        <v>1218</v>
      </c>
      <c r="D1509" s="16">
        <v>28518</v>
      </c>
      <c r="E1509" s="18"/>
      <c r="F1509" s="18" t="s">
        <v>5000</v>
      </c>
      <c r="G1509" s="18" t="s">
        <v>5001</v>
      </c>
      <c r="H1509" s="18" t="s">
        <v>86</v>
      </c>
      <c r="I1509" s="18" t="s">
        <v>74</v>
      </c>
      <c r="J1509" s="16">
        <v>2025</v>
      </c>
      <c r="K1509" s="18" t="s">
        <v>5002</v>
      </c>
      <c r="L1509" s="16">
        <v>9785961489224</v>
      </c>
      <c r="M1509" s="18" t="s">
        <v>5003</v>
      </c>
      <c r="N1509" s="16">
        <v>282</v>
      </c>
      <c r="O1509" s="19">
        <v>0.6</v>
      </c>
      <c r="P1509" s="16">
        <v>170</v>
      </c>
      <c r="Q1509" s="16">
        <v>240</v>
      </c>
      <c r="R1509" s="16">
        <v>8</v>
      </c>
      <c r="S1509" s="18" t="s">
        <v>123</v>
      </c>
      <c r="T1509" s="18"/>
      <c r="U1509" s="17">
        <v>2000</v>
      </c>
      <c r="V1509" s="18" t="s">
        <v>77</v>
      </c>
      <c r="W1509" s="18" t="s">
        <v>69</v>
      </c>
      <c r="X1509" s="16">
        <v>10</v>
      </c>
      <c r="Y1509" s="43" t="str">
        <f>HYPERLINK("https://api-enni.alpina.ru/FilePrivilegesApproval/339","https://api-enni.alpina.ru/FilePrivilegesApproval/339")</f>
        <v>https://api-enni.alpina.ru/FilePrivilegesApproval/339</v>
      </c>
      <c r="Z1509" s="18"/>
      <c r="AS1509" s="1">
        <f>IF($A1509&lt;&gt;0,1,0)</f>
        <v>0</v>
      </c>
      <c r="AT1509" s="1">
        <f>$A1509*$B1509</f>
        <v>0</v>
      </c>
      <c r="AU1509" s="1">
        <f>$A1509*$O1509</f>
        <v>0</v>
      </c>
      <c r="AV1509" s="1">
        <f>IF($R1509=0,0,INT($A1509/$R1509))</f>
        <v>0</v>
      </c>
      <c r="AW1509" s="1">
        <f>$A1509-$AV1509*$R1509</f>
        <v>0</v>
      </c>
    </row>
    <row r="1510" ht="24.95" customHeight="1" outlineLevel="3" s="1" customFormat="1">
      <c r="A1510" s="15"/>
      <c r="B1510" s="16">
        <v>690</v>
      </c>
      <c r="C1510" s="17">
        <v>1035</v>
      </c>
      <c r="D1510" s="16">
        <v>5413</v>
      </c>
      <c r="E1510" s="18"/>
      <c r="F1510" s="18" t="s">
        <v>5004</v>
      </c>
      <c r="G1510" s="18" t="s">
        <v>5005</v>
      </c>
      <c r="H1510" s="18" t="s">
        <v>86</v>
      </c>
      <c r="I1510" s="18" t="s">
        <v>74</v>
      </c>
      <c r="J1510" s="16">
        <v>2025</v>
      </c>
      <c r="K1510" s="18" t="s">
        <v>5006</v>
      </c>
      <c r="L1510" s="16">
        <v>9785961469400</v>
      </c>
      <c r="M1510" s="18" t="s">
        <v>5007</v>
      </c>
      <c r="N1510" s="16">
        <v>180</v>
      </c>
      <c r="O1510" s="19">
        <v>0.29</v>
      </c>
      <c r="P1510" s="16">
        <v>133</v>
      </c>
      <c r="Q1510" s="16">
        <v>206</v>
      </c>
      <c r="R1510" s="16">
        <v>10</v>
      </c>
      <c r="S1510" s="18" t="s">
        <v>90</v>
      </c>
      <c r="T1510" s="18"/>
      <c r="U1510" s="17">
        <v>1000</v>
      </c>
      <c r="V1510" s="18" t="s">
        <v>77</v>
      </c>
      <c r="W1510" s="18" t="s">
        <v>184</v>
      </c>
      <c r="X1510" s="16">
        <v>10</v>
      </c>
      <c r="Y1510" s="43" t="str">
        <f>HYPERLINK("https://api-enni.alpina.ru/FilePrivilegesApproval/156","https://api-enni.alpina.ru/FilePrivilegesApproval/156")</f>
        <v>https://api-enni.alpina.ru/FilePrivilegesApproval/156</v>
      </c>
      <c r="Z1510" s="18"/>
      <c r="AS1510" s="1">
        <f>IF($A1510&lt;&gt;0,1,0)</f>
        <v>0</v>
      </c>
      <c r="AT1510" s="1">
        <f>$A1510*$B1510</f>
        <v>0</v>
      </c>
      <c r="AU1510" s="1">
        <f>$A1510*$O1510</f>
        <v>0</v>
      </c>
      <c r="AV1510" s="1">
        <f>IF($R1510=0,0,INT($A1510/$R1510))</f>
        <v>0</v>
      </c>
      <c r="AW1510" s="1">
        <f>$A1510-$AV1510*$R1510</f>
        <v>0</v>
      </c>
    </row>
    <row r="1511" ht="24.95" customHeight="1" outlineLevel="3" s="1" customFormat="1">
      <c r="A1511" s="25"/>
      <c r="B1511" s="26">
        <v>490</v>
      </c>
      <c r="C1511" s="26">
        <v>760</v>
      </c>
      <c r="D1511" s="26">
        <v>4930</v>
      </c>
      <c r="E1511" s="27"/>
      <c r="F1511" s="27" t="s">
        <v>5008</v>
      </c>
      <c r="G1511" s="27" t="s">
        <v>5009</v>
      </c>
      <c r="H1511" s="27" t="s">
        <v>95</v>
      </c>
      <c r="I1511" s="27"/>
      <c r="J1511" s="26">
        <v>2025</v>
      </c>
      <c r="K1511" s="27" t="s">
        <v>5010</v>
      </c>
      <c r="L1511" s="26">
        <v>9785961470444</v>
      </c>
      <c r="M1511" s="27" t="s">
        <v>5011</v>
      </c>
      <c r="N1511" s="26">
        <v>238</v>
      </c>
      <c r="O1511" s="28">
        <v>0.34</v>
      </c>
      <c r="P1511" s="26">
        <v>135</v>
      </c>
      <c r="Q1511" s="26">
        <v>206</v>
      </c>
      <c r="R1511" s="26">
        <v>10</v>
      </c>
      <c r="S1511" s="27" t="s">
        <v>90</v>
      </c>
      <c r="T1511" s="27"/>
      <c r="U1511" s="29">
        <v>1000</v>
      </c>
      <c r="V1511" s="27" t="s">
        <v>77</v>
      </c>
      <c r="W1511" s="27" t="s">
        <v>184</v>
      </c>
      <c r="X1511" s="26">
        <v>10</v>
      </c>
      <c r="Y1511" s="45" t="str">
        <f>HYPERLINK("https://api-enni.alpina.ru/FilePrivilegesApproval/2","https://api-enni.alpina.ru/FilePrivilegesApproval/2")</f>
        <v>https://api-enni.alpina.ru/FilePrivilegesApproval/2</v>
      </c>
      <c r="Z1511" s="27"/>
      <c r="AS1511" s="1">
        <f>IF($A1511&lt;&gt;0,1,0)</f>
        <v>0</v>
      </c>
      <c r="AT1511" s="1">
        <f>$A1511*$B1511</f>
        <v>0</v>
      </c>
      <c r="AU1511" s="1">
        <f>$A1511*$O1511</f>
        <v>0</v>
      </c>
      <c r="AV1511" s="1">
        <f>IF($R1511=0,0,INT($A1511/$R1511))</f>
        <v>0</v>
      </c>
      <c r="AW1511" s="1">
        <f>$A1511-$AV1511*$R1511</f>
        <v>0</v>
      </c>
    </row>
    <row r="1512" ht="24.95" customHeight="1" outlineLevel="3" s="1" customFormat="1">
      <c r="A1512" s="15"/>
      <c r="B1512" s="16">
        <v>940</v>
      </c>
      <c r="C1512" s="17">
        <v>1316</v>
      </c>
      <c r="D1512" s="16">
        <v>34726</v>
      </c>
      <c r="E1512" s="18"/>
      <c r="F1512" s="18" t="s">
        <v>5012</v>
      </c>
      <c r="G1512" s="18" t="s">
        <v>5013</v>
      </c>
      <c r="H1512" s="18" t="s">
        <v>95</v>
      </c>
      <c r="I1512" s="18"/>
      <c r="J1512" s="16">
        <v>2025</v>
      </c>
      <c r="K1512" s="18" t="s">
        <v>5014</v>
      </c>
      <c r="L1512" s="16">
        <v>9785206005172</v>
      </c>
      <c r="M1512" s="18" t="s">
        <v>5015</v>
      </c>
      <c r="N1512" s="16">
        <v>160</v>
      </c>
      <c r="O1512" s="19">
        <v>0.3</v>
      </c>
      <c r="P1512" s="16">
        <v>150</v>
      </c>
      <c r="Q1512" s="16">
        <v>220</v>
      </c>
      <c r="R1512" s="16">
        <v>10</v>
      </c>
      <c r="S1512" s="18" t="s">
        <v>43</v>
      </c>
      <c r="T1512" s="18"/>
      <c r="U1512" s="17">
        <v>1005</v>
      </c>
      <c r="V1512" s="18" t="s">
        <v>77</v>
      </c>
      <c r="W1512" s="18" t="s">
        <v>69</v>
      </c>
      <c r="X1512" s="16">
        <v>10</v>
      </c>
      <c r="Y1512" s="43" t="str">
        <f>HYPERLINK("https://api-enni.alpina.ru/FilePrivilegesApproval/1034","https://api-enni.alpina.ru/FilePrivilegesApproval/1034")</f>
        <v>https://api-enni.alpina.ru/FilePrivilegesApproval/1034</v>
      </c>
      <c r="Z1512" s="18"/>
      <c r="AS1512" s="1">
        <f>IF($A1512&lt;&gt;0,1,0)</f>
        <v>0</v>
      </c>
      <c r="AT1512" s="1">
        <f>$A1512*$B1512</f>
        <v>0</v>
      </c>
      <c r="AU1512" s="1">
        <f>$A1512*$O1512</f>
        <v>0</v>
      </c>
      <c r="AV1512" s="1">
        <f>IF($R1512=0,0,INT($A1512/$R1512))</f>
        <v>0</v>
      </c>
      <c r="AW1512" s="1">
        <f>$A1512-$AV1512*$R1512</f>
        <v>0</v>
      </c>
    </row>
    <row r="1513" ht="24.95" customHeight="1" outlineLevel="3" s="1" customFormat="1">
      <c r="A1513" s="15"/>
      <c r="B1513" s="16">
        <v>840</v>
      </c>
      <c r="C1513" s="17">
        <v>1218</v>
      </c>
      <c r="D1513" s="16">
        <v>24229</v>
      </c>
      <c r="E1513" s="18"/>
      <c r="F1513" s="18" t="s">
        <v>964</v>
      </c>
      <c r="G1513" s="18" t="s">
        <v>5016</v>
      </c>
      <c r="H1513" s="18" t="s">
        <v>95</v>
      </c>
      <c r="I1513" s="18" t="s">
        <v>74</v>
      </c>
      <c r="J1513" s="16">
        <v>2023</v>
      </c>
      <c r="K1513" s="18" t="s">
        <v>5017</v>
      </c>
      <c r="L1513" s="16">
        <v>9785907470620</v>
      </c>
      <c r="M1513" s="18" t="s">
        <v>5018</v>
      </c>
      <c r="N1513" s="16">
        <v>232</v>
      </c>
      <c r="O1513" s="19">
        <v>0.49</v>
      </c>
      <c r="P1513" s="16">
        <v>168</v>
      </c>
      <c r="Q1513" s="16">
        <v>241</v>
      </c>
      <c r="R1513" s="16">
        <v>8</v>
      </c>
      <c r="S1513" s="18" t="s">
        <v>123</v>
      </c>
      <c r="T1513" s="18"/>
      <c r="U1513" s="17">
        <v>5000</v>
      </c>
      <c r="V1513" s="18" t="s">
        <v>77</v>
      </c>
      <c r="W1513" s="18" t="s">
        <v>184</v>
      </c>
      <c r="X1513" s="16">
        <v>10</v>
      </c>
      <c r="Y1513" s="43" t="str">
        <f>HYPERLINK("https://api-enni.alpina.ru/FilePrivilegesApproval/138","https://api-enni.alpina.ru/FilePrivilegesApproval/138")</f>
        <v>https://api-enni.alpina.ru/FilePrivilegesApproval/138</v>
      </c>
      <c r="Z1513" s="18"/>
      <c r="AS1513" s="1">
        <f>IF($A1513&lt;&gt;0,1,0)</f>
        <v>0</v>
      </c>
      <c r="AT1513" s="1">
        <f>$A1513*$B1513</f>
        <v>0</v>
      </c>
      <c r="AU1513" s="1">
        <f>$A1513*$O1513</f>
        <v>0</v>
      </c>
      <c r="AV1513" s="1">
        <f>IF($R1513=0,0,INT($A1513/$R1513))</f>
        <v>0</v>
      </c>
      <c r="AW1513" s="1">
        <f>$A1513-$AV1513*$R1513</f>
        <v>0</v>
      </c>
    </row>
    <row r="1514" ht="21.95" customHeight="1" outlineLevel="3" s="1" customFormat="1">
      <c r="A1514" s="15"/>
      <c r="B1514" s="16">
        <v>940</v>
      </c>
      <c r="C1514" s="17">
        <v>1316</v>
      </c>
      <c r="D1514" s="16">
        <v>34631</v>
      </c>
      <c r="E1514" s="18"/>
      <c r="F1514" s="18" t="s">
        <v>964</v>
      </c>
      <c r="G1514" s="18" t="s">
        <v>5016</v>
      </c>
      <c r="H1514" s="18" t="s">
        <v>95</v>
      </c>
      <c r="I1514" s="18" t="s">
        <v>74</v>
      </c>
      <c r="J1514" s="16">
        <v>2025</v>
      </c>
      <c r="K1514" s="18" t="s">
        <v>5019</v>
      </c>
      <c r="L1514" s="16">
        <v>9785206005134</v>
      </c>
      <c r="M1514" s="18" t="s">
        <v>5020</v>
      </c>
      <c r="N1514" s="16">
        <v>320</v>
      </c>
      <c r="O1514" s="19">
        <v>0.48</v>
      </c>
      <c r="P1514" s="16">
        <v>150</v>
      </c>
      <c r="Q1514" s="16">
        <v>220</v>
      </c>
      <c r="R1514" s="16">
        <v>10</v>
      </c>
      <c r="S1514" s="18" t="s">
        <v>43</v>
      </c>
      <c r="T1514" s="18"/>
      <c r="U1514" s="17">
        <v>1000</v>
      </c>
      <c r="V1514" s="18" t="s">
        <v>77</v>
      </c>
      <c r="W1514" s="18" t="s">
        <v>69</v>
      </c>
      <c r="X1514" s="16">
        <v>10</v>
      </c>
      <c r="Y1514" s="43" t="str">
        <f>HYPERLINK("","")</f>
      </c>
      <c r="Z1514" s="18"/>
      <c r="AS1514" s="1">
        <f>IF($A1514&lt;&gt;0,1,0)</f>
        <v>0</v>
      </c>
      <c r="AT1514" s="1">
        <f>$A1514*$B1514</f>
        <v>0</v>
      </c>
      <c r="AU1514" s="1">
        <f>$A1514*$O1514</f>
        <v>0</v>
      </c>
      <c r="AV1514" s="1">
        <f>IF($R1514=0,0,INT($A1514/$R1514))</f>
        <v>0</v>
      </c>
      <c r="AW1514" s="1">
        <f>$A1514-$AV1514*$R1514</f>
        <v>0</v>
      </c>
    </row>
    <row r="1515" ht="24.95" customHeight="1" outlineLevel="3" s="1" customFormat="1">
      <c r="A1515" s="15"/>
      <c r="B1515" s="17">
        <v>1490</v>
      </c>
      <c r="C1515" s="17">
        <v>2012</v>
      </c>
      <c r="D1515" s="16">
        <v>34373</v>
      </c>
      <c r="E1515" s="18"/>
      <c r="F1515" s="18" t="s">
        <v>964</v>
      </c>
      <c r="G1515" s="18" t="s">
        <v>965</v>
      </c>
      <c r="H1515" s="18" t="s">
        <v>95</v>
      </c>
      <c r="I1515" s="18" t="s">
        <v>74</v>
      </c>
      <c r="J1515" s="16">
        <v>2025</v>
      </c>
      <c r="K1515" s="18" t="s">
        <v>966</v>
      </c>
      <c r="L1515" s="16">
        <v>9785206004977</v>
      </c>
      <c r="M1515" s="18" t="s">
        <v>967</v>
      </c>
      <c r="N1515" s="16">
        <v>512</v>
      </c>
      <c r="O1515" s="19">
        <v>0.7</v>
      </c>
      <c r="P1515" s="16">
        <v>150</v>
      </c>
      <c r="Q1515" s="16">
        <v>220</v>
      </c>
      <c r="R1515" s="16">
        <v>5</v>
      </c>
      <c r="S1515" s="18" t="s">
        <v>43</v>
      </c>
      <c r="T1515" s="18"/>
      <c r="U1515" s="17">
        <v>2000</v>
      </c>
      <c r="V1515" s="18" t="s">
        <v>77</v>
      </c>
      <c r="W1515" s="18" t="s">
        <v>69</v>
      </c>
      <c r="X1515" s="16">
        <v>10</v>
      </c>
      <c r="Y1515" s="43" t="str">
        <f>HYPERLINK("https://api-enni.alpina.ru/FilePrivilegesApproval/920","https://api-enni.alpina.ru/FilePrivilegesApproval/920")</f>
        <v>https://api-enni.alpina.ru/FilePrivilegesApproval/920</v>
      </c>
      <c r="Z1515" s="18" t="s">
        <v>251</v>
      </c>
      <c r="AS1515" s="1">
        <f>IF($A1515&lt;&gt;0,1,0)</f>
        <v>0</v>
      </c>
      <c r="AT1515" s="1">
        <f>$A1515*$B1515</f>
        <v>0</v>
      </c>
      <c r="AU1515" s="1">
        <f>$A1515*$O1515</f>
        <v>0</v>
      </c>
      <c r="AV1515" s="1">
        <f>IF($R1515=0,0,INT($A1515/$R1515))</f>
        <v>0</v>
      </c>
      <c r="AW1515" s="1">
        <f>$A1515-$AV1515*$R1515</f>
        <v>0</v>
      </c>
    </row>
    <row r="1516" ht="24.95" customHeight="1" outlineLevel="3" s="1" customFormat="1">
      <c r="A1516" s="15"/>
      <c r="B1516" s="16">
        <v>890</v>
      </c>
      <c r="C1516" s="17">
        <v>1246</v>
      </c>
      <c r="D1516" s="16">
        <v>23389</v>
      </c>
      <c r="E1516" s="18"/>
      <c r="F1516" s="18" t="s">
        <v>5021</v>
      </c>
      <c r="G1516" s="18" t="s">
        <v>5022</v>
      </c>
      <c r="H1516" s="18" t="s">
        <v>95</v>
      </c>
      <c r="I1516" s="18" t="s">
        <v>74</v>
      </c>
      <c r="J1516" s="16">
        <v>2022</v>
      </c>
      <c r="K1516" s="18" t="s">
        <v>5023</v>
      </c>
      <c r="L1516" s="16">
        <v>9785907470163</v>
      </c>
      <c r="M1516" s="18" t="s">
        <v>5024</v>
      </c>
      <c r="N1516" s="16">
        <v>224</v>
      </c>
      <c r="O1516" s="19">
        <v>0.48</v>
      </c>
      <c r="P1516" s="16">
        <v>168</v>
      </c>
      <c r="Q1516" s="16">
        <v>241</v>
      </c>
      <c r="R1516" s="16">
        <v>8</v>
      </c>
      <c r="S1516" s="18" t="s">
        <v>123</v>
      </c>
      <c r="T1516" s="18"/>
      <c r="U1516" s="17">
        <v>1500</v>
      </c>
      <c r="V1516" s="18" t="s">
        <v>77</v>
      </c>
      <c r="W1516" s="18" t="s">
        <v>91</v>
      </c>
      <c r="X1516" s="16">
        <v>10</v>
      </c>
      <c r="Y1516" s="43" t="str">
        <f>HYPERLINK("https://api-enni.alpina.ru/FilePrivilegesApproval/129","https://api-enni.alpina.ru/FilePrivilegesApproval/129")</f>
        <v>https://api-enni.alpina.ru/FilePrivilegesApproval/129</v>
      </c>
      <c r="Z1516" s="18"/>
      <c r="AS1516" s="1">
        <f>IF($A1516&lt;&gt;0,1,0)</f>
        <v>0</v>
      </c>
      <c r="AT1516" s="1">
        <f>$A1516*$B1516</f>
        <v>0</v>
      </c>
      <c r="AU1516" s="1">
        <f>$A1516*$O1516</f>
        <v>0</v>
      </c>
      <c r="AV1516" s="1">
        <f>IF($R1516=0,0,INT($A1516/$R1516))</f>
        <v>0</v>
      </c>
      <c r="AW1516" s="1">
        <f>$A1516-$AV1516*$R1516</f>
        <v>0</v>
      </c>
    </row>
    <row r="1517" ht="24.95" customHeight="1" outlineLevel="3" s="1" customFormat="1">
      <c r="A1517" s="25"/>
      <c r="B1517" s="26">
        <v>790</v>
      </c>
      <c r="C1517" s="29">
        <v>1146</v>
      </c>
      <c r="D1517" s="26">
        <v>29939</v>
      </c>
      <c r="E1517" s="27"/>
      <c r="F1517" s="27" t="s">
        <v>2004</v>
      </c>
      <c r="G1517" s="27" t="s">
        <v>5025</v>
      </c>
      <c r="H1517" s="27" t="s">
        <v>86</v>
      </c>
      <c r="I1517" s="27"/>
      <c r="J1517" s="26">
        <v>2025</v>
      </c>
      <c r="K1517" s="27" t="s">
        <v>5026</v>
      </c>
      <c r="L1517" s="26">
        <v>9785961494488</v>
      </c>
      <c r="M1517" s="27" t="s">
        <v>5027</v>
      </c>
      <c r="N1517" s="26">
        <v>166</v>
      </c>
      <c r="O1517" s="28">
        <v>0.31</v>
      </c>
      <c r="P1517" s="26">
        <v>150</v>
      </c>
      <c r="Q1517" s="26">
        <v>220</v>
      </c>
      <c r="R1517" s="26">
        <v>10</v>
      </c>
      <c r="S1517" s="27" t="s">
        <v>43</v>
      </c>
      <c r="T1517" s="27"/>
      <c r="U1517" s="29">
        <v>1000</v>
      </c>
      <c r="V1517" s="27" t="s">
        <v>77</v>
      </c>
      <c r="W1517" s="27" t="s">
        <v>69</v>
      </c>
      <c r="X1517" s="26">
        <v>10</v>
      </c>
      <c r="Y1517" s="45" t="str">
        <f>HYPERLINK("https://api-enni.alpina.ru/FilePrivilegesApproval/72","https://api-enni.alpina.ru/FilePrivilegesApproval/72")</f>
        <v>https://api-enni.alpina.ru/FilePrivilegesApproval/72</v>
      </c>
      <c r="Z1517" s="27"/>
      <c r="AS1517" s="1">
        <f>IF($A1517&lt;&gt;0,1,0)</f>
        <v>0</v>
      </c>
      <c r="AT1517" s="1">
        <f>$A1517*$B1517</f>
        <v>0</v>
      </c>
      <c r="AU1517" s="1">
        <f>$A1517*$O1517</f>
        <v>0</v>
      </c>
      <c r="AV1517" s="1">
        <f>IF($R1517=0,0,INT($A1517/$R1517))</f>
        <v>0</v>
      </c>
      <c r="AW1517" s="1">
        <f>$A1517-$AV1517*$R1517</f>
        <v>0</v>
      </c>
    </row>
    <row r="1518" ht="24.95" customHeight="1" outlineLevel="3" s="1" customFormat="1">
      <c r="A1518" s="15"/>
      <c r="B1518" s="16">
        <v>490</v>
      </c>
      <c r="C1518" s="16">
        <v>760</v>
      </c>
      <c r="D1518" s="16">
        <v>25885</v>
      </c>
      <c r="E1518" s="18"/>
      <c r="F1518" s="18" t="s">
        <v>5028</v>
      </c>
      <c r="G1518" s="18" t="s">
        <v>5029</v>
      </c>
      <c r="H1518" s="18" t="s">
        <v>95</v>
      </c>
      <c r="I1518" s="18"/>
      <c r="J1518" s="16">
        <v>2022</v>
      </c>
      <c r="K1518" s="18" t="s">
        <v>5030</v>
      </c>
      <c r="L1518" s="16">
        <v>9785206000436</v>
      </c>
      <c r="M1518" s="18" t="s">
        <v>5031</v>
      </c>
      <c r="N1518" s="16">
        <v>94</v>
      </c>
      <c r="O1518" s="19">
        <v>0.22</v>
      </c>
      <c r="P1518" s="16">
        <v>146</v>
      </c>
      <c r="Q1518" s="16">
        <v>216</v>
      </c>
      <c r="R1518" s="16">
        <v>16</v>
      </c>
      <c r="S1518" s="18" t="s">
        <v>43</v>
      </c>
      <c r="T1518" s="18"/>
      <c r="U1518" s="17">
        <v>1510</v>
      </c>
      <c r="V1518" s="18" t="s">
        <v>77</v>
      </c>
      <c r="W1518" s="18" t="s">
        <v>91</v>
      </c>
      <c r="X1518" s="16">
        <v>10</v>
      </c>
      <c r="Y1518" s="43" t="str">
        <f>HYPERLINK("https://api-enni.alpina.ru/FilePrivilegesApproval/155","https://api-enni.alpina.ru/FilePrivilegesApproval/155")</f>
        <v>https://api-enni.alpina.ru/FilePrivilegesApproval/155</v>
      </c>
      <c r="Z1518" s="18"/>
      <c r="AS1518" s="1">
        <f>IF($A1518&lt;&gt;0,1,0)</f>
        <v>0</v>
      </c>
      <c r="AT1518" s="1">
        <f>$A1518*$B1518</f>
        <v>0</v>
      </c>
      <c r="AU1518" s="1">
        <f>$A1518*$O1518</f>
        <v>0</v>
      </c>
      <c r="AV1518" s="1">
        <f>IF($R1518=0,0,INT($A1518/$R1518))</f>
        <v>0</v>
      </c>
      <c r="AW1518" s="1">
        <f>$A1518-$AV1518*$R1518</f>
        <v>0</v>
      </c>
    </row>
    <row r="1519" ht="24.95" customHeight="1" outlineLevel="3" s="1" customFormat="1">
      <c r="A1519" s="15"/>
      <c r="B1519" s="16">
        <v>840</v>
      </c>
      <c r="C1519" s="17">
        <v>1218</v>
      </c>
      <c r="D1519" s="16">
        <v>35877</v>
      </c>
      <c r="E1519" s="18"/>
      <c r="F1519" s="18" t="s">
        <v>5032</v>
      </c>
      <c r="G1519" s="18" t="s">
        <v>5033</v>
      </c>
      <c r="H1519" s="18" t="s">
        <v>95</v>
      </c>
      <c r="I1519" s="18"/>
      <c r="J1519" s="16">
        <v>2026</v>
      </c>
      <c r="K1519" s="18" t="s">
        <v>5034</v>
      </c>
      <c r="L1519" s="16">
        <v>9785206006070</v>
      </c>
      <c r="M1519" s="18" t="s">
        <v>5035</v>
      </c>
      <c r="N1519" s="16">
        <v>176</v>
      </c>
      <c r="O1519" s="19">
        <v>0.31</v>
      </c>
      <c r="P1519" s="16">
        <v>140</v>
      </c>
      <c r="Q1519" s="16">
        <v>210</v>
      </c>
      <c r="R1519" s="16">
        <v>10</v>
      </c>
      <c r="S1519" s="18" t="s">
        <v>43</v>
      </c>
      <c r="T1519" s="18"/>
      <c r="U1519" s="17">
        <v>2005</v>
      </c>
      <c r="V1519" s="18" t="s">
        <v>77</v>
      </c>
      <c r="W1519" s="18" t="s">
        <v>69</v>
      </c>
      <c r="X1519" s="16">
        <v>10</v>
      </c>
      <c r="Y1519" s="43" t="str">
        <f>HYPERLINK("https://api-enni.alpina.ru/FilePrivilegesApproval/1146","https://api-enni.alpina.ru/FilePrivilegesApproval/1146")</f>
        <v>https://api-enni.alpina.ru/FilePrivilegesApproval/1146</v>
      </c>
      <c r="Z1519" s="18"/>
      <c r="AS1519" s="1">
        <f>IF($A1519&lt;&gt;0,1,0)</f>
        <v>0</v>
      </c>
      <c r="AT1519" s="1">
        <f>$A1519*$B1519</f>
        <v>0</v>
      </c>
      <c r="AU1519" s="1">
        <f>$A1519*$O1519</f>
        <v>0</v>
      </c>
      <c r="AV1519" s="1">
        <f>IF($R1519=0,0,INT($A1519/$R1519))</f>
        <v>0</v>
      </c>
      <c r="AW1519" s="1">
        <f>$A1519-$AV1519*$R1519</f>
        <v>0</v>
      </c>
    </row>
    <row r="1520" ht="11.1" customHeight="1" outlineLevel="2">
      <c r="A1520" s="41" t="s">
        <v>5036</v>
      </c>
      <c r="B1520" s="41"/>
      <c r="C1520" s="41"/>
      <c r="D1520" s="41"/>
      <c r="E1520" s="41"/>
      <c r="F1520" s="41"/>
      <c r="G1520" s="41"/>
      <c r="H1520" s="41"/>
      <c r="I1520" s="41"/>
      <c r="J1520" s="41"/>
      <c r="K1520" s="41"/>
      <c r="L1520" s="41"/>
      <c r="M1520" s="41"/>
      <c r="N1520" s="41"/>
      <c r="O1520" s="41"/>
      <c r="P1520" s="41"/>
      <c r="Q1520" s="41"/>
      <c r="R1520" s="41"/>
      <c r="S1520" s="41"/>
      <c r="T1520" s="41"/>
      <c r="U1520" s="41"/>
      <c r="V1520" s="41"/>
      <c r="W1520" s="41"/>
      <c r="X1520" s="41"/>
      <c r="Y1520" s="41"/>
      <c r="Z1520" s="24"/>
    </row>
    <row r="1521" ht="24.95" customHeight="1" outlineLevel="3" s="1" customFormat="1">
      <c r="A1521" s="15"/>
      <c r="B1521" s="16">
        <v>940</v>
      </c>
      <c r="C1521" s="17">
        <v>1316</v>
      </c>
      <c r="D1521" s="16">
        <v>26024</v>
      </c>
      <c r="E1521" s="18"/>
      <c r="F1521" s="18" t="s">
        <v>5037</v>
      </c>
      <c r="G1521" s="18" t="s">
        <v>5038</v>
      </c>
      <c r="H1521" s="18" t="s">
        <v>95</v>
      </c>
      <c r="I1521" s="18"/>
      <c r="J1521" s="16">
        <v>2023</v>
      </c>
      <c r="K1521" s="18" t="s">
        <v>5039</v>
      </c>
      <c r="L1521" s="16">
        <v>9785206000511</v>
      </c>
      <c r="M1521" s="18" t="s">
        <v>5040</v>
      </c>
      <c r="N1521" s="16">
        <v>255</v>
      </c>
      <c r="O1521" s="19">
        <v>0.5</v>
      </c>
      <c r="P1521" s="16">
        <v>170</v>
      </c>
      <c r="Q1521" s="16">
        <v>250</v>
      </c>
      <c r="R1521" s="16">
        <v>8</v>
      </c>
      <c r="S1521" s="18" t="s">
        <v>123</v>
      </c>
      <c r="T1521" s="18"/>
      <c r="U1521" s="17">
        <v>1510</v>
      </c>
      <c r="V1521" s="18" t="s">
        <v>77</v>
      </c>
      <c r="W1521" s="18" t="s">
        <v>91</v>
      </c>
      <c r="X1521" s="16">
        <v>10</v>
      </c>
      <c r="Y1521" s="43" t="str">
        <f>HYPERLINK("https://api-enni.alpina.ru/FilePrivilegesApproval/168","https://api-enni.alpina.ru/FilePrivilegesApproval/168")</f>
        <v>https://api-enni.alpina.ru/FilePrivilegesApproval/168</v>
      </c>
      <c r="Z1521" s="18"/>
      <c r="AS1521" s="1">
        <f>IF($A1521&lt;&gt;0,1,0)</f>
        <v>0</v>
      </c>
      <c r="AT1521" s="1">
        <f>$A1521*$B1521</f>
        <v>0</v>
      </c>
      <c r="AU1521" s="1">
        <f>$A1521*$O1521</f>
        <v>0</v>
      </c>
      <c r="AV1521" s="1">
        <f>IF($R1521=0,0,INT($A1521/$R1521))</f>
        <v>0</v>
      </c>
      <c r="AW1521" s="1">
        <f>$A1521-$AV1521*$R1521</f>
        <v>0</v>
      </c>
    </row>
    <row r="1522" ht="24.95" customHeight="1" outlineLevel="3" s="1" customFormat="1">
      <c r="A1522" s="25"/>
      <c r="B1522" s="26">
        <v>690</v>
      </c>
      <c r="C1522" s="29">
        <v>1035</v>
      </c>
      <c r="D1522" s="26">
        <v>25275</v>
      </c>
      <c r="E1522" s="27"/>
      <c r="F1522" s="27" t="s">
        <v>5041</v>
      </c>
      <c r="G1522" s="27" t="s">
        <v>5042</v>
      </c>
      <c r="H1522" s="27" t="s">
        <v>86</v>
      </c>
      <c r="I1522" s="27"/>
      <c r="J1522" s="26">
        <v>2026</v>
      </c>
      <c r="K1522" s="27" t="s">
        <v>5043</v>
      </c>
      <c r="L1522" s="26">
        <v>9785961477511</v>
      </c>
      <c r="M1522" s="27" t="s">
        <v>5044</v>
      </c>
      <c r="N1522" s="26">
        <v>208</v>
      </c>
      <c r="O1522" s="28">
        <v>0.41</v>
      </c>
      <c r="P1522" s="26">
        <v>150</v>
      </c>
      <c r="Q1522" s="26">
        <v>220</v>
      </c>
      <c r="R1522" s="26">
        <v>10</v>
      </c>
      <c r="S1522" s="27" t="s">
        <v>43</v>
      </c>
      <c r="T1522" s="27"/>
      <c r="U1522" s="29">
        <v>1000</v>
      </c>
      <c r="V1522" s="27" t="s">
        <v>77</v>
      </c>
      <c r="W1522" s="27" t="s">
        <v>91</v>
      </c>
      <c r="X1522" s="26">
        <v>10</v>
      </c>
      <c r="Y1522" s="45" t="str">
        <f>HYPERLINK("https://api-enni.alpina.ru/FilePrivilegesApproval/132","https://api-enni.alpina.ru/FilePrivilegesApproval/132")</f>
        <v>https://api-enni.alpina.ru/FilePrivilegesApproval/132</v>
      </c>
      <c r="Z1522" s="27"/>
      <c r="AS1522" s="1">
        <f>IF($A1522&lt;&gt;0,1,0)</f>
        <v>0</v>
      </c>
      <c r="AT1522" s="1">
        <f>$A1522*$B1522</f>
        <v>0</v>
      </c>
      <c r="AU1522" s="1">
        <f>$A1522*$O1522</f>
        <v>0</v>
      </c>
      <c r="AV1522" s="1">
        <f>IF($R1522=0,0,INT($A1522/$R1522))</f>
        <v>0</v>
      </c>
      <c r="AW1522" s="1">
        <f>$A1522-$AV1522*$R1522</f>
        <v>0</v>
      </c>
    </row>
    <row r="1523" ht="24.95" customHeight="1" outlineLevel="3" s="1" customFormat="1">
      <c r="A1523" s="25"/>
      <c r="B1523" s="26">
        <v>690</v>
      </c>
      <c r="C1523" s="29">
        <v>1035</v>
      </c>
      <c r="D1523" s="26">
        <v>31235</v>
      </c>
      <c r="E1523" s="27"/>
      <c r="F1523" s="27" t="s">
        <v>5041</v>
      </c>
      <c r="G1523" s="27" t="s">
        <v>5042</v>
      </c>
      <c r="H1523" s="27" t="s">
        <v>86</v>
      </c>
      <c r="I1523" s="27"/>
      <c r="J1523" s="26">
        <v>2024</v>
      </c>
      <c r="K1523" s="27" t="s">
        <v>5045</v>
      </c>
      <c r="L1523" s="26">
        <v>9785961497946</v>
      </c>
      <c r="M1523" s="27" t="s">
        <v>5046</v>
      </c>
      <c r="N1523" s="26">
        <v>208</v>
      </c>
      <c r="O1523" s="28">
        <v>0.35</v>
      </c>
      <c r="P1523" s="26">
        <v>150</v>
      </c>
      <c r="Q1523" s="26">
        <v>220</v>
      </c>
      <c r="R1523" s="26">
        <v>10</v>
      </c>
      <c r="S1523" s="27" t="s">
        <v>43</v>
      </c>
      <c r="T1523" s="27"/>
      <c r="U1523" s="29">
        <v>1000</v>
      </c>
      <c r="V1523" s="27" t="s">
        <v>77</v>
      </c>
      <c r="W1523" s="27" t="s">
        <v>91</v>
      </c>
      <c r="X1523" s="26">
        <v>10</v>
      </c>
      <c r="Y1523" s="45" t="str">
        <f>HYPERLINK("https://api-enni.alpina.ru/FilePrivilegesApproval/132","https://api-enni.alpina.ru/FilePrivilegesApproval/132")</f>
        <v>https://api-enni.alpina.ru/FilePrivilegesApproval/132</v>
      </c>
      <c r="Z1523" s="27"/>
      <c r="AS1523" s="1">
        <f>IF($A1523&lt;&gt;0,1,0)</f>
        <v>0</v>
      </c>
      <c r="AT1523" s="1">
        <f>$A1523*$B1523</f>
        <v>0</v>
      </c>
      <c r="AU1523" s="1">
        <f>$A1523*$O1523</f>
        <v>0</v>
      </c>
      <c r="AV1523" s="1">
        <f>IF($R1523=0,0,INT($A1523/$R1523))</f>
        <v>0</v>
      </c>
      <c r="AW1523" s="1">
        <f>$A1523-$AV1523*$R1523</f>
        <v>0</v>
      </c>
    </row>
    <row r="1524" ht="24.95" customHeight="1" outlineLevel="3" s="1" customFormat="1">
      <c r="A1524" s="15"/>
      <c r="B1524" s="16">
        <v>990</v>
      </c>
      <c r="C1524" s="17">
        <v>1386</v>
      </c>
      <c r="D1524" s="16">
        <v>5462</v>
      </c>
      <c r="E1524" s="18"/>
      <c r="F1524" s="18" t="s">
        <v>5047</v>
      </c>
      <c r="G1524" s="18" t="s">
        <v>5048</v>
      </c>
      <c r="H1524" s="18" t="s">
        <v>86</v>
      </c>
      <c r="I1524" s="18" t="s">
        <v>74</v>
      </c>
      <c r="J1524" s="16">
        <v>2025</v>
      </c>
      <c r="K1524" s="18" t="s">
        <v>5049</v>
      </c>
      <c r="L1524" s="16">
        <v>9785961468373</v>
      </c>
      <c r="M1524" s="18" t="s">
        <v>5050</v>
      </c>
      <c r="N1524" s="16">
        <v>256</v>
      </c>
      <c r="O1524" s="19">
        <v>0.52</v>
      </c>
      <c r="P1524" s="16">
        <v>170</v>
      </c>
      <c r="Q1524" s="16">
        <v>240</v>
      </c>
      <c r="R1524" s="16">
        <v>8</v>
      </c>
      <c r="S1524" s="18" t="s">
        <v>123</v>
      </c>
      <c r="T1524" s="18"/>
      <c r="U1524" s="17">
        <v>7000</v>
      </c>
      <c r="V1524" s="18" t="s">
        <v>77</v>
      </c>
      <c r="W1524" s="18" t="s">
        <v>184</v>
      </c>
      <c r="X1524" s="16">
        <v>10</v>
      </c>
      <c r="Y1524" s="43" t="str">
        <f>HYPERLINK("https://api-enni.alpina.ru/FilePrivilegesApproval/156","https://api-enni.alpina.ru/FilePrivilegesApproval/156")</f>
        <v>https://api-enni.alpina.ru/FilePrivilegesApproval/156</v>
      </c>
      <c r="Z1524" s="18"/>
      <c r="AS1524" s="1">
        <f>IF($A1524&lt;&gt;0,1,0)</f>
        <v>0</v>
      </c>
      <c r="AT1524" s="1">
        <f>$A1524*$B1524</f>
        <v>0</v>
      </c>
      <c r="AU1524" s="1">
        <f>$A1524*$O1524</f>
        <v>0</v>
      </c>
      <c r="AV1524" s="1">
        <f>IF($R1524=0,0,INT($A1524/$R1524))</f>
        <v>0</v>
      </c>
      <c r="AW1524" s="1">
        <f>$A1524-$AV1524*$R1524</f>
        <v>0</v>
      </c>
    </row>
    <row r="1525" ht="24.95" customHeight="1" outlineLevel="3" s="1" customFormat="1">
      <c r="A1525" s="15"/>
      <c r="B1525" s="17">
        <v>1190</v>
      </c>
      <c r="C1525" s="17">
        <v>1607</v>
      </c>
      <c r="D1525" s="16">
        <v>4604</v>
      </c>
      <c r="E1525" s="18"/>
      <c r="F1525" s="18" t="s">
        <v>5051</v>
      </c>
      <c r="G1525" s="18" t="s">
        <v>5052</v>
      </c>
      <c r="H1525" s="18" t="s">
        <v>86</v>
      </c>
      <c r="I1525" s="18" t="s">
        <v>74</v>
      </c>
      <c r="J1525" s="16">
        <v>2025</v>
      </c>
      <c r="K1525" s="18" t="s">
        <v>5053</v>
      </c>
      <c r="L1525" s="16">
        <v>9785961459524</v>
      </c>
      <c r="M1525" s="18" t="s">
        <v>5054</v>
      </c>
      <c r="N1525" s="16">
        <v>432</v>
      </c>
      <c r="O1525" s="19">
        <v>0.66</v>
      </c>
      <c r="P1525" s="16">
        <v>163</v>
      </c>
      <c r="Q1525" s="16">
        <v>235</v>
      </c>
      <c r="R1525" s="16">
        <v>6</v>
      </c>
      <c r="S1525" s="18" t="s">
        <v>123</v>
      </c>
      <c r="T1525" s="18"/>
      <c r="U1525" s="17">
        <v>1500</v>
      </c>
      <c r="V1525" s="18" t="s">
        <v>44</v>
      </c>
      <c r="W1525" s="18" t="s">
        <v>184</v>
      </c>
      <c r="X1525" s="16">
        <v>10</v>
      </c>
      <c r="Y1525" s="43" t="str">
        <f>HYPERLINK("https://api-enni.alpina.ru/FilePrivilegesApproval/2","https://api-enni.alpina.ru/FilePrivilegesApproval/2")</f>
        <v>https://api-enni.alpina.ru/FilePrivilegesApproval/2</v>
      </c>
      <c r="Z1525" s="18"/>
      <c r="AS1525" s="1">
        <f>IF($A1525&lt;&gt;0,1,0)</f>
        <v>0</v>
      </c>
      <c r="AT1525" s="1">
        <f>$A1525*$B1525</f>
        <v>0</v>
      </c>
      <c r="AU1525" s="1">
        <f>$A1525*$O1525</f>
        <v>0</v>
      </c>
      <c r="AV1525" s="1">
        <f>IF($R1525=0,0,INT($A1525/$R1525))</f>
        <v>0</v>
      </c>
      <c r="AW1525" s="1">
        <f>$A1525-$AV1525*$R1525</f>
        <v>0</v>
      </c>
    </row>
    <row r="1526" ht="24.95" customHeight="1" outlineLevel="3" s="1" customFormat="1">
      <c r="A1526" s="15"/>
      <c r="B1526" s="17">
        <v>1290</v>
      </c>
      <c r="C1526" s="17">
        <v>1742</v>
      </c>
      <c r="D1526" s="16">
        <v>3729</v>
      </c>
      <c r="E1526" s="18"/>
      <c r="F1526" s="18" t="s">
        <v>5055</v>
      </c>
      <c r="G1526" s="18" t="s">
        <v>5056</v>
      </c>
      <c r="H1526" s="18" t="s">
        <v>86</v>
      </c>
      <c r="I1526" s="18" t="s">
        <v>74</v>
      </c>
      <c r="J1526" s="16">
        <v>2025</v>
      </c>
      <c r="K1526" s="18" t="s">
        <v>5057</v>
      </c>
      <c r="L1526" s="16">
        <v>9785961466683</v>
      </c>
      <c r="M1526" s="18" t="s">
        <v>5058</v>
      </c>
      <c r="N1526" s="16">
        <v>496</v>
      </c>
      <c r="O1526" s="19">
        <v>1.05</v>
      </c>
      <c r="P1526" s="16">
        <v>200</v>
      </c>
      <c r="Q1526" s="16">
        <v>260</v>
      </c>
      <c r="R1526" s="16">
        <v>5</v>
      </c>
      <c r="S1526" s="18" t="s">
        <v>328</v>
      </c>
      <c r="T1526" s="18"/>
      <c r="U1526" s="17">
        <v>1500</v>
      </c>
      <c r="V1526" s="18" t="s">
        <v>44</v>
      </c>
      <c r="W1526" s="18" t="s">
        <v>184</v>
      </c>
      <c r="X1526" s="16">
        <v>10</v>
      </c>
      <c r="Y1526" s="43" t="str">
        <f>HYPERLINK("https://api-enni.alpina.ru/FilePrivilegesApproval/153","https://api-enni.alpina.ru/FilePrivilegesApproval/153")</f>
        <v>https://api-enni.alpina.ru/FilePrivilegesApproval/153</v>
      </c>
      <c r="Z1526" s="18"/>
      <c r="AS1526" s="1">
        <f>IF($A1526&lt;&gt;0,1,0)</f>
        <v>0</v>
      </c>
      <c r="AT1526" s="1">
        <f>$A1526*$B1526</f>
        <v>0</v>
      </c>
      <c r="AU1526" s="1">
        <f>$A1526*$O1526</f>
        <v>0</v>
      </c>
      <c r="AV1526" s="1">
        <f>IF($R1526=0,0,INT($A1526/$R1526))</f>
        <v>0</v>
      </c>
      <c r="AW1526" s="1">
        <f>$A1526-$AV1526*$R1526</f>
        <v>0</v>
      </c>
    </row>
    <row r="1527" ht="24.95" customHeight="1" outlineLevel="3" s="1" customFormat="1">
      <c r="A1527" s="25"/>
      <c r="B1527" s="26">
        <v>890</v>
      </c>
      <c r="C1527" s="29">
        <v>1246</v>
      </c>
      <c r="D1527" s="26">
        <v>23501</v>
      </c>
      <c r="E1527" s="27"/>
      <c r="F1527" s="27" t="s">
        <v>5059</v>
      </c>
      <c r="G1527" s="27" t="s">
        <v>5060</v>
      </c>
      <c r="H1527" s="27" t="s">
        <v>86</v>
      </c>
      <c r="I1527" s="27" t="s">
        <v>74</v>
      </c>
      <c r="J1527" s="26">
        <v>2026</v>
      </c>
      <c r="K1527" s="27" t="s">
        <v>5061</v>
      </c>
      <c r="L1527" s="26">
        <v>9785961472820</v>
      </c>
      <c r="M1527" s="27" t="s">
        <v>5062</v>
      </c>
      <c r="N1527" s="26">
        <v>400</v>
      </c>
      <c r="O1527" s="28">
        <v>0.57</v>
      </c>
      <c r="P1527" s="26">
        <v>150</v>
      </c>
      <c r="Q1527" s="26">
        <v>220</v>
      </c>
      <c r="R1527" s="26">
        <v>10</v>
      </c>
      <c r="S1527" s="27" t="s">
        <v>43</v>
      </c>
      <c r="T1527" s="27"/>
      <c r="U1527" s="29">
        <v>1000</v>
      </c>
      <c r="V1527" s="27" t="s">
        <v>77</v>
      </c>
      <c r="W1527" s="27" t="s">
        <v>55</v>
      </c>
      <c r="X1527" s="26">
        <v>10</v>
      </c>
      <c r="Y1527" s="45" t="str">
        <f>HYPERLINK("https://api-enni.alpina.ru/FilePrivilegesApproval/132","https://api-enni.alpina.ru/FilePrivilegesApproval/132")</f>
        <v>https://api-enni.alpina.ru/FilePrivilegesApproval/132</v>
      </c>
      <c r="Z1527" s="27"/>
      <c r="AS1527" s="1">
        <f>IF($A1527&lt;&gt;0,1,0)</f>
        <v>0</v>
      </c>
      <c r="AT1527" s="1">
        <f>$A1527*$B1527</f>
        <v>0</v>
      </c>
      <c r="AU1527" s="1">
        <f>$A1527*$O1527</f>
        <v>0</v>
      </c>
      <c r="AV1527" s="1">
        <f>IF($R1527=0,0,INT($A1527/$R1527))</f>
        <v>0</v>
      </c>
      <c r="AW1527" s="1">
        <f>$A1527-$AV1527*$R1527</f>
        <v>0</v>
      </c>
    </row>
    <row r="1528" ht="24.95" customHeight="1" outlineLevel="3" s="1" customFormat="1">
      <c r="A1528" s="15"/>
      <c r="B1528" s="17">
        <v>2290</v>
      </c>
      <c r="C1528" s="17">
        <v>2977</v>
      </c>
      <c r="D1528" s="16">
        <v>17660</v>
      </c>
      <c r="E1528" s="18"/>
      <c r="F1528" s="18" t="s">
        <v>5063</v>
      </c>
      <c r="G1528" s="18" t="s">
        <v>5064</v>
      </c>
      <c r="H1528" s="18" t="s">
        <v>95</v>
      </c>
      <c r="I1528" s="18" t="s">
        <v>74</v>
      </c>
      <c r="J1528" s="16">
        <v>2022</v>
      </c>
      <c r="K1528" s="18" t="s">
        <v>5065</v>
      </c>
      <c r="L1528" s="16">
        <v>9785907394889</v>
      </c>
      <c r="M1528" s="18" t="s">
        <v>5066</v>
      </c>
      <c r="N1528" s="16">
        <v>634</v>
      </c>
      <c r="O1528" s="19">
        <v>1.1</v>
      </c>
      <c r="P1528" s="16">
        <v>171</v>
      </c>
      <c r="Q1528" s="16">
        <v>241</v>
      </c>
      <c r="R1528" s="16">
        <v>1</v>
      </c>
      <c r="S1528" s="18" t="s">
        <v>123</v>
      </c>
      <c r="T1528" s="18"/>
      <c r="U1528" s="17">
        <v>1000</v>
      </c>
      <c r="V1528" s="18" t="s">
        <v>77</v>
      </c>
      <c r="W1528" s="18" t="s">
        <v>91</v>
      </c>
      <c r="X1528" s="16">
        <v>10</v>
      </c>
      <c r="Y1528" s="43" t="str">
        <f>HYPERLINK("https://api-enni.alpina.ru/FilePrivilegesApproval/155","https://api-enni.alpina.ru/FilePrivilegesApproval/155")</f>
        <v>https://api-enni.alpina.ru/FilePrivilegesApproval/155</v>
      </c>
      <c r="Z1528" s="18"/>
      <c r="AS1528" s="1">
        <f>IF($A1528&lt;&gt;0,1,0)</f>
        <v>0</v>
      </c>
      <c r="AT1528" s="1">
        <f>$A1528*$B1528</f>
        <v>0</v>
      </c>
      <c r="AU1528" s="1">
        <f>$A1528*$O1528</f>
        <v>0</v>
      </c>
      <c r="AV1528" s="1">
        <f>IF($R1528=0,0,INT($A1528/$R1528))</f>
        <v>0</v>
      </c>
      <c r="AW1528" s="1">
        <f>$A1528-$AV1528*$R1528</f>
        <v>0</v>
      </c>
    </row>
    <row r="1529" ht="24.95" customHeight="1" outlineLevel="3" s="1" customFormat="1">
      <c r="A1529" s="15"/>
      <c r="B1529" s="16">
        <v>990</v>
      </c>
      <c r="C1529" s="17">
        <v>1386</v>
      </c>
      <c r="D1529" s="16">
        <v>7718</v>
      </c>
      <c r="E1529" s="18"/>
      <c r="F1529" s="18" t="s">
        <v>5067</v>
      </c>
      <c r="G1529" s="18" t="s">
        <v>5068</v>
      </c>
      <c r="H1529" s="18" t="s">
        <v>86</v>
      </c>
      <c r="I1529" s="18" t="s">
        <v>74</v>
      </c>
      <c r="J1529" s="16">
        <v>2025</v>
      </c>
      <c r="K1529" s="18" t="s">
        <v>5069</v>
      </c>
      <c r="L1529" s="16">
        <v>9785961467864</v>
      </c>
      <c r="M1529" s="18" t="s">
        <v>5070</v>
      </c>
      <c r="N1529" s="16">
        <v>248</v>
      </c>
      <c r="O1529" s="19">
        <v>0.53</v>
      </c>
      <c r="P1529" s="16">
        <v>171</v>
      </c>
      <c r="Q1529" s="16">
        <v>241</v>
      </c>
      <c r="R1529" s="16">
        <v>10</v>
      </c>
      <c r="S1529" s="18" t="s">
        <v>123</v>
      </c>
      <c r="T1529" s="18"/>
      <c r="U1529" s="17">
        <v>1000</v>
      </c>
      <c r="V1529" s="18" t="s">
        <v>77</v>
      </c>
      <c r="W1529" s="18" t="s">
        <v>184</v>
      </c>
      <c r="X1529" s="16">
        <v>10</v>
      </c>
      <c r="Y1529" s="43" t="str">
        <f>HYPERLINK("https://api-enni.alpina.ru/FilePrivilegesApproval/156","https://api-enni.alpina.ru/FilePrivilegesApproval/156")</f>
        <v>https://api-enni.alpina.ru/FilePrivilegesApproval/156</v>
      </c>
      <c r="Z1529" s="18"/>
      <c r="AS1529" s="1">
        <f>IF($A1529&lt;&gt;0,1,0)</f>
        <v>0</v>
      </c>
      <c r="AT1529" s="1">
        <f>$A1529*$B1529</f>
        <v>0</v>
      </c>
      <c r="AU1529" s="1">
        <f>$A1529*$O1529</f>
        <v>0</v>
      </c>
      <c r="AV1529" s="1">
        <f>IF($R1529=0,0,INT($A1529/$R1529))</f>
        <v>0</v>
      </c>
      <c r="AW1529" s="1">
        <f>$A1529-$AV1529*$R1529</f>
        <v>0</v>
      </c>
    </row>
    <row r="1530" ht="24.95" customHeight="1" outlineLevel="3" s="1" customFormat="1">
      <c r="A1530" s="15"/>
      <c r="B1530" s="16">
        <v>940</v>
      </c>
      <c r="C1530" s="17">
        <v>1316</v>
      </c>
      <c r="D1530" s="16">
        <v>32801</v>
      </c>
      <c r="E1530" s="18"/>
      <c r="F1530" s="18" t="s">
        <v>5071</v>
      </c>
      <c r="G1530" s="18" t="s">
        <v>5072</v>
      </c>
      <c r="H1530" s="18" t="s">
        <v>95</v>
      </c>
      <c r="I1530" s="18"/>
      <c r="J1530" s="16">
        <v>2025</v>
      </c>
      <c r="K1530" s="18" t="s">
        <v>5073</v>
      </c>
      <c r="L1530" s="16">
        <v>9785206004366</v>
      </c>
      <c r="M1530" s="18" t="s">
        <v>5074</v>
      </c>
      <c r="N1530" s="16">
        <v>245</v>
      </c>
      <c r="O1530" s="19">
        <v>0.4</v>
      </c>
      <c r="P1530" s="16">
        <v>150</v>
      </c>
      <c r="Q1530" s="16">
        <v>220</v>
      </c>
      <c r="R1530" s="16">
        <v>10</v>
      </c>
      <c r="S1530" s="18" t="s">
        <v>43</v>
      </c>
      <c r="T1530" s="18"/>
      <c r="U1530" s="17">
        <v>1500</v>
      </c>
      <c r="V1530" s="18" t="s">
        <v>77</v>
      </c>
      <c r="W1530" s="18" t="s">
        <v>69</v>
      </c>
      <c r="X1530" s="16">
        <v>10</v>
      </c>
      <c r="Y1530" s="43" t="str">
        <f>HYPERLINK("https://api-enni.alpina.ru/FilePrivilegesApproval/863","https://api-enni.alpina.ru/FilePrivilegesApproval/863")</f>
        <v>https://api-enni.alpina.ru/FilePrivilegesApproval/863</v>
      </c>
      <c r="Z1530" s="18"/>
      <c r="AS1530" s="1">
        <f>IF($A1530&lt;&gt;0,1,0)</f>
        <v>0</v>
      </c>
      <c r="AT1530" s="1">
        <f>$A1530*$B1530</f>
        <v>0</v>
      </c>
      <c r="AU1530" s="1">
        <f>$A1530*$O1530</f>
        <v>0</v>
      </c>
      <c r="AV1530" s="1">
        <f>IF($R1530=0,0,INT($A1530/$R1530))</f>
        <v>0</v>
      </c>
      <c r="AW1530" s="1">
        <f>$A1530-$AV1530*$R1530</f>
        <v>0</v>
      </c>
    </row>
    <row r="1531" ht="24.95" customHeight="1" outlineLevel="3" s="1" customFormat="1">
      <c r="A1531" s="25"/>
      <c r="B1531" s="29">
        <v>1090</v>
      </c>
      <c r="C1531" s="29">
        <v>1472</v>
      </c>
      <c r="D1531" s="26">
        <v>12357</v>
      </c>
      <c r="E1531" s="27"/>
      <c r="F1531" s="27" t="s">
        <v>5075</v>
      </c>
      <c r="G1531" s="27" t="s">
        <v>5076</v>
      </c>
      <c r="H1531" s="27" t="s">
        <v>86</v>
      </c>
      <c r="I1531" s="27" t="s">
        <v>74</v>
      </c>
      <c r="J1531" s="26">
        <v>2021</v>
      </c>
      <c r="K1531" s="27" t="s">
        <v>5077</v>
      </c>
      <c r="L1531" s="26">
        <v>9785961436389</v>
      </c>
      <c r="M1531" s="27" t="s">
        <v>5078</v>
      </c>
      <c r="N1531" s="26">
        <v>288</v>
      </c>
      <c r="O1531" s="28">
        <v>0.76</v>
      </c>
      <c r="P1531" s="26">
        <v>240</v>
      </c>
      <c r="Q1531" s="26">
        <v>210</v>
      </c>
      <c r="R1531" s="26">
        <v>8</v>
      </c>
      <c r="S1531" s="27" t="s">
        <v>83</v>
      </c>
      <c r="T1531" s="27"/>
      <c r="U1531" s="29">
        <v>2000</v>
      </c>
      <c r="V1531" s="27" t="s">
        <v>44</v>
      </c>
      <c r="W1531" s="27" t="s">
        <v>91</v>
      </c>
      <c r="X1531" s="26">
        <v>10</v>
      </c>
      <c r="Y1531" s="45" t="str">
        <f>HYPERLINK("https://api-enni.alpina.ru/FilePrivilegesApproval/72","https://api-enni.alpina.ru/FilePrivilegesApproval/72")</f>
        <v>https://api-enni.alpina.ru/FilePrivilegesApproval/72</v>
      </c>
      <c r="Z1531" s="27"/>
      <c r="AS1531" s="1">
        <f>IF($A1531&lt;&gt;0,1,0)</f>
        <v>0</v>
      </c>
      <c r="AT1531" s="1">
        <f>$A1531*$B1531</f>
        <v>0</v>
      </c>
      <c r="AU1531" s="1">
        <f>$A1531*$O1531</f>
        <v>0</v>
      </c>
      <c r="AV1531" s="1">
        <f>IF($R1531=0,0,INT($A1531/$R1531))</f>
        <v>0</v>
      </c>
      <c r="AW1531" s="1">
        <f>$A1531-$AV1531*$R1531</f>
        <v>0</v>
      </c>
    </row>
    <row r="1532" ht="24.95" customHeight="1" outlineLevel="3" s="1" customFormat="1">
      <c r="A1532" s="15"/>
      <c r="B1532" s="17">
        <v>1290</v>
      </c>
      <c r="C1532" s="17">
        <v>1742</v>
      </c>
      <c r="D1532" s="16">
        <v>5754</v>
      </c>
      <c r="E1532" s="18"/>
      <c r="F1532" s="18" t="s">
        <v>5047</v>
      </c>
      <c r="G1532" s="18" t="s">
        <v>5079</v>
      </c>
      <c r="H1532" s="18" t="s">
        <v>86</v>
      </c>
      <c r="I1532" s="18" t="s">
        <v>74</v>
      </c>
      <c r="J1532" s="16">
        <v>2025</v>
      </c>
      <c r="K1532" s="18" t="s">
        <v>5080</v>
      </c>
      <c r="L1532" s="16">
        <v>9785961407181</v>
      </c>
      <c r="M1532" s="18" t="s">
        <v>5081</v>
      </c>
      <c r="N1532" s="16">
        <v>350</v>
      </c>
      <c r="O1532" s="19">
        <v>0.68</v>
      </c>
      <c r="P1532" s="16">
        <v>170</v>
      </c>
      <c r="Q1532" s="16">
        <v>240</v>
      </c>
      <c r="R1532" s="16">
        <v>10</v>
      </c>
      <c r="S1532" s="18" t="s">
        <v>123</v>
      </c>
      <c r="T1532" s="18"/>
      <c r="U1532" s="17">
        <v>1000</v>
      </c>
      <c r="V1532" s="18" t="s">
        <v>77</v>
      </c>
      <c r="W1532" s="18" t="s">
        <v>184</v>
      </c>
      <c r="X1532" s="16">
        <v>10</v>
      </c>
      <c r="Y1532" s="43" t="str">
        <f>HYPERLINK("https://api-enni.alpina.ru/FilePrivilegesApproval/164","https://api-enni.alpina.ru/FilePrivilegesApproval/164")</f>
        <v>https://api-enni.alpina.ru/FilePrivilegesApproval/164</v>
      </c>
      <c r="Z1532" s="18"/>
      <c r="AS1532" s="1">
        <f>IF($A1532&lt;&gt;0,1,0)</f>
        <v>0</v>
      </c>
      <c r="AT1532" s="1">
        <f>$A1532*$B1532</f>
        <v>0</v>
      </c>
      <c r="AU1532" s="1">
        <f>$A1532*$O1532</f>
        <v>0</v>
      </c>
      <c r="AV1532" s="1">
        <f>IF($R1532=0,0,INT($A1532/$R1532))</f>
        <v>0</v>
      </c>
      <c r="AW1532" s="1">
        <f>$A1532-$AV1532*$R1532</f>
        <v>0</v>
      </c>
    </row>
    <row r="1533" ht="24.95" customHeight="1" outlineLevel="3" s="1" customFormat="1">
      <c r="A1533" s="15"/>
      <c r="B1533" s="17">
        <v>1990</v>
      </c>
      <c r="C1533" s="17">
        <v>2587</v>
      </c>
      <c r="D1533" s="16">
        <v>12573</v>
      </c>
      <c r="E1533" s="18"/>
      <c r="F1533" s="18" t="s">
        <v>5082</v>
      </c>
      <c r="G1533" s="18" t="s">
        <v>5083</v>
      </c>
      <c r="H1533" s="18" t="s">
        <v>86</v>
      </c>
      <c r="I1533" s="18" t="s">
        <v>74</v>
      </c>
      <c r="J1533" s="16">
        <v>2026</v>
      </c>
      <c r="K1533" s="18" t="s">
        <v>5084</v>
      </c>
      <c r="L1533" s="16">
        <v>9785961471991</v>
      </c>
      <c r="M1533" s="18" t="s">
        <v>5085</v>
      </c>
      <c r="N1533" s="16">
        <v>386</v>
      </c>
      <c r="O1533" s="19">
        <v>0.62</v>
      </c>
      <c r="P1533" s="16">
        <v>190</v>
      </c>
      <c r="Q1533" s="16">
        <v>240</v>
      </c>
      <c r="R1533" s="16">
        <v>6</v>
      </c>
      <c r="S1533" s="18" t="s">
        <v>328</v>
      </c>
      <c r="T1533" s="18" t="s">
        <v>816</v>
      </c>
      <c r="U1533" s="17">
        <v>2000</v>
      </c>
      <c r="V1533" s="18" t="s">
        <v>44</v>
      </c>
      <c r="W1533" s="18" t="s">
        <v>184</v>
      </c>
      <c r="X1533" s="16">
        <v>10</v>
      </c>
      <c r="Y1533" s="43" t="str">
        <f>HYPERLINK("https://api-enni.alpina.ru/FilePrivilegesApproval/140","https://api-enni.alpina.ru/FilePrivilegesApproval/140")</f>
        <v>https://api-enni.alpina.ru/FilePrivilegesApproval/140</v>
      </c>
      <c r="Z1533" s="18" t="s">
        <v>744</v>
      </c>
      <c r="AS1533" s="1">
        <f>IF($A1533&lt;&gt;0,1,0)</f>
        <v>0</v>
      </c>
      <c r="AT1533" s="1">
        <f>$A1533*$B1533</f>
        <v>0</v>
      </c>
      <c r="AU1533" s="1">
        <f>$A1533*$O1533</f>
        <v>0</v>
      </c>
      <c r="AV1533" s="1">
        <f>IF($R1533=0,0,INT($A1533/$R1533))</f>
        <v>0</v>
      </c>
      <c r="AW1533" s="1">
        <f>$A1533-$AV1533*$R1533</f>
        <v>0</v>
      </c>
    </row>
    <row r="1534" ht="24.95" customHeight="1" outlineLevel="3" s="1" customFormat="1">
      <c r="A1534" s="25"/>
      <c r="B1534" s="29">
        <v>1040</v>
      </c>
      <c r="C1534" s="29">
        <v>1404</v>
      </c>
      <c r="D1534" s="26">
        <v>25414</v>
      </c>
      <c r="E1534" s="27"/>
      <c r="F1534" s="27" t="s">
        <v>5086</v>
      </c>
      <c r="G1534" s="27" t="s">
        <v>5087</v>
      </c>
      <c r="H1534" s="27" t="s">
        <v>95</v>
      </c>
      <c r="I1534" s="27" t="s">
        <v>74</v>
      </c>
      <c r="J1534" s="26">
        <v>2025</v>
      </c>
      <c r="K1534" s="27" t="s">
        <v>5088</v>
      </c>
      <c r="L1534" s="26">
        <v>9785604784204</v>
      </c>
      <c r="M1534" s="27" t="s">
        <v>5089</v>
      </c>
      <c r="N1534" s="26">
        <v>216</v>
      </c>
      <c r="O1534" s="28">
        <v>0.46</v>
      </c>
      <c r="P1534" s="26">
        <v>170</v>
      </c>
      <c r="Q1534" s="26">
        <v>240</v>
      </c>
      <c r="R1534" s="26">
        <v>8</v>
      </c>
      <c r="S1534" s="27" t="s">
        <v>123</v>
      </c>
      <c r="T1534" s="27"/>
      <c r="U1534" s="29">
        <v>1000</v>
      </c>
      <c r="V1534" s="27" t="s">
        <v>77</v>
      </c>
      <c r="W1534" s="27" t="s">
        <v>91</v>
      </c>
      <c r="X1534" s="26">
        <v>10</v>
      </c>
      <c r="Y1534" s="45" t="str">
        <f>HYPERLINK("https://api-enni.alpina.ru/FilePrivilegesApproval/167","https://api-enni.alpina.ru/FilePrivilegesApproval/167")</f>
        <v>https://api-enni.alpina.ru/FilePrivilegesApproval/167</v>
      </c>
      <c r="Z1534" s="27"/>
      <c r="AS1534" s="1">
        <f>IF($A1534&lt;&gt;0,1,0)</f>
        <v>0</v>
      </c>
      <c r="AT1534" s="1">
        <f>$A1534*$B1534</f>
        <v>0</v>
      </c>
      <c r="AU1534" s="1">
        <f>$A1534*$O1534</f>
        <v>0</v>
      </c>
      <c r="AV1534" s="1">
        <f>IF($R1534=0,0,INT($A1534/$R1534))</f>
        <v>0</v>
      </c>
      <c r="AW1534" s="1">
        <f>$A1534-$AV1534*$R1534</f>
        <v>0</v>
      </c>
    </row>
    <row r="1535" ht="24.95" customHeight="1" outlineLevel="3" s="1" customFormat="1">
      <c r="A1535" s="15"/>
      <c r="B1535" s="16">
        <v>890</v>
      </c>
      <c r="C1535" s="17">
        <v>1246</v>
      </c>
      <c r="D1535" s="16">
        <v>31177</v>
      </c>
      <c r="E1535" s="18"/>
      <c r="F1535" s="18" t="s">
        <v>5090</v>
      </c>
      <c r="G1535" s="18" t="s">
        <v>5091</v>
      </c>
      <c r="H1535" s="18" t="s">
        <v>95</v>
      </c>
      <c r="I1535" s="18" t="s">
        <v>74</v>
      </c>
      <c r="J1535" s="16">
        <v>2024</v>
      </c>
      <c r="K1535" s="18" t="s">
        <v>5092</v>
      </c>
      <c r="L1535" s="16">
        <v>9785206003536</v>
      </c>
      <c r="M1535" s="18" t="s">
        <v>5093</v>
      </c>
      <c r="N1535" s="16">
        <v>226</v>
      </c>
      <c r="O1535" s="19">
        <v>0.38</v>
      </c>
      <c r="P1535" s="16">
        <v>150</v>
      </c>
      <c r="Q1535" s="16">
        <v>220</v>
      </c>
      <c r="R1535" s="16">
        <v>7</v>
      </c>
      <c r="S1535" s="18" t="s">
        <v>43</v>
      </c>
      <c r="T1535" s="18"/>
      <c r="U1535" s="17">
        <v>1000</v>
      </c>
      <c r="V1535" s="18" t="s">
        <v>77</v>
      </c>
      <c r="W1535" s="18" t="s">
        <v>69</v>
      </c>
      <c r="X1535" s="16">
        <v>10</v>
      </c>
      <c r="Y1535" s="43" t="str">
        <f>HYPERLINK("https://api-enni.alpina.ru/FilePrivilegesApproval/570","https://api-enni.alpina.ru/FilePrivilegesApproval/570")</f>
        <v>https://api-enni.alpina.ru/FilePrivilegesApproval/570</v>
      </c>
      <c r="Z1535" s="18"/>
      <c r="AS1535" s="1">
        <f>IF($A1535&lt;&gt;0,1,0)</f>
        <v>0</v>
      </c>
      <c r="AT1535" s="1">
        <f>$A1535*$B1535</f>
        <v>0</v>
      </c>
      <c r="AU1535" s="1">
        <f>$A1535*$O1535</f>
        <v>0</v>
      </c>
      <c r="AV1535" s="1">
        <f>IF($R1535=0,0,INT($A1535/$R1535))</f>
        <v>0</v>
      </c>
      <c r="AW1535" s="1">
        <f>$A1535-$AV1535*$R1535</f>
        <v>0</v>
      </c>
    </row>
    <row r="1536" ht="24.95" customHeight="1" outlineLevel="3" s="1" customFormat="1">
      <c r="A1536" s="15"/>
      <c r="B1536" s="16">
        <v>790</v>
      </c>
      <c r="C1536" s="17">
        <v>1146</v>
      </c>
      <c r="D1536" s="16">
        <v>26567</v>
      </c>
      <c r="E1536" s="18"/>
      <c r="F1536" s="18" t="s">
        <v>5094</v>
      </c>
      <c r="G1536" s="18" t="s">
        <v>5095</v>
      </c>
      <c r="H1536" s="18" t="s">
        <v>95</v>
      </c>
      <c r="I1536" s="18"/>
      <c r="J1536" s="16">
        <v>2023</v>
      </c>
      <c r="K1536" s="18" t="s">
        <v>5096</v>
      </c>
      <c r="L1536" s="16">
        <v>9785206000917</v>
      </c>
      <c r="M1536" s="18" t="s">
        <v>5097</v>
      </c>
      <c r="N1536" s="16">
        <v>138</v>
      </c>
      <c r="O1536" s="19">
        <v>0.36</v>
      </c>
      <c r="P1536" s="16">
        <v>168</v>
      </c>
      <c r="Q1536" s="16">
        <v>241</v>
      </c>
      <c r="R1536" s="16">
        <v>10</v>
      </c>
      <c r="S1536" s="18" t="s">
        <v>123</v>
      </c>
      <c r="T1536" s="18"/>
      <c r="U1536" s="17">
        <v>1010</v>
      </c>
      <c r="V1536" s="18" t="s">
        <v>77</v>
      </c>
      <c r="W1536" s="18" t="s">
        <v>91</v>
      </c>
      <c r="X1536" s="16">
        <v>10</v>
      </c>
      <c r="Y1536" s="43" t="str">
        <f>HYPERLINK("https://api-enni.alpina.ru/FilePrivilegesApproval/168","https://api-enni.alpina.ru/FilePrivilegesApproval/168")</f>
        <v>https://api-enni.alpina.ru/FilePrivilegesApproval/168</v>
      </c>
      <c r="Z1536" s="18"/>
      <c r="AS1536" s="1">
        <f>IF($A1536&lt;&gt;0,1,0)</f>
        <v>0</v>
      </c>
      <c r="AT1536" s="1">
        <f>$A1536*$B1536</f>
        <v>0</v>
      </c>
      <c r="AU1536" s="1">
        <f>$A1536*$O1536</f>
        <v>0</v>
      </c>
      <c r="AV1536" s="1">
        <f>IF($R1536=0,0,INT($A1536/$R1536))</f>
        <v>0</v>
      </c>
      <c r="AW1536" s="1">
        <f>$A1536-$AV1536*$R1536</f>
        <v>0</v>
      </c>
    </row>
    <row r="1537" ht="24.95" customHeight="1" outlineLevel="3" s="1" customFormat="1">
      <c r="A1537" s="15"/>
      <c r="B1537" s="16">
        <v>790</v>
      </c>
      <c r="C1537" s="17">
        <v>1146</v>
      </c>
      <c r="D1537" s="16">
        <v>22718</v>
      </c>
      <c r="E1537" s="18"/>
      <c r="F1537" s="18" t="s">
        <v>5098</v>
      </c>
      <c r="G1537" s="18" t="s">
        <v>5099</v>
      </c>
      <c r="H1537" s="18" t="s">
        <v>95</v>
      </c>
      <c r="I1537" s="18"/>
      <c r="J1537" s="16">
        <v>2021</v>
      </c>
      <c r="K1537" s="18" t="s">
        <v>5100</v>
      </c>
      <c r="L1537" s="16">
        <v>9785961461107</v>
      </c>
      <c r="M1537" s="18" t="s">
        <v>5101</v>
      </c>
      <c r="N1537" s="16">
        <v>192</v>
      </c>
      <c r="O1537" s="19">
        <v>0.32</v>
      </c>
      <c r="P1537" s="16">
        <v>146</v>
      </c>
      <c r="Q1537" s="16">
        <v>216</v>
      </c>
      <c r="R1537" s="16">
        <v>14</v>
      </c>
      <c r="S1537" s="18" t="s">
        <v>43</v>
      </c>
      <c r="T1537" s="18"/>
      <c r="U1537" s="17">
        <v>2000</v>
      </c>
      <c r="V1537" s="18" t="s">
        <v>77</v>
      </c>
      <c r="W1537" s="18" t="s">
        <v>91</v>
      </c>
      <c r="X1537" s="16">
        <v>10</v>
      </c>
      <c r="Y1537" s="43" t="str">
        <f>HYPERLINK("https://api-enni.alpina.ru/FilePrivilegesApproval/120","https://api-enni.alpina.ru/FilePrivilegesApproval/120")</f>
        <v>https://api-enni.alpina.ru/FilePrivilegesApproval/120</v>
      </c>
      <c r="Z1537" s="18"/>
      <c r="AS1537" s="1">
        <f>IF($A1537&lt;&gt;0,1,0)</f>
        <v>0</v>
      </c>
      <c r="AT1537" s="1">
        <f>$A1537*$B1537</f>
        <v>0</v>
      </c>
      <c r="AU1537" s="1">
        <f>$A1537*$O1537</f>
        <v>0</v>
      </c>
      <c r="AV1537" s="1">
        <f>IF($R1537=0,0,INT($A1537/$R1537))</f>
        <v>0</v>
      </c>
      <c r="AW1537" s="1">
        <f>$A1537-$AV1537*$R1537</f>
        <v>0</v>
      </c>
    </row>
    <row r="1538" ht="24.95" customHeight="1" outlineLevel="3" s="1" customFormat="1">
      <c r="A1538" s="15"/>
      <c r="B1538" s="16">
        <v>840</v>
      </c>
      <c r="C1538" s="17">
        <v>1218</v>
      </c>
      <c r="D1538" s="16">
        <v>4258</v>
      </c>
      <c r="E1538" s="18"/>
      <c r="F1538" s="18" t="s">
        <v>5102</v>
      </c>
      <c r="G1538" s="18" t="s">
        <v>5103</v>
      </c>
      <c r="H1538" s="18" t="s">
        <v>86</v>
      </c>
      <c r="I1538" s="18" t="s">
        <v>74</v>
      </c>
      <c r="J1538" s="16">
        <v>2025</v>
      </c>
      <c r="K1538" s="18" t="s">
        <v>5104</v>
      </c>
      <c r="L1538" s="16">
        <v>9785961470031</v>
      </c>
      <c r="M1538" s="18" t="s">
        <v>5105</v>
      </c>
      <c r="N1538" s="16">
        <v>192</v>
      </c>
      <c r="O1538" s="19">
        <v>0.43</v>
      </c>
      <c r="P1538" s="16">
        <v>170</v>
      </c>
      <c r="Q1538" s="16">
        <v>250</v>
      </c>
      <c r="R1538" s="16">
        <v>10</v>
      </c>
      <c r="S1538" s="18" t="s">
        <v>123</v>
      </c>
      <c r="T1538" s="18"/>
      <c r="U1538" s="17">
        <v>4000</v>
      </c>
      <c r="V1538" s="18" t="s">
        <v>77</v>
      </c>
      <c r="W1538" s="18" t="s">
        <v>184</v>
      </c>
      <c r="X1538" s="16">
        <v>10</v>
      </c>
      <c r="Y1538" s="43" t="str">
        <f>HYPERLINK("https://api-enni.alpina.ru/FilePrivilegesApproval/2","https://api-enni.alpina.ru/FilePrivilegesApproval/2")</f>
        <v>https://api-enni.alpina.ru/FilePrivilegesApproval/2</v>
      </c>
      <c r="Z1538" s="18"/>
      <c r="AS1538" s="1">
        <f>IF($A1538&lt;&gt;0,1,0)</f>
        <v>0</v>
      </c>
      <c r="AT1538" s="1">
        <f>$A1538*$B1538</f>
        <v>0</v>
      </c>
      <c r="AU1538" s="1">
        <f>$A1538*$O1538</f>
        <v>0</v>
      </c>
      <c r="AV1538" s="1">
        <f>IF($R1538=0,0,INT($A1538/$R1538))</f>
        <v>0</v>
      </c>
      <c r="AW1538" s="1">
        <f>$A1538-$AV1538*$R1538</f>
        <v>0</v>
      </c>
    </row>
    <row r="1539" ht="24.95" customHeight="1" outlineLevel="3" s="1" customFormat="1">
      <c r="A1539" s="25"/>
      <c r="B1539" s="26">
        <v>990</v>
      </c>
      <c r="C1539" s="29">
        <v>1386</v>
      </c>
      <c r="D1539" s="26">
        <v>8737</v>
      </c>
      <c r="E1539" s="27"/>
      <c r="F1539" s="27" t="s">
        <v>5106</v>
      </c>
      <c r="G1539" s="27" t="s">
        <v>5107</v>
      </c>
      <c r="H1539" s="27" t="s">
        <v>86</v>
      </c>
      <c r="I1539" s="27" t="s">
        <v>74</v>
      </c>
      <c r="J1539" s="26">
        <v>2025</v>
      </c>
      <c r="K1539" s="27" t="s">
        <v>5108</v>
      </c>
      <c r="L1539" s="26">
        <v>9785961412451</v>
      </c>
      <c r="M1539" s="27" t="s">
        <v>5109</v>
      </c>
      <c r="N1539" s="26">
        <v>288</v>
      </c>
      <c r="O1539" s="28">
        <v>0.52</v>
      </c>
      <c r="P1539" s="26">
        <v>171</v>
      </c>
      <c r="Q1539" s="26">
        <v>241</v>
      </c>
      <c r="R1539" s="26">
        <v>5</v>
      </c>
      <c r="S1539" s="27" t="s">
        <v>123</v>
      </c>
      <c r="T1539" s="27"/>
      <c r="U1539" s="29">
        <v>1000</v>
      </c>
      <c r="V1539" s="27" t="s">
        <v>77</v>
      </c>
      <c r="W1539" s="27" t="s">
        <v>184</v>
      </c>
      <c r="X1539" s="26">
        <v>10</v>
      </c>
      <c r="Y1539" s="45" t="str">
        <f>HYPERLINK("https://api-enni.alpina.ru/FilePrivilegesApproval/152","https://api-enni.alpina.ru/FilePrivilegesApproval/152")</f>
        <v>https://api-enni.alpina.ru/FilePrivilegesApproval/152</v>
      </c>
      <c r="Z1539" s="27"/>
      <c r="AS1539" s="1">
        <f>IF($A1539&lt;&gt;0,1,0)</f>
        <v>0</v>
      </c>
      <c r="AT1539" s="1">
        <f>$A1539*$B1539</f>
        <v>0</v>
      </c>
      <c r="AU1539" s="1">
        <f>$A1539*$O1539</f>
        <v>0</v>
      </c>
      <c r="AV1539" s="1">
        <f>IF($R1539=0,0,INT($A1539/$R1539))</f>
        <v>0</v>
      </c>
      <c r="AW1539" s="1">
        <f>$A1539-$AV1539*$R1539</f>
        <v>0</v>
      </c>
    </row>
    <row r="1540" ht="24.95" customHeight="1" outlineLevel="3" s="1" customFormat="1">
      <c r="A1540" s="15"/>
      <c r="B1540" s="17">
        <v>1990</v>
      </c>
      <c r="C1540" s="17">
        <v>2587</v>
      </c>
      <c r="D1540" s="16">
        <v>2431</v>
      </c>
      <c r="E1540" s="18"/>
      <c r="F1540" s="18" t="s">
        <v>812</v>
      </c>
      <c r="G1540" s="18" t="s">
        <v>813</v>
      </c>
      <c r="H1540" s="18" t="s">
        <v>86</v>
      </c>
      <c r="I1540" s="18" t="s">
        <v>74</v>
      </c>
      <c r="J1540" s="16">
        <v>2026</v>
      </c>
      <c r="K1540" s="18" t="s">
        <v>814</v>
      </c>
      <c r="L1540" s="16">
        <v>9785961470758</v>
      </c>
      <c r="M1540" s="18" t="s">
        <v>815</v>
      </c>
      <c r="N1540" s="16">
        <v>288</v>
      </c>
      <c r="O1540" s="19">
        <v>0.69</v>
      </c>
      <c r="P1540" s="16">
        <v>240</v>
      </c>
      <c r="Q1540" s="16">
        <v>190</v>
      </c>
      <c r="R1540" s="16">
        <v>8</v>
      </c>
      <c r="S1540" s="18" t="s">
        <v>328</v>
      </c>
      <c r="T1540" s="18" t="s">
        <v>816</v>
      </c>
      <c r="U1540" s="17">
        <v>3000</v>
      </c>
      <c r="V1540" s="18" t="s">
        <v>44</v>
      </c>
      <c r="W1540" s="18" t="s">
        <v>184</v>
      </c>
      <c r="X1540" s="16">
        <v>10</v>
      </c>
      <c r="Y1540" s="43" t="str">
        <f>HYPERLINK("https://api-enni.alpina.ru/FilePrivilegesApproval/2","https://api-enni.alpina.ru/FilePrivilegesApproval/2")</f>
        <v>https://api-enni.alpina.ru/FilePrivilegesApproval/2</v>
      </c>
      <c r="Z1540" s="18"/>
      <c r="AS1540" s="1">
        <f>IF($A1540&lt;&gt;0,1,0)</f>
        <v>0</v>
      </c>
      <c r="AT1540" s="1">
        <f>$A1540*$B1540</f>
        <v>0</v>
      </c>
      <c r="AU1540" s="1">
        <f>$A1540*$O1540</f>
        <v>0</v>
      </c>
      <c r="AV1540" s="1">
        <f>IF($R1540=0,0,INT($A1540/$R1540))</f>
        <v>0</v>
      </c>
      <c r="AW1540" s="1">
        <f>$A1540-$AV1540*$R1540</f>
        <v>0</v>
      </c>
    </row>
    <row r="1541" ht="24.95" customHeight="1" outlineLevel="3" s="1" customFormat="1">
      <c r="A1541" s="25"/>
      <c r="B1541" s="26">
        <v>890</v>
      </c>
      <c r="C1541" s="29">
        <v>1246</v>
      </c>
      <c r="D1541" s="26">
        <v>12506</v>
      </c>
      <c r="E1541" s="27"/>
      <c r="F1541" s="27" t="s">
        <v>5110</v>
      </c>
      <c r="G1541" s="27" t="s">
        <v>5111</v>
      </c>
      <c r="H1541" s="27" t="s">
        <v>86</v>
      </c>
      <c r="I1541" s="27" t="s">
        <v>74</v>
      </c>
      <c r="J1541" s="26">
        <v>2024</v>
      </c>
      <c r="K1541" s="27" t="s">
        <v>5112</v>
      </c>
      <c r="L1541" s="26">
        <v>9785961438598</v>
      </c>
      <c r="M1541" s="27" t="s">
        <v>5113</v>
      </c>
      <c r="N1541" s="26">
        <v>334</v>
      </c>
      <c r="O1541" s="28">
        <v>0.49</v>
      </c>
      <c r="P1541" s="26">
        <v>146</v>
      </c>
      <c r="Q1541" s="26">
        <v>216</v>
      </c>
      <c r="R1541" s="26">
        <v>5</v>
      </c>
      <c r="S1541" s="27" t="s">
        <v>43</v>
      </c>
      <c r="T1541" s="27"/>
      <c r="U1541" s="29">
        <v>1000</v>
      </c>
      <c r="V1541" s="27" t="s">
        <v>77</v>
      </c>
      <c r="W1541" s="27" t="s">
        <v>91</v>
      </c>
      <c r="X1541" s="26">
        <v>10</v>
      </c>
      <c r="Y1541" s="45" t="str">
        <f>HYPERLINK("https://api-enni.alpina.ru/FilePrivilegesApproval/72","https://api-enni.alpina.ru/FilePrivilegesApproval/72")</f>
        <v>https://api-enni.alpina.ru/FilePrivilegesApproval/72</v>
      </c>
      <c r="Z1541" s="27"/>
      <c r="AS1541" s="1">
        <f>IF($A1541&lt;&gt;0,1,0)</f>
        <v>0</v>
      </c>
      <c r="AT1541" s="1">
        <f>$A1541*$B1541</f>
        <v>0</v>
      </c>
      <c r="AU1541" s="1">
        <f>$A1541*$O1541</f>
        <v>0</v>
      </c>
      <c r="AV1541" s="1">
        <f>IF($R1541=0,0,INT($A1541/$R1541))</f>
        <v>0</v>
      </c>
      <c r="AW1541" s="1">
        <f>$A1541-$AV1541*$R1541</f>
        <v>0</v>
      </c>
    </row>
    <row r="1542" ht="24.95" customHeight="1" outlineLevel="3" s="1" customFormat="1">
      <c r="A1542" s="15"/>
      <c r="B1542" s="16">
        <v>700</v>
      </c>
      <c r="C1542" s="17">
        <v>1050</v>
      </c>
      <c r="D1542" s="16">
        <v>8565</v>
      </c>
      <c r="E1542" s="18"/>
      <c r="F1542" s="18" t="s">
        <v>5114</v>
      </c>
      <c r="G1542" s="18" t="s">
        <v>5115</v>
      </c>
      <c r="H1542" s="18" t="s">
        <v>86</v>
      </c>
      <c r="I1542" s="18" t="s">
        <v>74</v>
      </c>
      <c r="J1542" s="16">
        <v>2019</v>
      </c>
      <c r="K1542" s="18" t="s">
        <v>5116</v>
      </c>
      <c r="L1542" s="16">
        <v>9785961421408</v>
      </c>
      <c r="M1542" s="18" t="s">
        <v>5117</v>
      </c>
      <c r="N1542" s="16">
        <v>311</v>
      </c>
      <c r="O1542" s="19">
        <v>0.61</v>
      </c>
      <c r="P1542" s="16">
        <v>168</v>
      </c>
      <c r="Q1542" s="16">
        <v>241</v>
      </c>
      <c r="R1542" s="16">
        <v>8</v>
      </c>
      <c r="S1542" s="18" t="s">
        <v>123</v>
      </c>
      <c r="T1542" s="18"/>
      <c r="U1542" s="17">
        <v>2000</v>
      </c>
      <c r="V1542" s="18" t="s">
        <v>77</v>
      </c>
      <c r="W1542" s="18" t="s">
        <v>69</v>
      </c>
      <c r="X1542" s="16">
        <v>10</v>
      </c>
      <c r="Y1542" s="43" t="str">
        <f>HYPERLINK("https://api-enni.alpina.ru/FilePrivilegesApproval/2","https://api-enni.alpina.ru/FilePrivilegesApproval/2")</f>
        <v>https://api-enni.alpina.ru/FilePrivilegesApproval/2</v>
      </c>
      <c r="Z1542" s="18"/>
      <c r="AS1542" s="1">
        <f>IF($A1542&lt;&gt;0,1,0)</f>
        <v>0</v>
      </c>
      <c r="AT1542" s="1">
        <f>$A1542*$B1542</f>
        <v>0</v>
      </c>
      <c r="AU1542" s="1">
        <f>$A1542*$O1542</f>
        <v>0</v>
      </c>
      <c r="AV1542" s="1">
        <f>IF($R1542=0,0,INT($A1542/$R1542))</f>
        <v>0</v>
      </c>
      <c r="AW1542" s="1">
        <f>$A1542-$AV1542*$R1542</f>
        <v>0</v>
      </c>
    </row>
    <row r="1543" ht="24.95" customHeight="1" outlineLevel="3" s="1" customFormat="1">
      <c r="A1543" s="15"/>
      <c r="B1543" s="17">
        <v>1990</v>
      </c>
      <c r="C1543" s="17">
        <v>2587</v>
      </c>
      <c r="D1543" s="16">
        <v>4448</v>
      </c>
      <c r="E1543" s="18"/>
      <c r="F1543" s="18" t="s">
        <v>5118</v>
      </c>
      <c r="G1543" s="18" t="s">
        <v>5119</v>
      </c>
      <c r="H1543" s="18" t="s">
        <v>86</v>
      </c>
      <c r="I1543" s="18" t="s">
        <v>74</v>
      </c>
      <c r="J1543" s="16">
        <v>2025</v>
      </c>
      <c r="K1543" s="18" t="s">
        <v>5120</v>
      </c>
      <c r="L1543" s="16">
        <v>9785961467475</v>
      </c>
      <c r="M1543" s="18" t="s">
        <v>5121</v>
      </c>
      <c r="N1543" s="16">
        <v>312</v>
      </c>
      <c r="O1543" s="19">
        <v>0.74</v>
      </c>
      <c r="P1543" s="16">
        <v>240</v>
      </c>
      <c r="Q1543" s="16">
        <v>190</v>
      </c>
      <c r="R1543" s="16">
        <v>8</v>
      </c>
      <c r="S1543" s="18" t="s">
        <v>83</v>
      </c>
      <c r="T1543" s="18" t="s">
        <v>816</v>
      </c>
      <c r="U1543" s="17">
        <v>2000</v>
      </c>
      <c r="V1543" s="18" t="s">
        <v>44</v>
      </c>
      <c r="W1543" s="18" t="s">
        <v>184</v>
      </c>
      <c r="X1543" s="16">
        <v>10</v>
      </c>
      <c r="Y1543" s="43" t="str">
        <f>HYPERLINK("https://api-enni.alpina.ru/FilePrivilegesApproval/2","https://api-enni.alpina.ru/FilePrivilegesApproval/2")</f>
        <v>https://api-enni.alpina.ru/FilePrivilegesApproval/2</v>
      </c>
      <c r="Z1543" s="18"/>
      <c r="AS1543" s="1">
        <f>IF($A1543&lt;&gt;0,1,0)</f>
        <v>0</v>
      </c>
      <c r="AT1543" s="1">
        <f>$A1543*$B1543</f>
        <v>0</v>
      </c>
      <c r="AU1543" s="1">
        <f>$A1543*$O1543</f>
        <v>0</v>
      </c>
      <c r="AV1543" s="1">
        <f>IF($R1543=0,0,INT($A1543/$R1543))</f>
        <v>0</v>
      </c>
      <c r="AW1543" s="1">
        <f>$A1543-$AV1543*$R1543</f>
        <v>0</v>
      </c>
    </row>
    <row r="1544" ht="24.95" customHeight="1" outlineLevel="3" s="1" customFormat="1">
      <c r="A1544" s="15"/>
      <c r="B1544" s="16">
        <v>790</v>
      </c>
      <c r="C1544" s="17">
        <v>1146</v>
      </c>
      <c r="D1544" s="16">
        <v>24639</v>
      </c>
      <c r="E1544" s="18"/>
      <c r="F1544" s="18" t="s">
        <v>5122</v>
      </c>
      <c r="G1544" s="18" t="s">
        <v>5123</v>
      </c>
      <c r="H1544" s="18" t="s">
        <v>95</v>
      </c>
      <c r="I1544" s="18"/>
      <c r="J1544" s="16">
        <v>2022</v>
      </c>
      <c r="K1544" s="18" t="s">
        <v>5124</v>
      </c>
      <c r="L1544" s="16">
        <v>9785907534827</v>
      </c>
      <c r="M1544" s="18" t="s">
        <v>5125</v>
      </c>
      <c r="N1544" s="16">
        <v>200</v>
      </c>
      <c r="O1544" s="19">
        <v>0.47</v>
      </c>
      <c r="P1544" s="16">
        <v>146</v>
      </c>
      <c r="Q1544" s="16">
        <v>216</v>
      </c>
      <c r="R1544" s="16">
        <v>12</v>
      </c>
      <c r="S1544" s="18" t="s">
        <v>43</v>
      </c>
      <c r="T1544" s="18"/>
      <c r="U1544" s="17">
        <v>2000</v>
      </c>
      <c r="V1544" s="18" t="s">
        <v>77</v>
      </c>
      <c r="W1544" s="18" t="s">
        <v>91</v>
      </c>
      <c r="X1544" s="16">
        <v>10</v>
      </c>
      <c r="Y1544" s="43" t="str">
        <f>HYPERLINK("https://api-enni.alpina.ru/FilePrivilegesApproval/129","https://api-enni.alpina.ru/FilePrivilegesApproval/129")</f>
        <v>https://api-enni.alpina.ru/FilePrivilegesApproval/129</v>
      </c>
      <c r="Z1544" s="18"/>
      <c r="AS1544" s="1">
        <f>IF($A1544&lt;&gt;0,1,0)</f>
        <v>0</v>
      </c>
      <c r="AT1544" s="1">
        <f>$A1544*$B1544</f>
        <v>0</v>
      </c>
      <c r="AU1544" s="1">
        <f>$A1544*$O1544</f>
        <v>0</v>
      </c>
      <c r="AV1544" s="1">
        <f>IF($R1544=0,0,INT($A1544/$R1544))</f>
        <v>0</v>
      </c>
      <c r="AW1544" s="1">
        <f>$A1544-$AV1544*$R1544</f>
        <v>0</v>
      </c>
    </row>
    <row r="1545" ht="24.95" customHeight="1" outlineLevel="3" s="1" customFormat="1">
      <c r="A1545" s="15"/>
      <c r="B1545" s="16">
        <v>740</v>
      </c>
      <c r="C1545" s="17">
        <v>1073</v>
      </c>
      <c r="D1545" s="16">
        <v>24525</v>
      </c>
      <c r="E1545" s="18"/>
      <c r="F1545" s="18" t="s">
        <v>431</v>
      </c>
      <c r="G1545" s="18" t="s">
        <v>5126</v>
      </c>
      <c r="H1545" s="18" t="s">
        <v>95</v>
      </c>
      <c r="I1545" s="18" t="s">
        <v>74</v>
      </c>
      <c r="J1545" s="16">
        <v>2022</v>
      </c>
      <c r="K1545" s="18" t="s">
        <v>5127</v>
      </c>
      <c r="L1545" s="16">
        <v>9785907470866</v>
      </c>
      <c r="M1545" s="18" t="s">
        <v>5128</v>
      </c>
      <c r="N1545" s="16">
        <v>264</v>
      </c>
      <c r="O1545" s="19">
        <v>0.43</v>
      </c>
      <c r="P1545" s="16">
        <v>146</v>
      </c>
      <c r="Q1545" s="16">
        <v>216</v>
      </c>
      <c r="R1545" s="16">
        <v>10</v>
      </c>
      <c r="S1545" s="18" t="s">
        <v>43</v>
      </c>
      <c r="T1545" s="18"/>
      <c r="U1545" s="17">
        <v>1200</v>
      </c>
      <c r="V1545" s="18" t="s">
        <v>77</v>
      </c>
      <c r="W1545" s="18" t="s">
        <v>91</v>
      </c>
      <c r="X1545" s="16">
        <v>10</v>
      </c>
      <c r="Y1545" s="43" t="str">
        <f>HYPERLINK("https://api-enni.alpina.ru/FilePrivilegesApproval/129","https://api-enni.alpina.ru/FilePrivilegesApproval/129")</f>
        <v>https://api-enni.alpina.ru/FilePrivilegesApproval/129</v>
      </c>
      <c r="Z1545" s="18"/>
      <c r="AS1545" s="1">
        <f>IF($A1545&lt;&gt;0,1,0)</f>
        <v>0</v>
      </c>
      <c r="AT1545" s="1">
        <f>$A1545*$B1545</f>
        <v>0</v>
      </c>
      <c r="AU1545" s="1">
        <f>$A1545*$O1545</f>
        <v>0</v>
      </c>
      <c r="AV1545" s="1">
        <f>IF($R1545=0,0,INT($A1545/$R1545))</f>
        <v>0</v>
      </c>
      <c r="AW1545" s="1">
        <f>$A1545-$AV1545*$R1545</f>
        <v>0</v>
      </c>
    </row>
    <row r="1546" ht="24.95" customHeight="1" outlineLevel="3" s="1" customFormat="1">
      <c r="A1546" s="15"/>
      <c r="B1546" s="17">
        <v>1990</v>
      </c>
      <c r="C1546" s="17">
        <v>2587</v>
      </c>
      <c r="D1546" s="16">
        <v>3253</v>
      </c>
      <c r="E1546" s="18"/>
      <c r="F1546" s="18" t="s">
        <v>5129</v>
      </c>
      <c r="G1546" s="18" t="s">
        <v>5130</v>
      </c>
      <c r="H1546" s="18" t="s">
        <v>86</v>
      </c>
      <c r="I1546" s="18" t="s">
        <v>74</v>
      </c>
      <c r="J1546" s="16">
        <v>2025</v>
      </c>
      <c r="K1546" s="18" t="s">
        <v>5131</v>
      </c>
      <c r="L1546" s="16">
        <v>9785961460353</v>
      </c>
      <c r="M1546" s="18" t="s">
        <v>5132</v>
      </c>
      <c r="N1546" s="16">
        <v>624</v>
      </c>
      <c r="O1546" s="19">
        <v>1.26</v>
      </c>
      <c r="P1546" s="16">
        <v>200</v>
      </c>
      <c r="Q1546" s="16">
        <v>240</v>
      </c>
      <c r="R1546" s="16">
        <v>4</v>
      </c>
      <c r="S1546" s="18" t="s">
        <v>328</v>
      </c>
      <c r="T1546" s="18"/>
      <c r="U1546" s="17">
        <v>1500</v>
      </c>
      <c r="V1546" s="18" t="s">
        <v>77</v>
      </c>
      <c r="W1546" s="18" t="s">
        <v>184</v>
      </c>
      <c r="X1546" s="16">
        <v>10</v>
      </c>
      <c r="Y1546" s="43" t="str">
        <f>HYPERLINK("https://api-enni.alpina.ru/FilePrivilegesApproval/156","https://api-enni.alpina.ru/FilePrivilegesApproval/156")</f>
        <v>https://api-enni.alpina.ru/FilePrivilegesApproval/156</v>
      </c>
      <c r="Z1546" s="18"/>
      <c r="AS1546" s="1">
        <f>IF($A1546&lt;&gt;0,1,0)</f>
        <v>0</v>
      </c>
      <c r="AT1546" s="1">
        <f>$A1546*$B1546</f>
        <v>0</v>
      </c>
      <c r="AU1546" s="1">
        <f>$A1546*$O1546</f>
        <v>0</v>
      </c>
      <c r="AV1546" s="1">
        <f>IF($R1546=0,0,INT($A1546/$R1546))</f>
        <v>0</v>
      </c>
      <c r="AW1546" s="1">
        <f>$A1546-$AV1546*$R1546</f>
        <v>0</v>
      </c>
    </row>
    <row r="1547" ht="24.95" customHeight="1" outlineLevel="3" s="1" customFormat="1">
      <c r="A1547" s="15"/>
      <c r="B1547" s="17">
        <v>1990</v>
      </c>
      <c r="C1547" s="17">
        <v>2587</v>
      </c>
      <c r="D1547" s="16">
        <v>12572</v>
      </c>
      <c r="E1547" s="18"/>
      <c r="F1547" s="18" t="s">
        <v>5133</v>
      </c>
      <c r="G1547" s="18" t="s">
        <v>5134</v>
      </c>
      <c r="H1547" s="18" t="s">
        <v>86</v>
      </c>
      <c r="I1547" s="18" t="s">
        <v>74</v>
      </c>
      <c r="J1547" s="16">
        <v>2026</v>
      </c>
      <c r="K1547" s="18" t="s">
        <v>5135</v>
      </c>
      <c r="L1547" s="16">
        <v>9785961436587</v>
      </c>
      <c r="M1547" s="18" t="s">
        <v>5136</v>
      </c>
      <c r="N1547" s="16">
        <v>354</v>
      </c>
      <c r="O1547" s="19">
        <v>0.8</v>
      </c>
      <c r="P1547" s="16">
        <v>190</v>
      </c>
      <c r="Q1547" s="16">
        <v>240</v>
      </c>
      <c r="R1547" s="16">
        <v>6</v>
      </c>
      <c r="S1547" s="18" t="s">
        <v>83</v>
      </c>
      <c r="T1547" s="18" t="s">
        <v>816</v>
      </c>
      <c r="U1547" s="17">
        <v>2000</v>
      </c>
      <c r="V1547" s="18" t="s">
        <v>44</v>
      </c>
      <c r="W1547" s="18" t="s">
        <v>184</v>
      </c>
      <c r="X1547" s="16">
        <v>10</v>
      </c>
      <c r="Y1547" s="43" t="str">
        <f>HYPERLINK("https://api-enni.alpina.ru/FilePrivilegesApproval/141","https://api-enni.alpina.ru/FilePrivilegesApproval/141")</f>
        <v>https://api-enni.alpina.ru/FilePrivilegesApproval/141</v>
      </c>
      <c r="Z1547" s="18" t="s">
        <v>744</v>
      </c>
      <c r="AS1547" s="1">
        <f>IF($A1547&lt;&gt;0,1,0)</f>
        <v>0</v>
      </c>
      <c r="AT1547" s="1">
        <f>$A1547*$B1547</f>
        <v>0</v>
      </c>
      <c r="AU1547" s="1">
        <f>$A1547*$O1547</f>
        <v>0</v>
      </c>
      <c r="AV1547" s="1">
        <f>IF($R1547=0,0,INT($A1547/$R1547))</f>
        <v>0</v>
      </c>
      <c r="AW1547" s="1">
        <f>$A1547-$AV1547*$R1547</f>
        <v>0</v>
      </c>
    </row>
    <row r="1548" ht="24.95" customHeight="1" outlineLevel="3" s="1" customFormat="1">
      <c r="A1548" s="15"/>
      <c r="B1548" s="17">
        <v>1190</v>
      </c>
      <c r="C1548" s="17">
        <v>1606</v>
      </c>
      <c r="D1548" s="16">
        <v>9030</v>
      </c>
      <c r="E1548" s="18"/>
      <c r="F1548" s="18" t="s">
        <v>5137</v>
      </c>
      <c r="G1548" s="18" t="s">
        <v>5138</v>
      </c>
      <c r="H1548" s="18" t="s">
        <v>86</v>
      </c>
      <c r="I1548" s="18" t="s">
        <v>74</v>
      </c>
      <c r="J1548" s="16">
        <v>2026</v>
      </c>
      <c r="K1548" s="18" t="s">
        <v>5139</v>
      </c>
      <c r="L1548" s="16">
        <v>9785961423464</v>
      </c>
      <c r="M1548" s="18" t="s">
        <v>5140</v>
      </c>
      <c r="N1548" s="16">
        <v>370</v>
      </c>
      <c r="O1548" s="19">
        <v>0.69</v>
      </c>
      <c r="P1548" s="16">
        <v>170</v>
      </c>
      <c r="Q1548" s="16">
        <v>240</v>
      </c>
      <c r="R1548" s="16">
        <v>10</v>
      </c>
      <c r="S1548" s="18" t="s">
        <v>123</v>
      </c>
      <c r="T1548" s="18"/>
      <c r="U1548" s="17">
        <v>1000</v>
      </c>
      <c r="V1548" s="18" t="s">
        <v>77</v>
      </c>
      <c r="W1548" s="18" t="s">
        <v>184</v>
      </c>
      <c r="X1548" s="16">
        <v>10</v>
      </c>
      <c r="Y1548" s="43" t="str">
        <f>HYPERLINK("https://api-enni.alpina.ru/FilePrivilegesApproval/239","https://api-enni.alpina.ru/FilePrivilegesApproval/239")</f>
        <v>https://api-enni.alpina.ru/FilePrivilegesApproval/239</v>
      </c>
      <c r="Z1548" s="18"/>
      <c r="AS1548" s="1">
        <f>IF($A1548&lt;&gt;0,1,0)</f>
        <v>0</v>
      </c>
      <c r="AT1548" s="1">
        <f>$A1548*$B1548</f>
        <v>0</v>
      </c>
      <c r="AU1548" s="1">
        <f>$A1548*$O1548</f>
        <v>0</v>
      </c>
      <c r="AV1548" s="1">
        <f>IF($R1548=0,0,INT($A1548/$R1548))</f>
        <v>0</v>
      </c>
      <c r="AW1548" s="1">
        <f>$A1548-$AV1548*$R1548</f>
        <v>0</v>
      </c>
    </row>
    <row r="1549" ht="24.95" customHeight="1" outlineLevel="3" s="1" customFormat="1">
      <c r="A1549" s="15"/>
      <c r="B1549" s="17">
        <v>1490</v>
      </c>
      <c r="C1549" s="17">
        <v>2012</v>
      </c>
      <c r="D1549" s="16">
        <v>22582</v>
      </c>
      <c r="E1549" s="18"/>
      <c r="F1549" s="18" t="s">
        <v>5141</v>
      </c>
      <c r="G1549" s="18" t="s">
        <v>5142</v>
      </c>
      <c r="H1549" s="18" t="s">
        <v>95</v>
      </c>
      <c r="I1549" s="18"/>
      <c r="J1549" s="16">
        <v>2022</v>
      </c>
      <c r="K1549" s="18" t="s">
        <v>5143</v>
      </c>
      <c r="L1549" s="16">
        <v>9785907394490</v>
      </c>
      <c r="M1549" s="18" t="s">
        <v>5144</v>
      </c>
      <c r="N1549" s="16">
        <v>472</v>
      </c>
      <c r="O1549" s="19">
        <v>1.02</v>
      </c>
      <c r="P1549" s="16">
        <v>205</v>
      </c>
      <c r="Q1549" s="16">
        <v>205</v>
      </c>
      <c r="R1549" s="16">
        <v>3</v>
      </c>
      <c r="S1549" s="18" t="s">
        <v>52</v>
      </c>
      <c r="T1549" s="18"/>
      <c r="U1549" s="17">
        <v>3000</v>
      </c>
      <c r="V1549" s="18" t="s">
        <v>44</v>
      </c>
      <c r="W1549" s="18" t="s">
        <v>91</v>
      </c>
      <c r="X1549" s="16">
        <v>10</v>
      </c>
      <c r="Y1549" s="43" t="str">
        <f>HYPERLINK("https://api-enni.alpina.ru/FilePrivilegesApproval/120","https://api-enni.alpina.ru/FilePrivilegesApproval/120")</f>
        <v>https://api-enni.alpina.ru/FilePrivilegesApproval/120</v>
      </c>
      <c r="Z1549" s="18"/>
      <c r="AS1549" s="1">
        <f>IF($A1549&lt;&gt;0,1,0)</f>
        <v>0</v>
      </c>
      <c r="AT1549" s="1">
        <f>$A1549*$B1549</f>
        <v>0</v>
      </c>
      <c r="AU1549" s="1">
        <f>$A1549*$O1549</f>
        <v>0</v>
      </c>
      <c r="AV1549" s="1">
        <f>IF($R1549=0,0,INT($A1549/$R1549))</f>
        <v>0</v>
      </c>
      <c r="AW1549" s="1">
        <f>$A1549-$AV1549*$R1549</f>
        <v>0</v>
      </c>
    </row>
    <row r="1550" ht="11.1" customHeight="1" outlineLevel="2">
      <c r="A1550" s="41" t="s">
        <v>5145</v>
      </c>
      <c r="B1550" s="41"/>
      <c r="C1550" s="41"/>
      <c r="D1550" s="41"/>
      <c r="E1550" s="41"/>
      <c r="F1550" s="41"/>
      <c r="G1550" s="41"/>
      <c r="H1550" s="41"/>
      <c r="I1550" s="41"/>
      <c r="J1550" s="41"/>
      <c r="K1550" s="41"/>
      <c r="L1550" s="41"/>
      <c r="M1550" s="41"/>
      <c r="N1550" s="41"/>
      <c r="O1550" s="41"/>
      <c r="P1550" s="41"/>
      <c r="Q1550" s="41"/>
      <c r="R1550" s="41"/>
      <c r="S1550" s="41"/>
      <c r="T1550" s="41"/>
      <c r="U1550" s="41"/>
      <c r="V1550" s="41"/>
      <c r="W1550" s="41"/>
      <c r="X1550" s="41"/>
      <c r="Y1550" s="41"/>
      <c r="Z1550" s="24"/>
    </row>
    <row r="1551" ht="24.95" customHeight="1" outlineLevel="3" s="1" customFormat="1">
      <c r="A1551" s="15"/>
      <c r="B1551" s="16">
        <v>690</v>
      </c>
      <c r="C1551" s="17">
        <v>1035</v>
      </c>
      <c r="D1551" s="16">
        <v>12650</v>
      </c>
      <c r="E1551" s="18"/>
      <c r="F1551" s="18" t="s">
        <v>5146</v>
      </c>
      <c r="G1551" s="18" t="s">
        <v>5147</v>
      </c>
      <c r="H1551" s="18" t="s">
        <v>86</v>
      </c>
      <c r="I1551" s="18" t="s">
        <v>74</v>
      </c>
      <c r="J1551" s="16">
        <v>2021</v>
      </c>
      <c r="K1551" s="18" t="s">
        <v>5148</v>
      </c>
      <c r="L1551" s="16">
        <v>9785961440171</v>
      </c>
      <c r="M1551" s="18" t="s">
        <v>5149</v>
      </c>
      <c r="N1551" s="16">
        <v>352</v>
      </c>
      <c r="O1551" s="19">
        <v>0.66</v>
      </c>
      <c r="P1551" s="16">
        <v>168</v>
      </c>
      <c r="Q1551" s="16">
        <v>241</v>
      </c>
      <c r="R1551" s="16">
        <v>6</v>
      </c>
      <c r="S1551" s="18" t="s">
        <v>123</v>
      </c>
      <c r="T1551" s="18"/>
      <c r="U1551" s="17">
        <v>3000</v>
      </c>
      <c r="V1551" s="18" t="s">
        <v>77</v>
      </c>
      <c r="W1551" s="18" t="s">
        <v>184</v>
      </c>
      <c r="X1551" s="16">
        <v>10</v>
      </c>
      <c r="Y1551" s="43" t="str">
        <f>HYPERLINK("https://api-enni.alpina.ru/FilePrivilegesApproval/73","https://api-enni.alpina.ru/FilePrivilegesApproval/73")</f>
        <v>https://api-enni.alpina.ru/FilePrivilegesApproval/73</v>
      </c>
      <c r="Z1551" s="18"/>
      <c r="AS1551" s="1">
        <f>IF($A1551&lt;&gt;0,1,0)</f>
        <v>0</v>
      </c>
      <c r="AT1551" s="1">
        <f>$A1551*$B1551</f>
        <v>0</v>
      </c>
      <c r="AU1551" s="1">
        <f>$A1551*$O1551</f>
        <v>0</v>
      </c>
      <c r="AV1551" s="1">
        <f>IF($R1551=0,0,INT($A1551/$R1551))</f>
        <v>0</v>
      </c>
      <c r="AW1551" s="1">
        <f>$A1551-$AV1551*$R1551</f>
        <v>0</v>
      </c>
    </row>
    <row r="1552" ht="24.95" customHeight="1" outlineLevel="3" s="1" customFormat="1">
      <c r="A1552" s="15"/>
      <c r="B1552" s="16">
        <v>840</v>
      </c>
      <c r="C1552" s="17">
        <v>1218</v>
      </c>
      <c r="D1552" s="16">
        <v>24074</v>
      </c>
      <c r="E1552" s="18"/>
      <c r="F1552" s="18" t="s">
        <v>5150</v>
      </c>
      <c r="G1552" s="18" t="s">
        <v>5151</v>
      </c>
      <c r="H1552" s="18" t="s">
        <v>95</v>
      </c>
      <c r="I1552" s="18" t="s">
        <v>74</v>
      </c>
      <c r="J1552" s="16">
        <v>2026</v>
      </c>
      <c r="K1552" s="18" t="s">
        <v>5152</v>
      </c>
      <c r="L1552" s="16">
        <v>9785907470668</v>
      </c>
      <c r="M1552" s="18" t="s">
        <v>5153</v>
      </c>
      <c r="N1552" s="16">
        <v>272</v>
      </c>
      <c r="O1552" s="19">
        <v>0.54</v>
      </c>
      <c r="P1552" s="16">
        <v>171</v>
      </c>
      <c r="Q1552" s="16">
        <v>241</v>
      </c>
      <c r="R1552" s="16">
        <v>10</v>
      </c>
      <c r="S1552" s="18" t="s">
        <v>123</v>
      </c>
      <c r="T1552" s="18"/>
      <c r="U1552" s="17">
        <v>1000</v>
      </c>
      <c r="V1552" s="18" t="s">
        <v>77</v>
      </c>
      <c r="W1552" s="18" t="s">
        <v>184</v>
      </c>
      <c r="X1552" s="16">
        <v>10</v>
      </c>
      <c r="Y1552" s="43" t="str">
        <f>HYPERLINK("https://api-enni.alpina.ru/FilePrivilegesApproval/142","https://api-enni.alpina.ru/FilePrivilegesApproval/142")</f>
        <v>https://api-enni.alpina.ru/FilePrivilegesApproval/142</v>
      </c>
      <c r="Z1552" s="18" t="s">
        <v>629</v>
      </c>
      <c r="AS1552" s="1">
        <f>IF($A1552&lt;&gt;0,1,0)</f>
        <v>0</v>
      </c>
      <c r="AT1552" s="1">
        <f>$A1552*$B1552</f>
        <v>0</v>
      </c>
      <c r="AU1552" s="1">
        <f>$A1552*$O1552</f>
        <v>0</v>
      </c>
      <c r="AV1552" s="1">
        <f>IF($R1552=0,0,INT($A1552/$R1552))</f>
        <v>0</v>
      </c>
      <c r="AW1552" s="1">
        <f>$A1552-$AV1552*$R1552</f>
        <v>0</v>
      </c>
    </row>
    <row r="1553" ht="24.95" customHeight="1" outlineLevel="3" s="1" customFormat="1">
      <c r="A1553" s="15"/>
      <c r="B1553" s="16">
        <v>854</v>
      </c>
      <c r="C1553" s="17">
        <v>1196</v>
      </c>
      <c r="D1553" s="16">
        <v>33153</v>
      </c>
      <c r="E1553" s="18"/>
      <c r="F1553" s="18" t="s">
        <v>5154</v>
      </c>
      <c r="G1553" s="18" t="s">
        <v>5155</v>
      </c>
      <c r="H1553" s="18" t="s">
        <v>95</v>
      </c>
      <c r="I1553" s="18"/>
      <c r="J1553" s="16">
        <v>2025</v>
      </c>
      <c r="K1553" s="18" t="s">
        <v>5156</v>
      </c>
      <c r="L1553" s="16">
        <v>9785206004588</v>
      </c>
      <c r="M1553" s="18" t="s">
        <v>5157</v>
      </c>
      <c r="N1553" s="16">
        <v>232</v>
      </c>
      <c r="O1553" s="19">
        <v>0.3</v>
      </c>
      <c r="P1553" s="16">
        <v>140</v>
      </c>
      <c r="Q1553" s="16">
        <v>210</v>
      </c>
      <c r="R1553" s="16">
        <v>14</v>
      </c>
      <c r="S1553" s="18" t="s">
        <v>43</v>
      </c>
      <c r="T1553" s="18" t="s">
        <v>5158</v>
      </c>
      <c r="U1553" s="17">
        <v>2000</v>
      </c>
      <c r="V1553" s="18" t="s">
        <v>44</v>
      </c>
      <c r="W1553" s="18" t="s">
        <v>45</v>
      </c>
      <c r="X1553" s="16">
        <v>22</v>
      </c>
      <c r="Y1553" s="43" t="str">
        <f>HYPERLINK("","")</f>
      </c>
      <c r="Z1553" s="18"/>
      <c r="AS1553" s="1">
        <f>IF($A1553&lt;&gt;0,1,0)</f>
        <v>0</v>
      </c>
      <c r="AT1553" s="1">
        <f>$A1553*$B1553</f>
        <v>0</v>
      </c>
      <c r="AU1553" s="1">
        <f>$A1553*$O1553</f>
        <v>0</v>
      </c>
      <c r="AV1553" s="1">
        <f>IF($R1553=0,0,INT($A1553/$R1553))</f>
        <v>0</v>
      </c>
      <c r="AW1553" s="1">
        <f>$A1553-$AV1553*$R1553</f>
        <v>0</v>
      </c>
    </row>
    <row r="1554" ht="24.95" customHeight="1" outlineLevel="3" s="1" customFormat="1">
      <c r="A1554" s="15"/>
      <c r="B1554" s="16">
        <v>890</v>
      </c>
      <c r="C1554" s="17">
        <v>1246</v>
      </c>
      <c r="D1554" s="16">
        <v>29694</v>
      </c>
      <c r="E1554" s="18"/>
      <c r="F1554" s="18" t="s">
        <v>5159</v>
      </c>
      <c r="G1554" s="18" t="s">
        <v>5160</v>
      </c>
      <c r="H1554" s="18" t="s">
        <v>95</v>
      </c>
      <c r="I1554" s="18"/>
      <c r="J1554" s="16">
        <v>2024</v>
      </c>
      <c r="K1554" s="18" t="s">
        <v>5161</v>
      </c>
      <c r="L1554" s="16">
        <v>9785206002935</v>
      </c>
      <c r="M1554" s="18" t="s">
        <v>5162</v>
      </c>
      <c r="N1554" s="16">
        <v>224</v>
      </c>
      <c r="O1554" s="19">
        <v>0.5</v>
      </c>
      <c r="P1554" s="16">
        <v>160</v>
      </c>
      <c r="Q1554" s="16">
        <v>210</v>
      </c>
      <c r="R1554" s="16">
        <v>12</v>
      </c>
      <c r="S1554" s="18" t="s">
        <v>43</v>
      </c>
      <c r="T1554" s="18"/>
      <c r="U1554" s="17">
        <v>1505</v>
      </c>
      <c r="V1554" s="18" t="s">
        <v>77</v>
      </c>
      <c r="W1554" s="18" t="s">
        <v>69</v>
      </c>
      <c r="X1554" s="16">
        <v>10</v>
      </c>
      <c r="Y1554" s="43" t="str">
        <f>HYPERLINK("https://api-enni.alpina.ru/FilePrivilegesApproval/538","https://api-enni.alpina.ru/FilePrivilegesApproval/538")</f>
        <v>https://api-enni.alpina.ru/FilePrivilegesApproval/538</v>
      </c>
      <c r="Z1554" s="18"/>
      <c r="AS1554" s="1">
        <f>IF($A1554&lt;&gt;0,1,0)</f>
        <v>0</v>
      </c>
      <c r="AT1554" s="1">
        <f>$A1554*$B1554</f>
        <v>0</v>
      </c>
      <c r="AU1554" s="1">
        <f>$A1554*$O1554</f>
        <v>0</v>
      </c>
      <c r="AV1554" s="1">
        <f>IF($R1554=0,0,INT($A1554/$R1554))</f>
        <v>0</v>
      </c>
      <c r="AW1554" s="1">
        <f>$A1554-$AV1554*$R1554</f>
        <v>0</v>
      </c>
    </row>
    <row r="1555" ht="24.95" customHeight="1" outlineLevel="3" s="1" customFormat="1">
      <c r="A1555" s="15"/>
      <c r="B1555" s="16">
        <v>890</v>
      </c>
      <c r="C1555" s="17">
        <v>1472</v>
      </c>
      <c r="D1555" s="16">
        <v>26935</v>
      </c>
      <c r="E1555" s="18"/>
      <c r="F1555" s="18" t="s">
        <v>2004</v>
      </c>
      <c r="G1555" s="18" t="s">
        <v>5163</v>
      </c>
      <c r="H1555" s="18" t="s">
        <v>86</v>
      </c>
      <c r="I1555" s="18"/>
      <c r="J1555" s="16">
        <v>2025</v>
      </c>
      <c r="K1555" s="18" t="s">
        <v>5164</v>
      </c>
      <c r="L1555" s="16">
        <v>9785961483390</v>
      </c>
      <c r="M1555" s="18" t="s">
        <v>5165</v>
      </c>
      <c r="N1555" s="16">
        <v>290</v>
      </c>
      <c r="O1555" s="19">
        <v>0.46</v>
      </c>
      <c r="P1555" s="16">
        <v>140</v>
      </c>
      <c r="Q1555" s="16">
        <v>210</v>
      </c>
      <c r="R1555" s="16">
        <v>10</v>
      </c>
      <c r="S1555" s="18" t="s">
        <v>43</v>
      </c>
      <c r="T1555" s="18"/>
      <c r="U1555" s="17">
        <v>2000</v>
      </c>
      <c r="V1555" s="18" t="s">
        <v>44</v>
      </c>
      <c r="W1555" s="18" t="s">
        <v>91</v>
      </c>
      <c r="X1555" s="16">
        <v>10</v>
      </c>
      <c r="Y1555" s="43" t="str">
        <f>HYPERLINK("https://api-enni.alpina.ru/FilePrivilegesApproval/164","https://api-enni.alpina.ru/FilePrivilegesApproval/164")</f>
        <v>https://api-enni.alpina.ru/FilePrivilegesApproval/164</v>
      </c>
      <c r="Z1555" s="18"/>
      <c r="AS1555" s="1">
        <f>IF($A1555&lt;&gt;0,1,0)</f>
        <v>0</v>
      </c>
      <c r="AT1555" s="1">
        <f>$A1555*$B1555</f>
        <v>0</v>
      </c>
      <c r="AU1555" s="1">
        <f>$A1555*$O1555</f>
        <v>0</v>
      </c>
      <c r="AV1555" s="1">
        <f>IF($R1555=0,0,INT($A1555/$R1555))</f>
        <v>0</v>
      </c>
      <c r="AW1555" s="1">
        <f>$A1555-$AV1555*$R1555</f>
        <v>0</v>
      </c>
    </row>
    <row r="1556" ht="24.95" customHeight="1" outlineLevel="3" s="1" customFormat="1">
      <c r="A1556" s="15"/>
      <c r="B1556" s="16">
        <v>990</v>
      </c>
      <c r="C1556" s="17">
        <v>1386</v>
      </c>
      <c r="D1556" s="16">
        <v>24093</v>
      </c>
      <c r="E1556" s="18"/>
      <c r="F1556" s="18" t="s">
        <v>5166</v>
      </c>
      <c r="G1556" s="18" t="s">
        <v>5167</v>
      </c>
      <c r="H1556" s="18" t="s">
        <v>95</v>
      </c>
      <c r="I1556" s="18"/>
      <c r="J1556" s="16">
        <v>2022</v>
      </c>
      <c r="K1556" s="18" t="s">
        <v>5168</v>
      </c>
      <c r="L1556" s="16">
        <v>9785907534025</v>
      </c>
      <c r="M1556" s="18" t="s">
        <v>5169</v>
      </c>
      <c r="N1556" s="16">
        <v>282</v>
      </c>
      <c r="O1556" s="19">
        <v>0.57</v>
      </c>
      <c r="P1556" s="16">
        <v>168</v>
      </c>
      <c r="Q1556" s="16">
        <v>241</v>
      </c>
      <c r="R1556" s="16">
        <v>6</v>
      </c>
      <c r="S1556" s="18" t="s">
        <v>123</v>
      </c>
      <c r="T1556" s="18"/>
      <c r="U1556" s="17">
        <v>1500</v>
      </c>
      <c r="V1556" s="18" t="s">
        <v>77</v>
      </c>
      <c r="W1556" s="18" t="s">
        <v>69</v>
      </c>
      <c r="X1556" s="16">
        <v>10</v>
      </c>
      <c r="Y1556" s="43" t="str">
        <f>HYPERLINK("https://api-enni.alpina.ru/FilePrivilegesApproval/139","https://api-enni.alpina.ru/FilePrivilegesApproval/139")</f>
        <v>https://api-enni.alpina.ru/FilePrivilegesApproval/139</v>
      </c>
      <c r="Z1556" s="18"/>
      <c r="AS1556" s="1">
        <f>IF($A1556&lt;&gt;0,1,0)</f>
        <v>0</v>
      </c>
      <c r="AT1556" s="1">
        <f>$A1556*$B1556</f>
        <v>0</v>
      </c>
      <c r="AU1556" s="1">
        <f>$A1556*$O1556</f>
        <v>0</v>
      </c>
      <c r="AV1556" s="1">
        <f>IF($R1556=0,0,INT($A1556/$R1556))</f>
        <v>0</v>
      </c>
      <c r="AW1556" s="1">
        <f>$A1556-$AV1556*$R1556</f>
        <v>0</v>
      </c>
    </row>
    <row r="1557" ht="24.95" customHeight="1" outlineLevel="3" s="1" customFormat="1">
      <c r="A1557" s="15"/>
      <c r="B1557" s="17">
        <v>1108</v>
      </c>
      <c r="C1557" s="17">
        <v>1496</v>
      </c>
      <c r="D1557" s="16">
        <v>27468</v>
      </c>
      <c r="E1557" s="18"/>
      <c r="F1557" s="18" t="s">
        <v>5170</v>
      </c>
      <c r="G1557" s="18" t="s">
        <v>5171</v>
      </c>
      <c r="H1557" s="18" t="s">
        <v>95</v>
      </c>
      <c r="I1557" s="18"/>
      <c r="J1557" s="16">
        <v>2023</v>
      </c>
      <c r="K1557" s="18" t="s">
        <v>5172</v>
      </c>
      <c r="L1557" s="16">
        <v>9785206001525</v>
      </c>
      <c r="M1557" s="18" t="s">
        <v>5173</v>
      </c>
      <c r="N1557" s="16">
        <v>304</v>
      </c>
      <c r="O1557" s="19">
        <v>0.59</v>
      </c>
      <c r="P1557" s="16">
        <v>170</v>
      </c>
      <c r="Q1557" s="16">
        <v>240</v>
      </c>
      <c r="R1557" s="16">
        <v>8</v>
      </c>
      <c r="S1557" s="18" t="s">
        <v>123</v>
      </c>
      <c r="T1557" s="18"/>
      <c r="U1557" s="17">
        <v>1000</v>
      </c>
      <c r="V1557" s="18" t="s">
        <v>77</v>
      </c>
      <c r="W1557" s="18" t="s">
        <v>45</v>
      </c>
      <c r="X1557" s="16">
        <v>22</v>
      </c>
      <c r="Y1557" s="43" t="str">
        <f>HYPERLINK("https://api-enni.alpina.ru/FilePrivilegesApproval/286","https://api-enni.alpina.ru/FilePrivilegesApproval/286")</f>
        <v>https://api-enni.alpina.ru/FilePrivilegesApproval/286</v>
      </c>
      <c r="Z1557" s="18"/>
      <c r="AS1557" s="1">
        <f>IF($A1557&lt;&gt;0,1,0)</f>
        <v>0</v>
      </c>
      <c r="AT1557" s="1">
        <f>$A1557*$B1557</f>
        <v>0</v>
      </c>
      <c r="AU1557" s="1">
        <f>$A1557*$O1557</f>
        <v>0</v>
      </c>
      <c r="AV1557" s="1">
        <f>IF($R1557=0,0,INT($A1557/$R1557))</f>
        <v>0</v>
      </c>
      <c r="AW1557" s="1">
        <f>$A1557-$AV1557*$R1557</f>
        <v>0</v>
      </c>
    </row>
    <row r="1558" ht="21.95" customHeight="1" outlineLevel="3" s="1" customFormat="1">
      <c r="A1558" s="15"/>
      <c r="B1558" s="17">
        <v>1261</v>
      </c>
      <c r="C1558" s="17">
        <v>1702</v>
      </c>
      <c r="D1558" s="16">
        <v>33148</v>
      </c>
      <c r="E1558" s="18"/>
      <c r="F1558" s="18" t="s">
        <v>2159</v>
      </c>
      <c r="G1558" s="18" t="s">
        <v>5174</v>
      </c>
      <c r="H1558" s="18" t="s">
        <v>95</v>
      </c>
      <c r="I1558" s="18"/>
      <c r="J1558" s="16">
        <v>2025</v>
      </c>
      <c r="K1558" s="18" t="s">
        <v>5175</v>
      </c>
      <c r="L1558" s="16">
        <v>9785206004557</v>
      </c>
      <c r="M1558" s="18" t="s">
        <v>5176</v>
      </c>
      <c r="N1558" s="16">
        <v>416</v>
      </c>
      <c r="O1558" s="19">
        <v>0.77</v>
      </c>
      <c r="P1558" s="16">
        <v>170</v>
      </c>
      <c r="Q1558" s="16">
        <v>240</v>
      </c>
      <c r="R1558" s="16">
        <v>6</v>
      </c>
      <c r="S1558" s="18" t="s">
        <v>123</v>
      </c>
      <c r="T1558" s="18" t="s">
        <v>5158</v>
      </c>
      <c r="U1558" s="17">
        <v>2000</v>
      </c>
      <c r="V1558" s="18" t="s">
        <v>77</v>
      </c>
      <c r="W1558" s="18" t="s">
        <v>45</v>
      </c>
      <c r="X1558" s="16">
        <v>22</v>
      </c>
      <c r="Y1558" s="43" t="str">
        <f>HYPERLINK("","")</f>
      </c>
      <c r="Z1558" s="18"/>
      <c r="AS1558" s="1">
        <f>IF($A1558&lt;&gt;0,1,0)</f>
        <v>0</v>
      </c>
      <c r="AT1558" s="1">
        <f>$A1558*$B1558</f>
        <v>0</v>
      </c>
      <c r="AU1558" s="1">
        <f>$A1558*$O1558</f>
        <v>0</v>
      </c>
      <c r="AV1558" s="1">
        <f>IF($R1558=0,0,INT($A1558/$R1558))</f>
        <v>0</v>
      </c>
      <c r="AW1558" s="1">
        <f>$A1558-$AV1558*$R1558</f>
        <v>0</v>
      </c>
    </row>
    <row r="1559" ht="24.95" customHeight="1" outlineLevel="3" s="1" customFormat="1">
      <c r="A1559" s="15"/>
      <c r="B1559" s="17">
        <v>1390</v>
      </c>
      <c r="C1559" s="17">
        <v>1876</v>
      </c>
      <c r="D1559" s="16">
        <v>23808</v>
      </c>
      <c r="E1559" s="18"/>
      <c r="F1559" s="18" t="s">
        <v>5177</v>
      </c>
      <c r="G1559" s="18" t="s">
        <v>5178</v>
      </c>
      <c r="H1559" s="18" t="s">
        <v>95</v>
      </c>
      <c r="I1559" s="18" t="s">
        <v>74</v>
      </c>
      <c r="J1559" s="16">
        <v>2025</v>
      </c>
      <c r="K1559" s="18" t="s">
        <v>5179</v>
      </c>
      <c r="L1559" s="16">
        <v>9785604758205</v>
      </c>
      <c r="M1559" s="18" t="s">
        <v>5180</v>
      </c>
      <c r="N1559" s="16">
        <v>492</v>
      </c>
      <c r="O1559" s="19">
        <v>0.89</v>
      </c>
      <c r="P1559" s="16">
        <v>170</v>
      </c>
      <c r="Q1559" s="16">
        <v>240</v>
      </c>
      <c r="R1559" s="16">
        <v>5</v>
      </c>
      <c r="S1559" s="18" t="s">
        <v>123</v>
      </c>
      <c r="T1559" s="18"/>
      <c r="U1559" s="17">
        <v>3000</v>
      </c>
      <c r="V1559" s="18" t="s">
        <v>77</v>
      </c>
      <c r="W1559" s="18" t="s">
        <v>184</v>
      </c>
      <c r="X1559" s="16">
        <v>10</v>
      </c>
      <c r="Y1559" s="43" t="str">
        <f>HYPERLINK("https://api-enni.alpina.ru/FilePrivilegesApproval/220","https://api-enni.alpina.ru/FilePrivilegesApproval/220")</f>
        <v>https://api-enni.alpina.ru/FilePrivilegesApproval/220</v>
      </c>
      <c r="Z1559" s="18"/>
      <c r="AS1559" s="1">
        <f>IF($A1559&lt;&gt;0,1,0)</f>
        <v>0</v>
      </c>
      <c r="AT1559" s="1">
        <f>$A1559*$B1559</f>
        <v>0</v>
      </c>
      <c r="AU1559" s="1">
        <f>$A1559*$O1559</f>
        <v>0</v>
      </c>
      <c r="AV1559" s="1">
        <f>IF($R1559=0,0,INT($A1559/$R1559))</f>
        <v>0</v>
      </c>
      <c r="AW1559" s="1">
        <f>$A1559-$AV1559*$R1559</f>
        <v>0</v>
      </c>
    </row>
    <row r="1560" ht="24.95" customHeight="1" outlineLevel="3" s="1" customFormat="1">
      <c r="A1560" s="15"/>
      <c r="B1560" s="16">
        <v>490</v>
      </c>
      <c r="C1560" s="16">
        <v>760</v>
      </c>
      <c r="D1560" s="16">
        <v>27718</v>
      </c>
      <c r="E1560" s="18"/>
      <c r="F1560" s="18" t="s">
        <v>5181</v>
      </c>
      <c r="G1560" s="18" t="s">
        <v>5182</v>
      </c>
      <c r="H1560" s="18" t="s">
        <v>86</v>
      </c>
      <c r="I1560" s="18" t="s">
        <v>74</v>
      </c>
      <c r="J1560" s="16">
        <v>2025</v>
      </c>
      <c r="K1560" s="18" t="s">
        <v>5183</v>
      </c>
      <c r="L1560" s="16">
        <v>9785961486216</v>
      </c>
      <c r="M1560" s="18" t="s">
        <v>5184</v>
      </c>
      <c r="N1560" s="16">
        <v>192</v>
      </c>
      <c r="O1560" s="19">
        <v>0.21</v>
      </c>
      <c r="P1560" s="16">
        <v>130</v>
      </c>
      <c r="Q1560" s="16">
        <v>200</v>
      </c>
      <c r="R1560" s="16">
        <v>24</v>
      </c>
      <c r="S1560" s="18" t="s">
        <v>90</v>
      </c>
      <c r="T1560" s="18"/>
      <c r="U1560" s="17">
        <v>3000</v>
      </c>
      <c r="V1560" s="18" t="s">
        <v>44</v>
      </c>
      <c r="W1560" s="18" t="s">
        <v>184</v>
      </c>
      <c r="X1560" s="16">
        <v>10</v>
      </c>
      <c r="Y1560" s="43" t="str">
        <f>HYPERLINK("https://api-enni.alpina.ru/FilePrivilegesApproval/128","https://api-enni.alpina.ru/FilePrivilegesApproval/128")</f>
        <v>https://api-enni.alpina.ru/FilePrivilegesApproval/128</v>
      </c>
      <c r="Z1560" s="18"/>
      <c r="AS1560" s="1">
        <f>IF($A1560&lt;&gt;0,1,0)</f>
        <v>0</v>
      </c>
      <c r="AT1560" s="1">
        <f>$A1560*$B1560</f>
        <v>0</v>
      </c>
      <c r="AU1560" s="1">
        <f>$A1560*$O1560</f>
        <v>0</v>
      </c>
      <c r="AV1560" s="1">
        <f>IF($R1560=0,0,INT($A1560/$R1560))</f>
        <v>0</v>
      </c>
      <c r="AW1560" s="1">
        <f>$A1560-$AV1560*$R1560</f>
        <v>0</v>
      </c>
    </row>
    <row r="1561" ht="24.95" customHeight="1" outlineLevel="3" s="1" customFormat="1">
      <c r="A1561" s="15"/>
      <c r="B1561" s="17">
        <v>1090</v>
      </c>
      <c r="C1561" s="17">
        <v>1472</v>
      </c>
      <c r="D1561" s="16">
        <v>29228</v>
      </c>
      <c r="E1561" s="18"/>
      <c r="F1561" s="18" t="s">
        <v>5185</v>
      </c>
      <c r="G1561" s="18" t="s">
        <v>5186</v>
      </c>
      <c r="H1561" s="18" t="s">
        <v>95</v>
      </c>
      <c r="I1561" s="18"/>
      <c r="J1561" s="16">
        <v>2024</v>
      </c>
      <c r="K1561" s="18" t="s">
        <v>5187</v>
      </c>
      <c r="L1561" s="16">
        <v>9785206002607</v>
      </c>
      <c r="M1561" s="18" t="s">
        <v>5188</v>
      </c>
      <c r="N1561" s="16">
        <v>144</v>
      </c>
      <c r="O1561" s="19">
        <v>0.75</v>
      </c>
      <c r="P1561" s="16">
        <v>210</v>
      </c>
      <c r="Q1561" s="16">
        <v>270</v>
      </c>
      <c r="R1561" s="16">
        <v>7</v>
      </c>
      <c r="S1561" s="18" t="s">
        <v>328</v>
      </c>
      <c r="T1561" s="18"/>
      <c r="U1561" s="17">
        <v>5500</v>
      </c>
      <c r="V1561" s="18" t="s">
        <v>77</v>
      </c>
      <c r="W1561" s="18" t="s">
        <v>69</v>
      </c>
      <c r="X1561" s="16">
        <v>10</v>
      </c>
      <c r="Y1561" s="43" t="str">
        <f>HYPERLINK("https://api-enni.alpina.ru/FilePrivilegesApproval/325","https://api-enni.alpina.ru/FilePrivilegesApproval/325")</f>
        <v>https://api-enni.alpina.ru/FilePrivilegesApproval/325</v>
      </c>
      <c r="Z1561" s="18"/>
      <c r="AS1561" s="1">
        <f>IF($A1561&lt;&gt;0,1,0)</f>
        <v>0</v>
      </c>
      <c r="AT1561" s="1">
        <f>$A1561*$B1561</f>
        <v>0</v>
      </c>
      <c r="AU1561" s="1">
        <f>$A1561*$O1561</f>
        <v>0</v>
      </c>
      <c r="AV1561" s="1">
        <f>IF($R1561=0,0,INT($A1561/$R1561))</f>
        <v>0</v>
      </c>
      <c r="AW1561" s="1">
        <f>$A1561-$AV1561*$R1561</f>
        <v>0</v>
      </c>
    </row>
    <row r="1562" ht="24.95" customHeight="1" outlineLevel="3" s="1" customFormat="1">
      <c r="A1562" s="15"/>
      <c r="B1562" s="16">
        <v>690</v>
      </c>
      <c r="C1562" s="17">
        <v>1035</v>
      </c>
      <c r="D1562" s="16">
        <v>27683</v>
      </c>
      <c r="E1562" s="18"/>
      <c r="F1562" s="18" t="s">
        <v>5189</v>
      </c>
      <c r="G1562" s="18" t="s">
        <v>5190</v>
      </c>
      <c r="H1562" s="18" t="s">
        <v>86</v>
      </c>
      <c r="I1562" s="18" t="s">
        <v>74</v>
      </c>
      <c r="J1562" s="16">
        <v>2025</v>
      </c>
      <c r="K1562" s="18" t="s">
        <v>5191</v>
      </c>
      <c r="L1562" s="16">
        <v>9785961486896</v>
      </c>
      <c r="M1562" s="18" t="s">
        <v>5192</v>
      </c>
      <c r="N1562" s="16">
        <v>256</v>
      </c>
      <c r="O1562" s="19">
        <v>0.54</v>
      </c>
      <c r="P1562" s="16">
        <v>170</v>
      </c>
      <c r="Q1562" s="16">
        <v>250</v>
      </c>
      <c r="R1562" s="16">
        <v>8</v>
      </c>
      <c r="S1562" s="18" t="s">
        <v>123</v>
      </c>
      <c r="T1562" s="18"/>
      <c r="U1562" s="17">
        <v>3000</v>
      </c>
      <c r="V1562" s="18" t="s">
        <v>77</v>
      </c>
      <c r="W1562" s="18" t="s">
        <v>184</v>
      </c>
      <c r="X1562" s="16">
        <v>10</v>
      </c>
      <c r="Y1562" s="43" t="str">
        <f>HYPERLINK("https://api-enni.alpina.ru/FilePrivilegesApproval/124","https://api-enni.alpina.ru/FilePrivilegesApproval/124")</f>
        <v>https://api-enni.alpina.ru/FilePrivilegesApproval/124</v>
      </c>
      <c r="Z1562" s="18"/>
      <c r="AS1562" s="1">
        <f>IF($A1562&lt;&gt;0,1,0)</f>
        <v>0</v>
      </c>
      <c r="AT1562" s="1">
        <f>$A1562*$B1562</f>
        <v>0</v>
      </c>
      <c r="AU1562" s="1">
        <f>$A1562*$O1562</f>
        <v>0</v>
      </c>
      <c r="AV1562" s="1">
        <f>IF($R1562=0,0,INT($A1562/$R1562))</f>
        <v>0</v>
      </c>
      <c r="AW1562" s="1">
        <f>$A1562-$AV1562*$R1562</f>
        <v>0</v>
      </c>
    </row>
    <row r="1563" ht="24.95" customHeight="1" outlineLevel="3" s="1" customFormat="1">
      <c r="A1563" s="15"/>
      <c r="B1563" s="16">
        <v>390</v>
      </c>
      <c r="C1563" s="16">
        <v>624</v>
      </c>
      <c r="D1563" s="16">
        <v>29293</v>
      </c>
      <c r="E1563" s="18"/>
      <c r="F1563" s="18" t="s">
        <v>5189</v>
      </c>
      <c r="G1563" s="18" t="s">
        <v>5193</v>
      </c>
      <c r="H1563" s="18" t="s">
        <v>86</v>
      </c>
      <c r="I1563" s="18" t="s">
        <v>74</v>
      </c>
      <c r="J1563" s="16">
        <v>2025</v>
      </c>
      <c r="K1563" s="18" t="s">
        <v>5194</v>
      </c>
      <c r="L1563" s="16">
        <v>9785961492101</v>
      </c>
      <c r="M1563" s="18" t="s">
        <v>5195</v>
      </c>
      <c r="N1563" s="16">
        <v>368</v>
      </c>
      <c r="O1563" s="19">
        <v>0.24</v>
      </c>
      <c r="P1563" s="16">
        <v>120</v>
      </c>
      <c r="Q1563" s="16">
        <v>170</v>
      </c>
      <c r="R1563" s="16">
        <v>12</v>
      </c>
      <c r="S1563" s="18" t="s">
        <v>190</v>
      </c>
      <c r="T1563" s="18" t="s">
        <v>451</v>
      </c>
      <c r="U1563" s="17">
        <v>4000</v>
      </c>
      <c r="V1563" s="18" t="s">
        <v>44</v>
      </c>
      <c r="W1563" s="18" t="s">
        <v>184</v>
      </c>
      <c r="X1563" s="16">
        <v>10</v>
      </c>
      <c r="Y1563" s="43" t="str">
        <f>HYPERLINK("https://api-enni.alpina.ru/FilePrivilegesApproval/22","https://api-enni.alpina.ru/FilePrivilegesApproval/22")</f>
        <v>https://api-enni.alpina.ru/FilePrivilegesApproval/22</v>
      </c>
      <c r="Z1563" s="18"/>
      <c r="AS1563" s="1">
        <f>IF($A1563&lt;&gt;0,1,0)</f>
        <v>0</v>
      </c>
      <c r="AT1563" s="1">
        <f>$A1563*$B1563</f>
        <v>0</v>
      </c>
      <c r="AU1563" s="1">
        <f>$A1563*$O1563</f>
        <v>0</v>
      </c>
      <c r="AV1563" s="1">
        <f>IF($R1563=0,0,INT($A1563/$R1563))</f>
        <v>0</v>
      </c>
      <c r="AW1563" s="1">
        <f>$A1563-$AV1563*$R1563</f>
        <v>0</v>
      </c>
    </row>
    <row r="1564" ht="24.95" customHeight="1" outlineLevel="3" s="1" customFormat="1">
      <c r="A1564" s="15"/>
      <c r="B1564" s="16">
        <v>890</v>
      </c>
      <c r="C1564" s="17">
        <v>1246</v>
      </c>
      <c r="D1564" s="16">
        <v>5652</v>
      </c>
      <c r="E1564" s="18"/>
      <c r="F1564" s="18" t="s">
        <v>5196</v>
      </c>
      <c r="G1564" s="18" t="s">
        <v>5197</v>
      </c>
      <c r="H1564" s="18" t="s">
        <v>86</v>
      </c>
      <c r="I1564" s="18" t="s">
        <v>74</v>
      </c>
      <c r="J1564" s="16">
        <v>2026</v>
      </c>
      <c r="K1564" s="18" t="s">
        <v>5198</v>
      </c>
      <c r="L1564" s="16">
        <v>9785961468229</v>
      </c>
      <c r="M1564" s="18" t="s">
        <v>5199</v>
      </c>
      <c r="N1564" s="16">
        <v>294</v>
      </c>
      <c r="O1564" s="19">
        <v>0.44</v>
      </c>
      <c r="P1564" s="16">
        <v>150</v>
      </c>
      <c r="Q1564" s="16">
        <v>220</v>
      </c>
      <c r="R1564" s="16">
        <v>10</v>
      </c>
      <c r="S1564" s="18" t="s">
        <v>43</v>
      </c>
      <c r="T1564" s="18"/>
      <c r="U1564" s="17">
        <v>1000</v>
      </c>
      <c r="V1564" s="18" t="s">
        <v>77</v>
      </c>
      <c r="W1564" s="18" t="s">
        <v>184</v>
      </c>
      <c r="X1564" s="16">
        <v>10</v>
      </c>
      <c r="Y1564" s="43" t="str">
        <f>HYPERLINK("https://api-enni.alpina.ru/FilePrivilegesApproval/158","https://api-enni.alpina.ru/FilePrivilegesApproval/158")</f>
        <v>https://api-enni.alpina.ru/FilePrivilegesApproval/158</v>
      </c>
      <c r="Z1564" s="18"/>
      <c r="AS1564" s="1">
        <f>IF($A1564&lt;&gt;0,1,0)</f>
        <v>0</v>
      </c>
      <c r="AT1564" s="1">
        <f>$A1564*$B1564</f>
        <v>0</v>
      </c>
      <c r="AU1564" s="1">
        <f>$A1564*$O1564</f>
        <v>0</v>
      </c>
      <c r="AV1564" s="1">
        <f>IF($R1564=0,0,INT($A1564/$R1564))</f>
        <v>0</v>
      </c>
      <c r="AW1564" s="1">
        <f>$A1564-$AV1564*$R1564</f>
        <v>0</v>
      </c>
    </row>
    <row r="1565" ht="24.95" customHeight="1" outlineLevel="3" s="1" customFormat="1">
      <c r="A1565" s="15"/>
      <c r="B1565" s="16">
        <v>690</v>
      </c>
      <c r="C1565" s="17">
        <v>1035</v>
      </c>
      <c r="D1565" s="16">
        <v>27020</v>
      </c>
      <c r="E1565" s="18"/>
      <c r="F1565" s="18" t="s">
        <v>5200</v>
      </c>
      <c r="G1565" s="18" t="s">
        <v>5201</v>
      </c>
      <c r="H1565" s="18" t="s">
        <v>3948</v>
      </c>
      <c r="I1565" s="18" t="s">
        <v>74</v>
      </c>
      <c r="J1565" s="16">
        <v>2023</v>
      </c>
      <c r="K1565" s="18" t="s">
        <v>5202</v>
      </c>
      <c r="L1565" s="16">
        <v>9785907625051</v>
      </c>
      <c r="M1565" s="18" t="s">
        <v>5203</v>
      </c>
      <c r="N1565" s="16">
        <v>272</v>
      </c>
      <c r="O1565" s="19">
        <v>0.35</v>
      </c>
      <c r="P1565" s="16">
        <v>150</v>
      </c>
      <c r="Q1565" s="16">
        <v>210</v>
      </c>
      <c r="R1565" s="16">
        <v>8</v>
      </c>
      <c r="S1565" s="18" t="s">
        <v>43</v>
      </c>
      <c r="T1565" s="18"/>
      <c r="U1565" s="17">
        <v>2117</v>
      </c>
      <c r="V1565" s="18" t="s">
        <v>44</v>
      </c>
      <c r="W1565" s="18" t="s">
        <v>69</v>
      </c>
      <c r="X1565" s="16">
        <v>10</v>
      </c>
      <c r="Y1565" s="43" t="str">
        <f>HYPERLINK("https://api-enni.alpina.ru/FilePrivilegesApproval/356","https://api-enni.alpina.ru/FilePrivilegesApproval/356")</f>
        <v>https://api-enni.alpina.ru/FilePrivilegesApproval/356</v>
      </c>
      <c r="Z1565" s="18"/>
      <c r="AS1565" s="1">
        <f>IF($A1565&lt;&gt;0,1,0)</f>
        <v>0</v>
      </c>
      <c r="AT1565" s="1">
        <f>$A1565*$B1565</f>
        <v>0</v>
      </c>
      <c r="AU1565" s="1">
        <f>$A1565*$O1565</f>
        <v>0</v>
      </c>
      <c r="AV1565" s="1">
        <f>IF($R1565=0,0,INT($A1565/$R1565))</f>
        <v>0</v>
      </c>
      <c r="AW1565" s="1">
        <f>$A1565-$AV1565*$R1565</f>
        <v>0</v>
      </c>
    </row>
    <row r="1566" ht="24.95" customHeight="1" outlineLevel="3" s="1" customFormat="1">
      <c r="A1566" s="15"/>
      <c r="B1566" s="17">
        <v>1950</v>
      </c>
      <c r="C1566" s="17">
        <v>2535</v>
      </c>
      <c r="D1566" s="16">
        <v>31923</v>
      </c>
      <c r="E1566" s="18"/>
      <c r="F1566" s="18" t="s">
        <v>5204</v>
      </c>
      <c r="G1566" s="18" t="s">
        <v>5205</v>
      </c>
      <c r="H1566" s="18" t="s">
        <v>95</v>
      </c>
      <c r="I1566" s="18"/>
      <c r="J1566" s="16">
        <v>2025</v>
      </c>
      <c r="K1566" s="18" t="s">
        <v>5206</v>
      </c>
      <c r="L1566" s="16">
        <v>9785206003925</v>
      </c>
      <c r="M1566" s="18" t="s">
        <v>5207</v>
      </c>
      <c r="N1566" s="16">
        <v>306</v>
      </c>
      <c r="O1566" s="19">
        <v>0.47</v>
      </c>
      <c r="P1566" s="16">
        <v>170</v>
      </c>
      <c r="Q1566" s="16">
        <v>220</v>
      </c>
      <c r="R1566" s="16">
        <v>7</v>
      </c>
      <c r="S1566" s="18" t="s">
        <v>52</v>
      </c>
      <c r="T1566" s="18"/>
      <c r="U1566" s="17">
        <v>3005</v>
      </c>
      <c r="V1566" s="18" t="s">
        <v>44</v>
      </c>
      <c r="W1566" s="18" t="s">
        <v>69</v>
      </c>
      <c r="X1566" s="16">
        <v>10</v>
      </c>
      <c r="Y1566" s="43" t="str">
        <f>HYPERLINK("https://api-enni.alpina.ru/FilePrivilegesApproval/872","https://api-enni.alpina.ru/FilePrivilegesApproval/872")</f>
        <v>https://api-enni.alpina.ru/FilePrivilegesApproval/872</v>
      </c>
      <c r="Z1566" s="18"/>
      <c r="AS1566" s="1">
        <f>IF($A1566&lt;&gt;0,1,0)</f>
        <v>0</v>
      </c>
      <c r="AT1566" s="1">
        <f>$A1566*$B1566</f>
        <v>0</v>
      </c>
      <c r="AU1566" s="1">
        <f>$A1566*$O1566</f>
        <v>0</v>
      </c>
      <c r="AV1566" s="1">
        <f>IF($R1566=0,0,INT($A1566/$R1566))</f>
        <v>0</v>
      </c>
      <c r="AW1566" s="1">
        <f>$A1566-$AV1566*$R1566</f>
        <v>0</v>
      </c>
    </row>
    <row r="1567" ht="24.95" customHeight="1" outlineLevel="3" s="1" customFormat="1">
      <c r="A1567" s="15"/>
      <c r="B1567" s="16">
        <v>990</v>
      </c>
      <c r="C1567" s="17">
        <v>1386</v>
      </c>
      <c r="D1567" s="16">
        <v>25991</v>
      </c>
      <c r="E1567" s="18"/>
      <c r="F1567" s="18" t="s">
        <v>5208</v>
      </c>
      <c r="G1567" s="18" t="s">
        <v>5209</v>
      </c>
      <c r="H1567" s="18" t="s">
        <v>95</v>
      </c>
      <c r="I1567" s="18"/>
      <c r="J1567" s="16">
        <v>2022</v>
      </c>
      <c r="K1567" s="18" t="s">
        <v>5210</v>
      </c>
      <c r="L1567" s="16">
        <v>9785206000481</v>
      </c>
      <c r="M1567" s="18" t="s">
        <v>5211</v>
      </c>
      <c r="N1567" s="16">
        <v>411</v>
      </c>
      <c r="O1567" s="19">
        <v>0.77</v>
      </c>
      <c r="P1567" s="16">
        <v>168</v>
      </c>
      <c r="Q1567" s="16">
        <v>241</v>
      </c>
      <c r="R1567" s="16">
        <v>5</v>
      </c>
      <c r="S1567" s="18" t="s">
        <v>123</v>
      </c>
      <c r="T1567" s="18"/>
      <c r="U1567" s="17">
        <v>6510</v>
      </c>
      <c r="V1567" s="18" t="s">
        <v>77</v>
      </c>
      <c r="W1567" s="18" t="s">
        <v>69</v>
      </c>
      <c r="X1567" s="16">
        <v>10</v>
      </c>
      <c r="Y1567" s="43" t="str">
        <f>HYPERLINK("https://api-enni.alpina.ru/FilePrivilegesApproval/155","https://api-enni.alpina.ru/FilePrivilegesApproval/155")</f>
        <v>https://api-enni.alpina.ru/FilePrivilegesApproval/155</v>
      </c>
      <c r="Z1567" s="18"/>
      <c r="AS1567" s="1">
        <f>IF($A1567&lt;&gt;0,1,0)</f>
        <v>0</v>
      </c>
      <c r="AT1567" s="1">
        <f>$A1567*$B1567</f>
        <v>0</v>
      </c>
      <c r="AU1567" s="1">
        <f>$A1567*$O1567</f>
        <v>0</v>
      </c>
      <c r="AV1567" s="1">
        <f>IF($R1567=0,0,INT($A1567/$R1567))</f>
        <v>0</v>
      </c>
      <c r="AW1567" s="1">
        <f>$A1567-$AV1567*$R1567</f>
        <v>0</v>
      </c>
    </row>
    <row r="1568" ht="24.95" customHeight="1" outlineLevel="3" s="1" customFormat="1">
      <c r="A1568" s="15"/>
      <c r="B1568" s="16">
        <v>540</v>
      </c>
      <c r="C1568" s="16">
        <v>837</v>
      </c>
      <c r="D1568" s="16">
        <v>12265</v>
      </c>
      <c r="E1568" s="18"/>
      <c r="F1568" s="18" t="s">
        <v>5212</v>
      </c>
      <c r="G1568" s="18" t="s">
        <v>5213</v>
      </c>
      <c r="H1568" s="18" t="s">
        <v>95</v>
      </c>
      <c r="I1568" s="18"/>
      <c r="J1568" s="16">
        <v>2026</v>
      </c>
      <c r="K1568" s="18" t="s">
        <v>5214</v>
      </c>
      <c r="L1568" s="16">
        <v>9785907274389</v>
      </c>
      <c r="M1568" s="18" t="s">
        <v>5215</v>
      </c>
      <c r="N1568" s="16">
        <v>208</v>
      </c>
      <c r="O1568" s="19">
        <v>0.38</v>
      </c>
      <c r="P1568" s="16">
        <v>153</v>
      </c>
      <c r="Q1568" s="16">
        <v>216</v>
      </c>
      <c r="R1568" s="16">
        <v>10</v>
      </c>
      <c r="S1568" s="18" t="s">
        <v>43</v>
      </c>
      <c r="T1568" s="18"/>
      <c r="U1568" s="17">
        <v>1000</v>
      </c>
      <c r="V1568" s="18" t="s">
        <v>77</v>
      </c>
      <c r="W1568" s="18" t="s">
        <v>91</v>
      </c>
      <c r="X1568" s="16">
        <v>10</v>
      </c>
      <c r="Y1568" s="43" t="str">
        <f>HYPERLINK("https://api-enni.alpina.ru/FilePrivilegesApproval/399","https://api-enni.alpina.ru/FilePrivilegesApproval/399")</f>
        <v>https://api-enni.alpina.ru/FilePrivilegesApproval/399</v>
      </c>
      <c r="Z1568" s="18"/>
      <c r="AS1568" s="1">
        <f>IF($A1568&lt;&gt;0,1,0)</f>
        <v>0</v>
      </c>
      <c r="AT1568" s="1">
        <f>$A1568*$B1568</f>
        <v>0</v>
      </c>
      <c r="AU1568" s="1">
        <f>$A1568*$O1568</f>
        <v>0</v>
      </c>
      <c r="AV1568" s="1">
        <f>IF($R1568=0,0,INT($A1568/$R1568))</f>
        <v>0</v>
      </c>
      <c r="AW1568" s="1">
        <f>$A1568-$AV1568*$R1568</f>
        <v>0</v>
      </c>
    </row>
    <row r="1569" ht="24.95" customHeight="1" outlineLevel="3" s="1" customFormat="1">
      <c r="A1569" s="15"/>
      <c r="B1569" s="16">
        <v>690</v>
      </c>
      <c r="C1569" s="17">
        <v>1035</v>
      </c>
      <c r="D1569" s="16">
        <v>3206</v>
      </c>
      <c r="E1569" s="18"/>
      <c r="F1569" s="18" t="s">
        <v>5216</v>
      </c>
      <c r="G1569" s="18" t="s">
        <v>5217</v>
      </c>
      <c r="H1569" s="18" t="s">
        <v>86</v>
      </c>
      <c r="I1569" s="18" t="s">
        <v>74</v>
      </c>
      <c r="J1569" s="16">
        <v>2025</v>
      </c>
      <c r="K1569" s="18" t="s">
        <v>5218</v>
      </c>
      <c r="L1569" s="16">
        <v>9785961469905</v>
      </c>
      <c r="M1569" s="18" t="s">
        <v>5219</v>
      </c>
      <c r="N1569" s="16">
        <v>288</v>
      </c>
      <c r="O1569" s="19">
        <v>0.58</v>
      </c>
      <c r="P1569" s="16">
        <v>168</v>
      </c>
      <c r="Q1569" s="16">
        <v>241</v>
      </c>
      <c r="R1569" s="16">
        <v>8</v>
      </c>
      <c r="S1569" s="18" t="s">
        <v>123</v>
      </c>
      <c r="T1569" s="18"/>
      <c r="U1569" s="17">
        <v>2000</v>
      </c>
      <c r="V1569" s="18" t="s">
        <v>77</v>
      </c>
      <c r="W1569" s="18" t="s">
        <v>184</v>
      </c>
      <c r="X1569" s="16">
        <v>10</v>
      </c>
      <c r="Y1569" s="43" t="str">
        <f>HYPERLINK("https://api-enni.alpina.ru/FilePrivilegesApproval/2","https://api-enni.alpina.ru/FilePrivilegesApproval/2")</f>
        <v>https://api-enni.alpina.ru/FilePrivilegesApproval/2</v>
      </c>
      <c r="Z1569" s="18"/>
      <c r="AS1569" s="1">
        <f>IF($A1569&lt;&gt;0,1,0)</f>
        <v>0</v>
      </c>
      <c r="AT1569" s="1">
        <f>$A1569*$B1569</f>
        <v>0</v>
      </c>
      <c r="AU1569" s="1">
        <f>$A1569*$O1569</f>
        <v>0</v>
      </c>
      <c r="AV1569" s="1">
        <f>IF($R1569=0,0,INT($A1569/$R1569))</f>
        <v>0</v>
      </c>
      <c r="AW1569" s="1">
        <f>$A1569-$AV1569*$R1569</f>
        <v>0</v>
      </c>
    </row>
    <row r="1570" ht="24.95" customHeight="1" outlineLevel="3" s="1" customFormat="1">
      <c r="A1570" s="25"/>
      <c r="B1570" s="26">
        <v>990</v>
      </c>
      <c r="C1570" s="29">
        <v>1386</v>
      </c>
      <c r="D1570" s="26">
        <v>11189</v>
      </c>
      <c r="E1570" s="27"/>
      <c r="F1570" s="27" t="s">
        <v>5220</v>
      </c>
      <c r="G1570" s="27" t="s">
        <v>5221</v>
      </c>
      <c r="H1570" s="27" t="s">
        <v>95</v>
      </c>
      <c r="I1570" s="27" t="s">
        <v>74</v>
      </c>
      <c r="J1570" s="26">
        <v>2024</v>
      </c>
      <c r="K1570" s="27" t="s">
        <v>5222</v>
      </c>
      <c r="L1570" s="26">
        <v>9785907470248</v>
      </c>
      <c r="M1570" s="27" t="s">
        <v>5223</v>
      </c>
      <c r="N1570" s="26">
        <v>376</v>
      </c>
      <c r="O1570" s="28">
        <v>0.71</v>
      </c>
      <c r="P1570" s="26">
        <v>170</v>
      </c>
      <c r="Q1570" s="26">
        <v>240</v>
      </c>
      <c r="R1570" s="26">
        <v>5</v>
      </c>
      <c r="S1570" s="27" t="s">
        <v>123</v>
      </c>
      <c r="T1570" s="27"/>
      <c r="U1570" s="29">
        <v>1000</v>
      </c>
      <c r="V1570" s="27" t="s">
        <v>77</v>
      </c>
      <c r="W1570" s="27" t="s">
        <v>184</v>
      </c>
      <c r="X1570" s="26">
        <v>10</v>
      </c>
      <c r="Y1570" s="45" t="str">
        <f>HYPERLINK("https://api-enni.alpina.ru/FilePrivilegesApproval/501","https://api-enni.alpina.ru/FilePrivilegesApproval/501")</f>
        <v>https://api-enni.alpina.ru/FilePrivilegesApproval/501</v>
      </c>
      <c r="Z1570" s="27"/>
      <c r="AS1570" s="1">
        <f>IF($A1570&lt;&gt;0,1,0)</f>
        <v>0</v>
      </c>
      <c r="AT1570" s="1">
        <f>$A1570*$B1570</f>
        <v>0</v>
      </c>
      <c r="AU1570" s="1">
        <f>$A1570*$O1570</f>
        <v>0</v>
      </c>
      <c r="AV1570" s="1">
        <f>IF($R1570=0,0,INT($A1570/$R1570))</f>
        <v>0</v>
      </c>
      <c r="AW1570" s="1">
        <f>$A1570-$AV1570*$R1570</f>
        <v>0</v>
      </c>
    </row>
    <row r="1571" ht="24.95" customHeight="1" outlineLevel="3" s="1" customFormat="1">
      <c r="A1571" s="15"/>
      <c r="B1571" s="16">
        <v>990</v>
      </c>
      <c r="C1571" s="17">
        <v>1386</v>
      </c>
      <c r="D1571" s="16">
        <v>22911</v>
      </c>
      <c r="E1571" s="18"/>
      <c r="F1571" s="18" t="s">
        <v>5224</v>
      </c>
      <c r="G1571" s="18" t="s">
        <v>5225</v>
      </c>
      <c r="H1571" s="18" t="s">
        <v>95</v>
      </c>
      <c r="I1571" s="18" t="s">
        <v>74</v>
      </c>
      <c r="J1571" s="16">
        <v>2022</v>
      </c>
      <c r="K1571" s="18" t="s">
        <v>5226</v>
      </c>
      <c r="L1571" s="16">
        <v>9785907470316</v>
      </c>
      <c r="M1571" s="18" t="s">
        <v>5227</v>
      </c>
      <c r="N1571" s="16">
        <v>310</v>
      </c>
      <c r="O1571" s="19">
        <v>0.61</v>
      </c>
      <c r="P1571" s="16">
        <v>168</v>
      </c>
      <c r="Q1571" s="16">
        <v>241</v>
      </c>
      <c r="R1571" s="16">
        <v>6</v>
      </c>
      <c r="S1571" s="18" t="s">
        <v>123</v>
      </c>
      <c r="T1571" s="18"/>
      <c r="U1571" s="17">
        <v>2000</v>
      </c>
      <c r="V1571" s="18" t="s">
        <v>77</v>
      </c>
      <c r="W1571" s="18" t="s">
        <v>45</v>
      </c>
      <c r="X1571" s="16">
        <v>10</v>
      </c>
      <c r="Y1571" s="43" t="str">
        <f>HYPERLINK("https://api-enni.alpina.ru/FilePrivilegesApproval/130","https://api-enni.alpina.ru/FilePrivilegesApproval/130")</f>
        <v>https://api-enni.alpina.ru/FilePrivilegesApproval/130</v>
      </c>
      <c r="Z1571" s="18"/>
      <c r="AS1571" s="1">
        <f>IF($A1571&lt;&gt;0,1,0)</f>
        <v>0</v>
      </c>
      <c r="AT1571" s="1">
        <f>$A1571*$B1571</f>
        <v>0</v>
      </c>
      <c r="AU1571" s="1">
        <f>$A1571*$O1571</f>
        <v>0</v>
      </c>
      <c r="AV1571" s="1">
        <f>IF($R1571=0,0,INT($A1571/$R1571))</f>
        <v>0</v>
      </c>
      <c r="AW1571" s="1">
        <f>$A1571-$AV1571*$R1571</f>
        <v>0</v>
      </c>
    </row>
    <row r="1572" ht="24.95" customHeight="1" outlineLevel="3" s="1" customFormat="1">
      <c r="A1572" s="15"/>
      <c r="B1572" s="16">
        <v>790</v>
      </c>
      <c r="C1572" s="17">
        <v>1146</v>
      </c>
      <c r="D1572" s="16">
        <v>30422</v>
      </c>
      <c r="E1572" s="18"/>
      <c r="F1572" s="18" t="s">
        <v>5228</v>
      </c>
      <c r="G1572" s="18" t="s">
        <v>5229</v>
      </c>
      <c r="H1572" s="18" t="s">
        <v>95</v>
      </c>
      <c r="I1572" s="18"/>
      <c r="J1572" s="16">
        <v>2024</v>
      </c>
      <c r="K1572" s="18" t="s">
        <v>5230</v>
      </c>
      <c r="L1572" s="16">
        <v>9785206003253</v>
      </c>
      <c r="M1572" s="18" t="s">
        <v>5231</v>
      </c>
      <c r="N1572" s="16">
        <v>160</v>
      </c>
      <c r="O1572" s="19">
        <v>0.3</v>
      </c>
      <c r="P1572" s="16">
        <v>150</v>
      </c>
      <c r="Q1572" s="16">
        <v>220</v>
      </c>
      <c r="R1572" s="16">
        <v>8</v>
      </c>
      <c r="S1572" s="18" t="s">
        <v>43</v>
      </c>
      <c r="T1572" s="18"/>
      <c r="U1572" s="17">
        <v>2003</v>
      </c>
      <c r="V1572" s="18" t="s">
        <v>77</v>
      </c>
      <c r="W1572" s="18" t="s">
        <v>91</v>
      </c>
      <c r="X1572" s="16">
        <v>10</v>
      </c>
      <c r="Y1572" s="43" t="str">
        <f>HYPERLINK("https://api-enni.alpina.ru/FilePrivilegesApproval/708","https://api-enni.alpina.ru/FilePrivilegesApproval/708")</f>
        <v>https://api-enni.alpina.ru/FilePrivilegesApproval/708</v>
      </c>
      <c r="Z1572" s="18"/>
      <c r="AS1572" s="1">
        <f>IF($A1572&lt;&gt;0,1,0)</f>
        <v>0</v>
      </c>
      <c r="AT1572" s="1">
        <f>$A1572*$B1572</f>
        <v>0</v>
      </c>
      <c r="AU1572" s="1">
        <f>$A1572*$O1572</f>
        <v>0</v>
      </c>
      <c r="AV1572" s="1">
        <f>IF($R1572=0,0,INT($A1572/$R1572))</f>
        <v>0</v>
      </c>
      <c r="AW1572" s="1">
        <f>$A1572-$AV1572*$R1572</f>
        <v>0</v>
      </c>
    </row>
    <row r="1573" ht="24.95" customHeight="1" outlineLevel="3" s="1" customFormat="1">
      <c r="A1573" s="15"/>
      <c r="B1573" s="17">
        <v>1090</v>
      </c>
      <c r="C1573" s="17">
        <v>1472</v>
      </c>
      <c r="D1573" s="16">
        <v>33839</v>
      </c>
      <c r="E1573" s="18"/>
      <c r="F1573" s="18" t="s">
        <v>5232</v>
      </c>
      <c r="G1573" s="18" t="s">
        <v>5233</v>
      </c>
      <c r="H1573" s="18" t="s">
        <v>86</v>
      </c>
      <c r="I1573" s="18" t="s">
        <v>74</v>
      </c>
      <c r="J1573" s="16">
        <v>2026</v>
      </c>
      <c r="K1573" s="18" t="s">
        <v>5234</v>
      </c>
      <c r="L1573" s="16">
        <v>9785006305694</v>
      </c>
      <c r="M1573" s="18" t="s">
        <v>5235</v>
      </c>
      <c r="N1573" s="16">
        <v>341</v>
      </c>
      <c r="O1573" s="19">
        <v>0.51</v>
      </c>
      <c r="P1573" s="16">
        <v>150</v>
      </c>
      <c r="Q1573" s="16">
        <v>220</v>
      </c>
      <c r="R1573" s="16">
        <v>12</v>
      </c>
      <c r="S1573" s="18" t="s">
        <v>43</v>
      </c>
      <c r="T1573" s="18" t="s">
        <v>3401</v>
      </c>
      <c r="U1573" s="17">
        <v>3000</v>
      </c>
      <c r="V1573" s="18" t="s">
        <v>77</v>
      </c>
      <c r="W1573" s="18" t="s">
        <v>91</v>
      </c>
      <c r="X1573" s="16">
        <v>10</v>
      </c>
      <c r="Y1573" s="43" t="str">
        <f>HYPERLINK("https://api-enni.alpina.ru/FilePrivilegesApproval/1062","https://api-enni.alpina.ru/FilePrivilegesApproval/1062")</f>
        <v>https://api-enni.alpina.ru/FilePrivilegesApproval/1062</v>
      </c>
      <c r="Z1573" s="18"/>
      <c r="AS1573" s="1">
        <f>IF($A1573&lt;&gt;0,1,0)</f>
        <v>0</v>
      </c>
      <c r="AT1573" s="1">
        <f>$A1573*$B1573</f>
        <v>0</v>
      </c>
      <c r="AU1573" s="1">
        <f>$A1573*$O1573</f>
        <v>0</v>
      </c>
      <c r="AV1573" s="1">
        <f>IF($R1573=0,0,INT($A1573/$R1573))</f>
        <v>0</v>
      </c>
      <c r="AW1573" s="1">
        <f>$A1573-$AV1573*$R1573</f>
        <v>0</v>
      </c>
    </row>
    <row r="1574" ht="24.95" customHeight="1" outlineLevel="3" s="1" customFormat="1">
      <c r="A1574" s="25"/>
      <c r="B1574" s="26">
        <v>740</v>
      </c>
      <c r="C1574" s="29">
        <v>1073</v>
      </c>
      <c r="D1574" s="26">
        <v>27021</v>
      </c>
      <c r="E1574" s="27"/>
      <c r="F1574" s="27" t="s">
        <v>3960</v>
      </c>
      <c r="G1574" s="27" t="s">
        <v>5236</v>
      </c>
      <c r="H1574" s="27" t="s">
        <v>95</v>
      </c>
      <c r="I1574" s="27"/>
      <c r="J1574" s="26">
        <v>2025</v>
      </c>
      <c r="K1574" s="27" t="s">
        <v>5237</v>
      </c>
      <c r="L1574" s="26">
        <v>9785206001228</v>
      </c>
      <c r="M1574" s="27" t="s">
        <v>5238</v>
      </c>
      <c r="N1574" s="26">
        <v>169</v>
      </c>
      <c r="O1574" s="28">
        <v>0.31</v>
      </c>
      <c r="P1574" s="26">
        <v>150</v>
      </c>
      <c r="Q1574" s="26">
        <v>220</v>
      </c>
      <c r="R1574" s="26">
        <v>10</v>
      </c>
      <c r="S1574" s="27" t="s">
        <v>43</v>
      </c>
      <c r="T1574" s="27"/>
      <c r="U1574" s="29">
        <v>1000</v>
      </c>
      <c r="V1574" s="27" t="s">
        <v>77</v>
      </c>
      <c r="W1574" s="27" t="s">
        <v>91</v>
      </c>
      <c r="X1574" s="26">
        <v>10</v>
      </c>
      <c r="Y1574" s="45" t="str">
        <f>HYPERLINK("https://api-enni.alpina.ru/FilePrivilegesApproval/168","https://api-enni.alpina.ru/FilePrivilegesApproval/168")</f>
        <v>https://api-enni.alpina.ru/FilePrivilegesApproval/168</v>
      </c>
      <c r="Z1574" s="27"/>
      <c r="AS1574" s="1">
        <f>IF($A1574&lt;&gt;0,1,0)</f>
        <v>0</v>
      </c>
      <c r="AT1574" s="1">
        <f>$A1574*$B1574</f>
        <v>0</v>
      </c>
      <c r="AU1574" s="1">
        <f>$A1574*$O1574</f>
        <v>0</v>
      </c>
      <c r="AV1574" s="1">
        <f>IF($R1574=0,0,INT($A1574/$R1574))</f>
        <v>0</v>
      </c>
      <c r="AW1574" s="1">
        <f>$A1574-$AV1574*$R1574</f>
        <v>0</v>
      </c>
    </row>
    <row r="1575" ht="24.95" customHeight="1" outlineLevel="3" s="1" customFormat="1">
      <c r="A1575" s="15"/>
      <c r="B1575" s="16">
        <v>540</v>
      </c>
      <c r="C1575" s="16">
        <v>837</v>
      </c>
      <c r="D1575" s="16">
        <v>23085</v>
      </c>
      <c r="E1575" s="18"/>
      <c r="F1575" s="18" t="s">
        <v>5239</v>
      </c>
      <c r="G1575" s="18" t="s">
        <v>5240</v>
      </c>
      <c r="H1575" s="18" t="s">
        <v>95</v>
      </c>
      <c r="I1575" s="18"/>
      <c r="J1575" s="16">
        <v>2021</v>
      </c>
      <c r="K1575" s="18" t="s">
        <v>5241</v>
      </c>
      <c r="L1575" s="16">
        <v>9785907470156</v>
      </c>
      <c r="M1575" s="18" t="s">
        <v>5242</v>
      </c>
      <c r="N1575" s="16">
        <v>128</v>
      </c>
      <c r="O1575" s="19">
        <v>0.3</v>
      </c>
      <c r="P1575" s="16">
        <v>146</v>
      </c>
      <c r="Q1575" s="16">
        <v>216</v>
      </c>
      <c r="R1575" s="16">
        <v>12</v>
      </c>
      <c r="S1575" s="18" t="s">
        <v>43</v>
      </c>
      <c r="T1575" s="18"/>
      <c r="U1575" s="17">
        <v>2500</v>
      </c>
      <c r="V1575" s="18" t="s">
        <v>77</v>
      </c>
      <c r="W1575" s="18" t="s">
        <v>91</v>
      </c>
      <c r="X1575" s="16">
        <v>10</v>
      </c>
      <c r="Y1575" s="43" t="str">
        <f>HYPERLINK("https://api-enni.alpina.ru/FilePrivilegesApproval/120","https://api-enni.alpina.ru/FilePrivilegesApproval/120")</f>
        <v>https://api-enni.alpina.ru/FilePrivilegesApproval/120</v>
      </c>
      <c r="Z1575" s="18"/>
      <c r="AS1575" s="1">
        <f>IF($A1575&lt;&gt;0,1,0)</f>
        <v>0</v>
      </c>
      <c r="AT1575" s="1">
        <f>$A1575*$B1575</f>
        <v>0</v>
      </c>
      <c r="AU1575" s="1">
        <f>$A1575*$O1575</f>
        <v>0</v>
      </c>
      <c r="AV1575" s="1">
        <f>IF($R1575=0,0,INT($A1575/$R1575))</f>
        <v>0</v>
      </c>
      <c r="AW1575" s="1">
        <f>$A1575-$AV1575*$R1575</f>
        <v>0</v>
      </c>
    </row>
    <row r="1576" ht="24.95" customHeight="1" outlineLevel="3" s="1" customFormat="1">
      <c r="A1576" s="15"/>
      <c r="B1576" s="16">
        <v>690</v>
      </c>
      <c r="C1576" s="17">
        <v>1035</v>
      </c>
      <c r="D1576" s="16">
        <v>12807</v>
      </c>
      <c r="E1576" s="18"/>
      <c r="F1576" s="18" t="s">
        <v>5243</v>
      </c>
      <c r="G1576" s="18" t="s">
        <v>5244</v>
      </c>
      <c r="H1576" s="18" t="s">
        <v>86</v>
      </c>
      <c r="I1576" s="18" t="s">
        <v>74</v>
      </c>
      <c r="J1576" s="16">
        <v>2025</v>
      </c>
      <c r="K1576" s="18" t="s">
        <v>5245</v>
      </c>
      <c r="L1576" s="16">
        <v>9785961431421</v>
      </c>
      <c r="M1576" s="18" t="s">
        <v>5246</v>
      </c>
      <c r="N1576" s="16">
        <v>312</v>
      </c>
      <c r="O1576" s="19">
        <v>0.47</v>
      </c>
      <c r="P1576" s="16">
        <v>150</v>
      </c>
      <c r="Q1576" s="16">
        <v>220</v>
      </c>
      <c r="R1576" s="16">
        <v>10</v>
      </c>
      <c r="S1576" s="18" t="s">
        <v>43</v>
      </c>
      <c r="T1576" s="18"/>
      <c r="U1576" s="17">
        <v>1000</v>
      </c>
      <c r="V1576" s="18" t="s">
        <v>77</v>
      </c>
      <c r="W1576" s="18" t="s">
        <v>69</v>
      </c>
      <c r="X1576" s="16">
        <v>10</v>
      </c>
      <c r="Y1576" s="43" t="str">
        <f>HYPERLINK("https://api-enni.alpina.ru/FilePrivilegesApproval/37","https://api-enni.alpina.ru/FilePrivilegesApproval/37")</f>
        <v>https://api-enni.alpina.ru/FilePrivilegesApproval/37</v>
      </c>
      <c r="Z1576" s="18"/>
      <c r="AS1576" s="1">
        <f>IF($A1576&lt;&gt;0,1,0)</f>
        <v>0</v>
      </c>
      <c r="AT1576" s="1">
        <f>$A1576*$B1576</f>
        <v>0</v>
      </c>
      <c r="AU1576" s="1">
        <f>$A1576*$O1576</f>
        <v>0</v>
      </c>
      <c r="AV1576" s="1">
        <f>IF($R1576=0,0,INT($A1576/$R1576))</f>
        <v>0</v>
      </c>
      <c r="AW1576" s="1">
        <f>$A1576-$AV1576*$R1576</f>
        <v>0</v>
      </c>
    </row>
    <row r="1577" ht="24.95" customHeight="1" outlineLevel="3" s="1" customFormat="1">
      <c r="A1577" s="15"/>
      <c r="B1577" s="16">
        <v>790</v>
      </c>
      <c r="C1577" s="17">
        <v>1146</v>
      </c>
      <c r="D1577" s="16">
        <v>29229</v>
      </c>
      <c r="E1577" s="18"/>
      <c r="F1577" s="18" t="s">
        <v>5247</v>
      </c>
      <c r="G1577" s="18" t="s">
        <v>5248</v>
      </c>
      <c r="H1577" s="18" t="s">
        <v>95</v>
      </c>
      <c r="I1577" s="18"/>
      <c r="J1577" s="16">
        <v>2025</v>
      </c>
      <c r="K1577" s="18" t="s">
        <v>5249</v>
      </c>
      <c r="L1577" s="16">
        <v>9785206002614</v>
      </c>
      <c r="M1577" s="18" t="s">
        <v>5250</v>
      </c>
      <c r="N1577" s="16">
        <v>300</v>
      </c>
      <c r="O1577" s="19">
        <v>0.37</v>
      </c>
      <c r="P1577" s="16">
        <v>140</v>
      </c>
      <c r="Q1577" s="16">
        <v>210</v>
      </c>
      <c r="R1577" s="16">
        <v>6</v>
      </c>
      <c r="S1577" s="18" t="s">
        <v>43</v>
      </c>
      <c r="T1577" s="18"/>
      <c r="U1577" s="17">
        <v>1000</v>
      </c>
      <c r="V1577" s="18" t="s">
        <v>44</v>
      </c>
      <c r="W1577" s="18" t="s">
        <v>69</v>
      </c>
      <c r="X1577" s="16">
        <v>10</v>
      </c>
      <c r="Y1577" s="43" t="str">
        <f>HYPERLINK("https://api-enni.alpina.ru/FilePrivilegesApproval/872","https://api-enni.alpina.ru/FilePrivilegesApproval/872")</f>
        <v>https://api-enni.alpina.ru/FilePrivilegesApproval/872</v>
      </c>
      <c r="Z1577" s="18"/>
      <c r="AS1577" s="1">
        <f>IF($A1577&lt;&gt;0,1,0)</f>
        <v>0</v>
      </c>
      <c r="AT1577" s="1">
        <f>$A1577*$B1577</f>
        <v>0</v>
      </c>
      <c r="AU1577" s="1">
        <f>$A1577*$O1577</f>
        <v>0</v>
      </c>
      <c r="AV1577" s="1">
        <f>IF($R1577=0,0,INT($A1577/$R1577))</f>
        <v>0</v>
      </c>
      <c r="AW1577" s="1">
        <f>$A1577-$AV1577*$R1577</f>
        <v>0</v>
      </c>
    </row>
    <row r="1578" ht="24.95" customHeight="1" outlineLevel="3" s="1" customFormat="1">
      <c r="A1578" s="15"/>
      <c r="B1578" s="16">
        <v>905</v>
      </c>
      <c r="C1578" s="17">
        <v>1267</v>
      </c>
      <c r="D1578" s="16">
        <v>31224</v>
      </c>
      <c r="E1578" s="18"/>
      <c r="F1578" s="18" t="s">
        <v>5251</v>
      </c>
      <c r="G1578" s="18" t="s">
        <v>5252</v>
      </c>
      <c r="H1578" s="18" t="s">
        <v>95</v>
      </c>
      <c r="I1578" s="18"/>
      <c r="J1578" s="16">
        <v>2024</v>
      </c>
      <c r="K1578" s="18" t="s">
        <v>5253</v>
      </c>
      <c r="L1578" s="16">
        <v>9785206003567</v>
      </c>
      <c r="M1578" s="18" t="s">
        <v>5254</v>
      </c>
      <c r="N1578" s="16">
        <v>336</v>
      </c>
      <c r="O1578" s="19">
        <v>0.66</v>
      </c>
      <c r="P1578" s="16">
        <v>170</v>
      </c>
      <c r="Q1578" s="16">
        <v>240</v>
      </c>
      <c r="R1578" s="16">
        <v>5</v>
      </c>
      <c r="S1578" s="18" t="s">
        <v>123</v>
      </c>
      <c r="T1578" s="18"/>
      <c r="U1578" s="17">
        <v>1000</v>
      </c>
      <c r="V1578" s="18" t="s">
        <v>77</v>
      </c>
      <c r="W1578" s="18" t="s">
        <v>45</v>
      </c>
      <c r="X1578" s="16">
        <v>22</v>
      </c>
      <c r="Y1578" s="43" t="str">
        <f>HYPERLINK("https://api-enni.alpina.ru/FilePrivilegesApproval/570","https://api-enni.alpina.ru/FilePrivilegesApproval/570")</f>
        <v>https://api-enni.alpina.ru/FilePrivilegesApproval/570</v>
      </c>
      <c r="Z1578" s="18"/>
      <c r="AS1578" s="1">
        <f>IF($A1578&lt;&gt;0,1,0)</f>
        <v>0</v>
      </c>
      <c r="AT1578" s="1">
        <f>$A1578*$B1578</f>
        <v>0</v>
      </c>
      <c r="AU1578" s="1">
        <f>$A1578*$O1578</f>
        <v>0</v>
      </c>
      <c r="AV1578" s="1">
        <f>IF($R1578=0,0,INT($A1578/$R1578))</f>
        <v>0</v>
      </c>
      <c r="AW1578" s="1">
        <f>$A1578-$AV1578*$R1578</f>
        <v>0</v>
      </c>
    </row>
    <row r="1579" ht="21.95" customHeight="1" outlineLevel="3" s="1" customFormat="1">
      <c r="A1579" s="25"/>
      <c r="B1579" s="26">
        <v>803</v>
      </c>
      <c r="C1579" s="29">
        <v>1164</v>
      </c>
      <c r="D1579" s="26">
        <v>34427</v>
      </c>
      <c r="E1579" s="27"/>
      <c r="F1579" s="27" t="s">
        <v>5255</v>
      </c>
      <c r="G1579" s="27" t="s">
        <v>5256</v>
      </c>
      <c r="H1579" s="27" t="s">
        <v>592</v>
      </c>
      <c r="I1579" s="27"/>
      <c r="J1579" s="26">
        <v>2026</v>
      </c>
      <c r="K1579" s="27" t="s">
        <v>5257</v>
      </c>
      <c r="L1579" s="26">
        <v>9786018241093</v>
      </c>
      <c r="M1579" s="27" t="s">
        <v>5258</v>
      </c>
      <c r="N1579" s="26">
        <v>126</v>
      </c>
      <c r="O1579" s="28">
        <v>0.26</v>
      </c>
      <c r="P1579" s="26">
        <v>150</v>
      </c>
      <c r="Q1579" s="26">
        <v>220</v>
      </c>
      <c r="R1579" s="26">
        <v>20</v>
      </c>
      <c r="S1579" s="27" t="s">
        <v>43</v>
      </c>
      <c r="T1579" s="27"/>
      <c r="U1579" s="29">
        <v>1000</v>
      </c>
      <c r="V1579" s="27" t="s">
        <v>77</v>
      </c>
      <c r="W1579" s="27" t="s">
        <v>45</v>
      </c>
      <c r="X1579" s="26">
        <v>22</v>
      </c>
      <c r="Y1579" s="45" t="str">
        <f>HYPERLINK("","")</f>
      </c>
      <c r="Z1579" s="27"/>
      <c r="AS1579" s="1">
        <f>IF($A1579&lt;&gt;0,1,0)</f>
        <v>0</v>
      </c>
      <c r="AT1579" s="1">
        <f>$A1579*$B1579</f>
        <v>0</v>
      </c>
      <c r="AU1579" s="1">
        <f>$A1579*$O1579</f>
        <v>0</v>
      </c>
      <c r="AV1579" s="1">
        <f>IF($R1579=0,0,INT($A1579/$R1579))</f>
        <v>0</v>
      </c>
      <c r="AW1579" s="1">
        <f>$A1579-$AV1579*$R1579</f>
        <v>0</v>
      </c>
    </row>
    <row r="1580" ht="24.95" customHeight="1" outlineLevel="3" s="1" customFormat="1">
      <c r="A1580" s="15"/>
      <c r="B1580" s="17">
        <v>1590</v>
      </c>
      <c r="C1580" s="17">
        <v>2067</v>
      </c>
      <c r="D1580" s="16">
        <v>28612</v>
      </c>
      <c r="E1580" s="18"/>
      <c r="F1580" s="18" t="s">
        <v>5259</v>
      </c>
      <c r="G1580" s="18" t="s">
        <v>5260</v>
      </c>
      <c r="H1580" s="18" t="s">
        <v>95</v>
      </c>
      <c r="I1580" s="18"/>
      <c r="J1580" s="16">
        <v>2026</v>
      </c>
      <c r="K1580" s="18" t="s">
        <v>5261</v>
      </c>
      <c r="L1580" s="16">
        <v>9785206002201</v>
      </c>
      <c r="M1580" s="18" t="s">
        <v>5262</v>
      </c>
      <c r="N1580" s="16">
        <v>288</v>
      </c>
      <c r="O1580" s="19">
        <v>0.7</v>
      </c>
      <c r="P1580" s="16">
        <v>170</v>
      </c>
      <c r="Q1580" s="16">
        <v>240</v>
      </c>
      <c r="R1580" s="16">
        <v>5</v>
      </c>
      <c r="S1580" s="18" t="s">
        <v>123</v>
      </c>
      <c r="T1580" s="18"/>
      <c r="U1580" s="17">
        <v>1000</v>
      </c>
      <c r="V1580" s="18" t="s">
        <v>77</v>
      </c>
      <c r="W1580" s="18" t="s">
        <v>69</v>
      </c>
      <c r="X1580" s="16">
        <v>10</v>
      </c>
      <c r="Y1580" s="43" t="str">
        <f>HYPERLINK("https://api-enni.alpina.ru/FilePrivilegesApproval/1215","https://api-enni.alpina.ru/FilePrivilegesApproval/1215")</f>
        <v>https://api-enni.alpina.ru/FilePrivilegesApproval/1215</v>
      </c>
      <c r="Z1580" s="18"/>
      <c r="AS1580" s="1">
        <f>IF($A1580&lt;&gt;0,1,0)</f>
        <v>0</v>
      </c>
      <c r="AT1580" s="1">
        <f>$A1580*$B1580</f>
        <v>0</v>
      </c>
      <c r="AU1580" s="1">
        <f>$A1580*$O1580</f>
        <v>0</v>
      </c>
      <c r="AV1580" s="1">
        <f>IF($R1580=0,0,INT($A1580/$R1580))</f>
        <v>0</v>
      </c>
      <c r="AW1580" s="1">
        <f>$A1580-$AV1580*$R1580</f>
        <v>0</v>
      </c>
    </row>
    <row r="1581" ht="24.95" customHeight="1" outlineLevel="3" s="1" customFormat="1">
      <c r="A1581" s="15"/>
      <c r="B1581" s="16">
        <v>803</v>
      </c>
      <c r="C1581" s="17">
        <v>1164</v>
      </c>
      <c r="D1581" s="16">
        <v>31102</v>
      </c>
      <c r="E1581" s="18"/>
      <c r="F1581" s="18" t="s">
        <v>5263</v>
      </c>
      <c r="G1581" s="18" t="s">
        <v>5264</v>
      </c>
      <c r="H1581" s="18" t="s">
        <v>95</v>
      </c>
      <c r="I1581" s="18"/>
      <c r="J1581" s="16">
        <v>2024</v>
      </c>
      <c r="K1581" s="18" t="s">
        <v>5265</v>
      </c>
      <c r="L1581" s="16">
        <v>9785206003499</v>
      </c>
      <c r="M1581" s="18" t="s">
        <v>5266</v>
      </c>
      <c r="N1581" s="16">
        <v>342</v>
      </c>
      <c r="O1581" s="19">
        <v>0.51</v>
      </c>
      <c r="P1581" s="16">
        <v>150</v>
      </c>
      <c r="Q1581" s="16">
        <v>220</v>
      </c>
      <c r="R1581" s="16">
        <v>6</v>
      </c>
      <c r="S1581" s="18" t="s">
        <v>43</v>
      </c>
      <c r="T1581" s="18"/>
      <c r="U1581" s="17">
        <v>2000</v>
      </c>
      <c r="V1581" s="18" t="s">
        <v>77</v>
      </c>
      <c r="W1581" s="18" t="s">
        <v>45</v>
      </c>
      <c r="X1581" s="16">
        <v>22</v>
      </c>
      <c r="Y1581" s="43" t="str">
        <f>HYPERLINK("https://api-enni.alpina.ru/FilePrivilegesApproval/570","https://api-enni.alpina.ru/FilePrivilegesApproval/570")</f>
        <v>https://api-enni.alpina.ru/FilePrivilegesApproval/570</v>
      </c>
      <c r="Z1581" s="18"/>
      <c r="AS1581" s="1">
        <f>IF($A1581&lt;&gt;0,1,0)</f>
        <v>0</v>
      </c>
      <c r="AT1581" s="1">
        <f>$A1581*$B1581</f>
        <v>0</v>
      </c>
      <c r="AU1581" s="1">
        <f>$A1581*$O1581</f>
        <v>0</v>
      </c>
      <c r="AV1581" s="1">
        <f>IF($R1581=0,0,INT($A1581/$R1581))</f>
        <v>0</v>
      </c>
      <c r="AW1581" s="1">
        <f>$A1581-$AV1581*$R1581</f>
        <v>0</v>
      </c>
    </row>
    <row r="1582" ht="24.95" customHeight="1" outlineLevel="3" s="1" customFormat="1">
      <c r="A1582" s="15"/>
      <c r="B1582" s="17">
        <v>1090</v>
      </c>
      <c r="C1582" s="17">
        <v>1472</v>
      </c>
      <c r="D1582" s="16">
        <v>30207</v>
      </c>
      <c r="E1582" s="18"/>
      <c r="F1582" s="18" t="s">
        <v>5267</v>
      </c>
      <c r="G1582" s="18" t="s">
        <v>5268</v>
      </c>
      <c r="H1582" s="18" t="s">
        <v>86</v>
      </c>
      <c r="I1582" s="18" t="s">
        <v>74</v>
      </c>
      <c r="J1582" s="16">
        <v>2026</v>
      </c>
      <c r="K1582" s="18" t="s">
        <v>5269</v>
      </c>
      <c r="L1582" s="16">
        <v>9785961494815</v>
      </c>
      <c r="M1582" s="18" t="s">
        <v>5270</v>
      </c>
      <c r="N1582" s="16">
        <v>432</v>
      </c>
      <c r="O1582" s="19">
        <v>0.62</v>
      </c>
      <c r="P1582" s="16">
        <v>150</v>
      </c>
      <c r="Q1582" s="16">
        <v>220</v>
      </c>
      <c r="R1582" s="16">
        <v>8</v>
      </c>
      <c r="S1582" s="18" t="s">
        <v>43</v>
      </c>
      <c r="T1582" s="18" t="s">
        <v>3401</v>
      </c>
      <c r="U1582" s="17">
        <v>3000</v>
      </c>
      <c r="V1582" s="18" t="s">
        <v>77</v>
      </c>
      <c r="W1582" s="18" t="s">
        <v>69</v>
      </c>
      <c r="X1582" s="16">
        <v>10</v>
      </c>
      <c r="Y1582" s="43" t="str">
        <f>HYPERLINK("https://api-enni.alpina.ru/FilePrivilegesApproval/1062","https://api-enni.alpina.ru/FilePrivilegesApproval/1062")</f>
        <v>https://api-enni.alpina.ru/FilePrivilegesApproval/1062</v>
      </c>
      <c r="Z1582" s="18" t="s">
        <v>1099</v>
      </c>
      <c r="AS1582" s="1">
        <f>IF($A1582&lt;&gt;0,1,0)</f>
        <v>0</v>
      </c>
      <c r="AT1582" s="1">
        <f>$A1582*$B1582</f>
        <v>0</v>
      </c>
      <c r="AU1582" s="1">
        <f>$A1582*$O1582</f>
        <v>0</v>
      </c>
      <c r="AV1582" s="1">
        <f>IF($R1582=0,0,INT($A1582/$R1582))</f>
        <v>0</v>
      </c>
      <c r="AW1582" s="1">
        <f>$A1582-$AV1582*$R1582</f>
        <v>0</v>
      </c>
    </row>
    <row r="1583" ht="21.95" customHeight="1" outlineLevel="3" s="1" customFormat="1">
      <c r="A1583" s="25"/>
      <c r="B1583" s="26">
        <v>905</v>
      </c>
      <c r="C1583" s="29">
        <v>1267</v>
      </c>
      <c r="D1583" s="26">
        <v>18291</v>
      </c>
      <c r="E1583" s="27"/>
      <c r="F1583" s="27" t="s">
        <v>5271</v>
      </c>
      <c r="G1583" s="27" t="s">
        <v>5272</v>
      </c>
      <c r="H1583" s="27" t="s">
        <v>592</v>
      </c>
      <c r="I1583" s="27" t="s">
        <v>74</v>
      </c>
      <c r="J1583" s="26">
        <v>2023</v>
      </c>
      <c r="K1583" s="27" t="s">
        <v>5273</v>
      </c>
      <c r="L1583" s="26">
        <v>9786018011061</v>
      </c>
      <c r="M1583" s="27" t="s">
        <v>5274</v>
      </c>
      <c r="N1583" s="26">
        <v>668</v>
      </c>
      <c r="O1583" s="28">
        <v>0.74</v>
      </c>
      <c r="P1583" s="26">
        <v>150</v>
      </c>
      <c r="Q1583" s="26">
        <v>220</v>
      </c>
      <c r="R1583" s="26">
        <v>10</v>
      </c>
      <c r="S1583" s="27" t="s">
        <v>43</v>
      </c>
      <c r="T1583" s="27"/>
      <c r="U1583" s="29">
        <v>1500</v>
      </c>
      <c r="V1583" s="27" t="s">
        <v>77</v>
      </c>
      <c r="W1583" s="27" t="s">
        <v>91</v>
      </c>
      <c r="X1583" s="26">
        <v>22</v>
      </c>
      <c r="Y1583" s="45" t="str">
        <f>HYPERLINK("","")</f>
      </c>
      <c r="Z1583" s="27"/>
      <c r="AS1583" s="1">
        <f>IF($A1583&lt;&gt;0,1,0)</f>
        <v>0</v>
      </c>
      <c r="AT1583" s="1">
        <f>$A1583*$B1583</f>
        <v>0</v>
      </c>
      <c r="AU1583" s="1">
        <f>$A1583*$O1583</f>
        <v>0</v>
      </c>
      <c r="AV1583" s="1">
        <f>IF($R1583=0,0,INT($A1583/$R1583))</f>
        <v>0</v>
      </c>
      <c r="AW1583" s="1">
        <f>$A1583-$AV1583*$R1583</f>
        <v>0</v>
      </c>
    </row>
    <row r="1584" ht="21.95" customHeight="1" outlineLevel="3" s="1" customFormat="1">
      <c r="A1584" s="25"/>
      <c r="B1584" s="26">
        <v>905</v>
      </c>
      <c r="C1584" s="29">
        <v>1267</v>
      </c>
      <c r="D1584" s="26">
        <v>33940</v>
      </c>
      <c r="E1584" s="27"/>
      <c r="F1584" s="27" t="s">
        <v>5271</v>
      </c>
      <c r="G1584" s="27" t="s">
        <v>5275</v>
      </c>
      <c r="H1584" s="27" t="s">
        <v>86</v>
      </c>
      <c r="I1584" s="27" t="s">
        <v>74</v>
      </c>
      <c r="J1584" s="26">
        <v>2025</v>
      </c>
      <c r="K1584" s="27" t="s">
        <v>5276</v>
      </c>
      <c r="L1584" s="26">
        <v>9785006306011</v>
      </c>
      <c r="M1584" s="27" t="s">
        <v>5277</v>
      </c>
      <c r="N1584" s="26">
        <v>668</v>
      </c>
      <c r="O1584" s="28">
        <v>0.75</v>
      </c>
      <c r="P1584" s="26">
        <v>150</v>
      </c>
      <c r="Q1584" s="26">
        <v>220</v>
      </c>
      <c r="R1584" s="26">
        <v>4</v>
      </c>
      <c r="S1584" s="27" t="s">
        <v>43</v>
      </c>
      <c r="T1584" s="27"/>
      <c r="U1584" s="29">
        <v>1000</v>
      </c>
      <c r="V1584" s="27" t="s">
        <v>77</v>
      </c>
      <c r="W1584" s="27" t="s">
        <v>91</v>
      </c>
      <c r="X1584" s="26">
        <v>22</v>
      </c>
      <c r="Y1584" s="45" t="str">
        <f>HYPERLINK("","")</f>
      </c>
      <c r="Z1584" s="27"/>
      <c r="AS1584" s="1">
        <f>IF($A1584&lt;&gt;0,1,0)</f>
        <v>0</v>
      </c>
      <c r="AT1584" s="1">
        <f>$A1584*$B1584</f>
        <v>0</v>
      </c>
      <c r="AU1584" s="1">
        <f>$A1584*$O1584</f>
        <v>0</v>
      </c>
      <c r="AV1584" s="1">
        <f>IF($R1584=0,0,INT($A1584/$R1584))</f>
        <v>0</v>
      </c>
      <c r="AW1584" s="1">
        <f>$A1584-$AV1584*$R1584</f>
        <v>0</v>
      </c>
    </row>
    <row r="1585" ht="24.95" customHeight="1" outlineLevel="3" s="1" customFormat="1">
      <c r="A1585" s="15"/>
      <c r="B1585" s="17">
        <v>1006</v>
      </c>
      <c r="C1585" s="17">
        <v>1358</v>
      </c>
      <c r="D1585" s="16">
        <v>30197</v>
      </c>
      <c r="E1585" s="18"/>
      <c r="F1585" s="18" t="s">
        <v>5278</v>
      </c>
      <c r="G1585" s="18" t="s">
        <v>5279</v>
      </c>
      <c r="H1585" s="18" t="s">
        <v>95</v>
      </c>
      <c r="I1585" s="18"/>
      <c r="J1585" s="16">
        <v>2024</v>
      </c>
      <c r="K1585" s="18" t="s">
        <v>5280</v>
      </c>
      <c r="L1585" s="16">
        <v>9785206003116</v>
      </c>
      <c r="M1585" s="18" t="s">
        <v>5281</v>
      </c>
      <c r="N1585" s="16">
        <v>320</v>
      </c>
      <c r="O1585" s="19">
        <v>0.5</v>
      </c>
      <c r="P1585" s="16">
        <v>150</v>
      </c>
      <c r="Q1585" s="16">
        <v>220</v>
      </c>
      <c r="R1585" s="16">
        <v>5</v>
      </c>
      <c r="S1585" s="18" t="s">
        <v>43</v>
      </c>
      <c r="T1585" s="18"/>
      <c r="U1585" s="17">
        <v>1505</v>
      </c>
      <c r="V1585" s="18" t="s">
        <v>77</v>
      </c>
      <c r="W1585" s="18" t="s">
        <v>45</v>
      </c>
      <c r="X1585" s="16">
        <v>22</v>
      </c>
      <c r="Y1585" s="43" t="str">
        <f>HYPERLINK("https://api-enni.alpina.ru/FilePrivilegesApproval/409","https://api-enni.alpina.ru/FilePrivilegesApproval/409")</f>
        <v>https://api-enni.alpina.ru/FilePrivilegesApproval/409</v>
      </c>
      <c r="Z1585" s="18"/>
      <c r="AS1585" s="1">
        <f>IF($A1585&lt;&gt;0,1,0)</f>
        <v>0</v>
      </c>
      <c r="AT1585" s="1">
        <f>$A1585*$B1585</f>
        <v>0</v>
      </c>
      <c r="AU1585" s="1">
        <f>$A1585*$O1585</f>
        <v>0</v>
      </c>
      <c r="AV1585" s="1">
        <f>IF($R1585=0,0,INT($A1585/$R1585))</f>
        <v>0</v>
      </c>
      <c r="AW1585" s="1">
        <f>$A1585-$AV1585*$R1585</f>
        <v>0</v>
      </c>
    </row>
    <row r="1586" ht="24.95" customHeight="1" outlineLevel="3" s="1" customFormat="1">
      <c r="A1586" s="15"/>
      <c r="B1586" s="16">
        <v>790</v>
      </c>
      <c r="C1586" s="17">
        <v>1146</v>
      </c>
      <c r="D1586" s="16">
        <v>27717</v>
      </c>
      <c r="E1586" s="18"/>
      <c r="F1586" s="18" t="s">
        <v>5282</v>
      </c>
      <c r="G1586" s="18" t="s">
        <v>5283</v>
      </c>
      <c r="H1586" s="18" t="s">
        <v>95</v>
      </c>
      <c r="I1586" s="18"/>
      <c r="J1586" s="16">
        <v>2023</v>
      </c>
      <c r="K1586" s="18" t="s">
        <v>5284</v>
      </c>
      <c r="L1586" s="16">
        <v>9785206001778</v>
      </c>
      <c r="M1586" s="18" t="s">
        <v>5285</v>
      </c>
      <c r="N1586" s="16">
        <v>256</v>
      </c>
      <c r="O1586" s="19">
        <v>0.5</v>
      </c>
      <c r="P1586" s="16">
        <v>150</v>
      </c>
      <c r="Q1586" s="16">
        <v>220</v>
      </c>
      <c r="R1586" s="16">
        <v>6</v>
      </c>
      <c r="S1586" s="18" t="s">
        <v>43</v>
      </c>
      <c r="T1586" s="18"/>
      <c r="U1586" s="17">
        <v>3505</v>
      </c>
      <c r="V1586" s="18" t="s">
        <v>77</v>
      </c>
      <c r="W1586" s="18" t="s">
        <v>91</v>
      </c>
      <c r="X1586" s="16">
        <v>10</v>
      </c>
      <c r="Y1586" s="43" t="str">
        <f>HYPERLINK("https://api-enni.alpina.ru/FilePrivilegesApproval/237","https://api-enni.alpina.ru/FilePrivilegesApproval/237")</f>
        <v>https://api-enni.alpina.ru/FilePrivilegesApproval/237</v>
      </c>
      <c r="Z1586" s="18"/>
      <c r="AS1586" s="1">
        <f>IF($A1586&lt;&gt;0,1,0)</f>
        <v>0</v>
      </c>
      <c r="AT1586" s="1">
        <f>$A1586*$B1586</f>
        <v>0</v>
      </c>
      <c r="AU1586" s="1">
        <f>$A1586*$O1586</f>
        <v>0</v>
      </c>
      <c r="AV1586" s="1">
        <f>IF($R1586=0,0,INT($A1586/$R1586))</f>
        <v>0</v>
      </c>
      <c r="AW1586" s="1">
        <f>$A1586-$AV1586*$R1586</f>
        <v>0</v>
      </c>
    </row>
    <row r="1587" ht="24.95" customHeight="1" outlineLevel="3" s="1" customFormat="1">
      <c r="A1587" s="15"/>
      <c r="B1587" s="16">
        <v>890</v>
      </c>
      <c r="C1587" s="17">
        <v>1246</v>
      </c>
      <c r="D1587" s="16">
        <v>33079</v>
      </c>
      <c r="E1587" s="18"/>
      <c r="F1587" s="18" t="s">
        <v>5286</v>
      </c>
      <c r="G1587" s="18" t="s">
        <v>5287</v>
      </c>
      <c r="H1587" s="18" t="s">
        <v>95</v>
      </c>
      <c r="I1587" s="18"/>
      <c r="J1587" s="16">
        <v>2025</v>
      </c>
      <c r="K1587" s="18" t="s">
        <v>5288</v>
      </c>
      <c r="L1587" s="16">
        <v>9785206004533</v>
      </c>
      <c r="M1587" s="18" t="s">
        <v>5289</v>
      </c>
      <c r="N1587" s="16">
        <v>272</v>
      </c>
      <c r="O1587" s="19">
        <v>0.45</v>
      </c>
      <c r="P1587" s="16">
        <v>170</v>
      </c>
      <c r="Q1587" s="16">
        <v>210</v>
      </c>
      <c r="R1587" s="16">
        <v>8</v>
      </c>
      <c r="S1587" s="18" t="s">
        <v>52</v>
      </c>
      <c r="T1587" s="18"/>
      <c r="U1587" s="17">
        <v>6005</v>
      </c>
      <c r="V1587" s="18" t="s">
        <v>44</v>
      </c>
      <c r="W1587" s="18" t="s">
        <v>91</v>
      </c>
      <c r="X1587" s="16">
        <v>10</v>
      </c>
      <c r="Y1587" s="43" t="str">
        <f>HYPERLINK("https://api-enni.alpina.ru/FilePrivilegesApproval/984","https://api-enni.alpina.ru/FilePrivilegesApproval/984")</f>
        <v>https://api-enni.alpina.ru/FilePrivilegesApproval/984</v>
      </c>
      <c r="Z1587" s="18"/>
      <c r="AS1587" s="1">
        <f>IF($A1587&lt;&gt;0,1,0)</f>
        <v>0</v>
      </c>
      <c r="AT1587" s="1">
        <f>$A1587*$B1587</f>
        <v>0</v>
      </c>
      <c r="AU1587" s="1">
        <f>$A1587*$O1587</f>
        <v>0</v>
      </c>
      <c r="AV1587" s="1">
        <f>IF($R1587=0,0,INT($A1587/$R1587))</f>
        <v>0</v>
      </c>
      <c r="AW1587" s="1">
        <f>$A1587-$AV1587*$R1587</f>
        <v>0</v>
      </c>
    </row>
    <row r="1588" ht="21.95" customHeight="1" outlineLevel="3" s="1" customFormat="1">
      <c r="A1588" s="15"/>
      <c r="B1588" s="17">
        <v>1006</v>
      </c>
      <c r="C1588" s="17">
        <v>1358</v>
      </c>
      <c r="D1588" s="16">
        <v>32013</v>
      </c>
      <c r="E1588" s="18"/>
      <c r="F1588" s="18" t="s">
        <v>5290</v>
      </c>
      <c r="G1588" s="18" t="s">
        <v>5291</v>
      </c>
      <c r="H1588" s="18" t="s">
        <v>95</v>
      </c>
      <c r="I1588" s="18"/>
      <c r="J1588" s="16">
        <v>2025</v>
      </c>
      <c r="K1588" s="18" t="s">
        <v>5292</v>
      </c>
      <c r="L1588" s="16">
        <v>9785206003994</v>
      </c>
      <c r="M1588" s="18" t="s">
        <v>5293</v>
      </c>
      <c r="N1588" s="16">
        <v>351</v>
      </c>
      <c r="O1588" s="19">
        <v>0.73</v>
      </c>
      <c r="P1588" s="16">
        <v>180</v>
      </c>
      <c r="Q1588" s="16">
        <v>240</v>
      </c>
      <c r="R1588" s="16">
        <v>6</v>
      </c>
      <c r="S1588" s="18" t="s">
        <v>123</v>
      </c>
      <c r="T1588" s="18"/>
      <c r="U1588" s="17">
        <v>1505</v>
      </c>
      <c r="V1588" s="18" t="s">
        <v>77</v>
      </c>
      <c r="W1588" s="18" t="s">
        <v>45</v>
      </c>
      <c r="X1588" s="16">
        <v>22</v>
      </c>
      <c r="Y1588" s="43" t="str">
        <f>HYPERLINK("","")</f>
      </c>
      <c r="Z1588" s="18"/>
      <c r="AS1588" s="1">
        <f>IF($A1588&lt;&gt;0,1,0)</f>
        <v>0</v>
      </c>
      <c r="AT1588" s="1">
        <f>$A1588*$B1588</f>
        <v>0</v>
      </c>
      <c r="AU1588" s="1">
        <f>$A1588*$O1588</f>
        <v>0</v>
      </c>
      <c r="AV1588" s="1">
        <f>IF($R1588=0,0,INT($A1588/$R1588))</f>
        <v>0</v>
      </c>
      <c r="AW1588" s="1">
        <f>$A1588-$AV1588*$R1588</f>
        <v>0</v>
      </c>
    </row>
    <row r="1589" ht="11.1" customHeight="1" outlineLevel="2">
      <c r="A1589" s="41" t="s">
        <v>5294</v>
      </c>
      <c r="B1589" s="41"/>
      <c r="C1589" s="41"/>
      <c r="D1589" s="41"/>
      <c r="E1589" s="41"/>
      <c r="F1589" s="41"/>
      <c r="G1589" s="41"/>
      <c r="H1589" s="41"/>
      <c r="I1589" s="41"/>
      <c r="J1589" s="41"/>
      <c r="K1589" s="41"/>
      <c r="L1589" s="41"/>
      <c r="M1589" s="41"/>
      <c r="N1589" s="41"/>
      <c r="O1589" s="41"/>
      <c r="P1589" s="41"/>
      <c r="Q1589" s="41"/>
      <c r="R1589" s="41"/>
      <c r="S1589" s="41"/>
      <c r="T1589" s="41"/>
      <c r="U1589" s="41"/>
      <c r="V1589" s="41"/>
      <c r="W1589" s="41"/>
      <c r="X1589" s="41"/>
      <c r="Y1589" s="41"/>
      <c r="Z1589" s="24"/>
    </row>
    <row r="1590" ht="24.95" customHeight="1" outlineLevel="3" s="1" customFormat="1">
      <c r="A1590" s="15"/>
      <c r="B1590" s="16">
        <v>990</v>
      </c>
      <c r="C1590" s="17">
        <v>1386</v>
      </c>
      <c r="D1590" s="16">
        <v>26020</v>
      </c>
      <c r="E1590" s="18"/>
      <c r="F1590" s="18" t="s">
        <v>1593</v>
      </c>
      <c r="G1590" s="18" t="s">
        <v>5295</v>
      </c>
      <c r="H1590" s="18" t="s">
        <v>86</v>
      </c>
      <c r="I1590" s="18"/>
      <c r="J1590" s="16">
        <v>2026</v>
      </c>
      <c r="K1590" s="18" t="s">
        <v>5296</v>
      </c>
      <c r="L1590" s="16">
        <v>9785961477399</v>
      </c>
      <c r="M1590" s="18" t="s">
        <v>5297</v>
      </c>
      <c r="N1590" s="16">
        <v>428</v>
      </c>
      <c r="O1590" s="19">
        <v>0.67</v>
      </c>
      <c r="P1590" s="16">
        <v>170</v>
      </c>
      <c r="Q1590" s="16">
        <v>240</v>
      </c>
      <c r="R1590" s="16">
        <v>6</v>
      </c>
      <c r="S1590" s="18" t="s">
        <v>123</v>
      </c>
      <c r="T1590" s="18"/>
      <c r="U1590" s="17">
        <v>1000</v>
      </c>
      <c r="V1590" s="18" t="s">
        <v>44</v>
      </c>
      <c r="W1590" s="18" t="s">
        <v>69</v>
      </c>
      <c r="X1590" s="16">
        <v>10</v>
      </c>
      <c r="Y1590" s="43" t="str">
        <f>HYPERLINK("https://api-enni.alpina.ru/FilePrivilegesApproval/177","https://api-enni.alpina.ru/FilePrivilegesApproval/177")</f>
        <v>https://api-enni.alpina.ru/FilePrivilegesApproval/177</v>
      </c>
      <c r="Z1590" s="18"/>
      <c r="AS1590" s="1">
        <f>IF($A1590&lt;&gt;0,1,0)</f>
        <v>0</v>
      </c>
      <c r="AT1590" s="1">
        <f>$A1590*$B1590</f>
        <v>0</v>
      </c>
      <c r="AU1590" s="1">
        <f>$A1590*$O1590</f>
        <v>0</v>
      </c>
      <c r="AV1590" s="1">
        <f>IF($R1590=0,0,INT($A1590/$R1590))</f>
        <v>0</v>
      </c>
      <c r="AW1590" s="1">
        <f>$A1590-$AV1590*$R1590</f>
        <v>0</v>
      </c>
    </row>
    <row r="1591" ht="21.95" customHeight="1" outlineLevel="3" s="1" customFormat="1">
      <c r="A1591" s="15"/>
      <c r="B1591" s="16">
        <v>690</v>
      </c>
      <c r="C1591" s="17">
        <v>1035</v>
      </c>
      <c r="D1591" s="16">
        <v>24423</v>
      </c>
      <c r="E1591" s="18"/>
      <c r="F1591" s="18" t="s">
        <v>469</v>
      </c>
      <c r="G1591" s="18" t="s">
        <v>470</v>
      </c>
      <c r="H1591" s="18" t="s">
        <v>95</v>
      </c>
      <c r="I1591" s="18" t="s">
        <v>74</v>
      </c>
      <c r="J1591" s="16">
        <v>2024</v>
      </c>
      <c r="K1591" s="18" t="s">
        <v>471</v>
      </c>
      <c r="L1591" s="16">
        <v>9785907470767</v>
      </c>
      <c r="M1591" s="18" t="s">
        <v>472</v>
      </c>
      <c r="N1591" s="16">
        <v>122</v>
      </c>
      <c r="O1591" s="19">
        <v>0.21</v>
      </c>
      <c r="P1591" s="16">
        <v>133</v>
      </c>
      <c r="Q1591" s="16">
        <v>206</v>
      </c>
      <c r="R1591" s="16">
        <v>10</v>
      </c>
      <c r="S1591" s="18" t="s">
        <v>90</v>
      </c>
      <c r="T1591" s="18"/>
      <c r="U1591" s="17">
        <v>1000</v>
      </c>
      <c r="V1591" s="18" t="s">
        <v>77</v>
      </c>
      <c r="W1591" s="18" t="s">
        <v>184</v>
      </c>
      <c r="X1591" s="16">
        <v>10</v>
      </c>
      <c r="Y1591" s="43" t="str">
        <f>HYPERLINK("","")</f>
      </c>
      <c r="Z1591" s="18" t="s">
        <v>46</v>
      </c>
      <c r="AS1591" s="1">
        <f>IF($A1591&lt;&gt;0,1,0)</f>
        <v>0</v>
      </c>
      <c r="AT1591" s="1">
        <f>$A1591*$B1591</f>
        <v>0</v>
      </c>
      <c r="AU1591" s="1">
        <f>$A1591*$O1591</f>
        <v>0</v>
      </c>
      <c r="AV1591" s="1">
        <f>IF($R1591=0,0,INT($A1591/$R1591))</f>
        <v>0</v>
      </c>
      <c r="AW1591" s="1">
        <f>$A1591-$AV1591*$R1591</f>
        <v>0</v>
      </c>
    </row>
    <row r="1592" ht="24.95" customHeight="1" outlineLevel="3" s="1" customFormat="1">
      <c r="A1592" s="15"/>
      <c r="B1592" s="16">
        <v>854</v>
      </c>
      <c r="C1592" s="17">
        <v>1196</v>
      </c>
      <c r="D1592" s="16">
        <v>33150</v>
      </c>
      <c r="E1592" s="18"/>
      <c r="F1592" s="18" t="s">
        <v>5298</v>
      </c>
      <c r="G1592" s="18" t="s">
        <v>5299</v>
      </c>
      <c r="H1592" s="18" t="s">
        <v>95</v>
      </c>
      <c r="I1592" s="18"/>
      <c r="J1592" s="16">
        <v>2025</v>
      </c>
      <c r="K1592" s="18" t="s">
        <v>5300</v>
      </c>
      <c r="L1592" s="16">
        <v>9785206004564</v>
      </c>
      <c r="M1592" s="18" t="s">
        <v>5301</v>
      </c>
      <c r="N1592" s="16">
        <v>208</v>
      </c>
      <c r="O1592" s="19">
        <v>0.28</v>
      </c>
      <c r="P1592" s="16">
        <v>140</v>
      </c>
      <c r="Q1592" s="16">
        <v>210</v>
      </c>
      <c r="R1592" s="16">
        <v>14</v>
      </c>
      <c r="S1592" s="18" t="s">
        <v>43</v>
      </c>
      <c r="T1592" s="18" t="s">
        <v>5158</v>
      </c>
      <c r="U1592" s="17">
        <v>2000</v>
      </c>
      <c r="V1592" s="18" t="s">
        <v>44</v>
      </c>
      <c r="W1592" s="18" t="s">
        <v>45</v>
      </c>
      <c r="X1592" s="16">
        <v>22</v>
      </c>
      <c r="Y1592" s="43" t="str">
        <f>HYPERLINK("","")</f>
      </c>
      <c r="Z1592" s="18"/>
      <c r="AS1592" s="1">
        <f>IF($A1592&lt;&gt;0,1,0)</f>
        <v>0</v>
      </c>
      <c r="AT1592" s="1">
        <f>$A1592*$B1592</f>
        <v>0</v>
      </c>
      <c r="AU1592" s="1">
        <f>$A1592*$O1592</f>
        <v>0</v>
      </c>
      <c r="AV1592" s="1">
        <f>IF($R1592=0,0,INT($A1592/$R1592))</f>
        <v>0</v>
      </c>
      <c r="AW1592" s="1">
        <f>$A1592-$AV1592*$R1592</f>
        <v>0</v>
      </c>
    </row>
    <row r="1593" ht="24.95" customHeight="1" outlineLevel="3" s="1" customFormat="1">
      <c r="A1593" s="15"/>
      <c r="B1593" s="16">
        <v>890</v>
      </c>
      <c r="C1593" s="17">
        <v>1246</v>
      </c>
      <c r="D1593" s="16">
        <v>24221</v>
      </c>
      <c r="E1593" s="18"/>
      <c r="F1593" s="18" t="s">
        <v>5302</v>
      </c>
      <c r="G1593" s="18" t="s">
        <v>5303</v>
      </c>
      <c r="H1593" s="18" t="s">
        <v>86</v>
      </c>
      <c r="I1593" s="18" t="s">
        <v>74</v>
      </c>
      <c r="J1593" s="16">
        <v>2025</v>
      </c>
      <c r="K1593" s="18" t="s">
        <v>5304</v>
      </c>
      <c r="L1593" s="16">
        <v>9785961480306</v>
      </c>
      <c r="M1593" s="18" t="s">
        <v>5305</v>
      </c>
      <c r="N1593" s="16">
        <v>196</v>
      </c>
      <c r="O1593" s="19">
        <v>0.34</v>
      </c>
      <c r="P1593" s="16">
        <v>150</v>
      </c>
      <c r="Q1593" s="16">
        <v>220</v>
      </c>
      <c r="R1593" s="16">
        <v>18</v>
      </c>
      <c r="S1593" s="18" t="s">
        <v>43</v>
      </c>
      <c r="T1593" s="18"/>
      <c r="U1593" s="17">
        <v>2000</v>
      </c>
      <c r="V1593" s="18" t="s">
        <v>77</v>
      </c>
      <c r="W1593" s="18" t="s">
        <v>184</v>
      </c>
      <c r="X1593" s="16">
        <v>10</v>
      </c>
      <c r="Y1593" s="43" t="str">
        <f>HYPERLINK("https://api-enni.alpina.ru/FilePrivilegesApproval/135","https://api-enni.alpina.ru/FilePrivilegesApproval/135")</f>
        <v>https://api-enni.alpina.ru/FilePrivilegesApproval/135</v>
      </c>
      <c r="Z1593" s="18"/>
      <c r="AS1593" s="1">
        <f>IF($A1593&lt;&gt;0,1,0)</f>
        <v>0</v>
      </c>
      <c r="AT1593" s="1">
        <f>$A1593*$B1593</f>
        <v>0</v>
      </c>
      <c r="AU1593" s="1">
        <f>$A1593*$O1593</f>
        <v>0</v>
      </c>
      <c r="AV1593" s="1">
        <f>IF($R1593=0,0,INT($A1593/$R1593))</f>
        <v>0</v>
      </c>
      <c r="AW1593" s="1">
        <f>$A1593-$AV1593*$R1593</f>
        <v>0</v>
      </c>
    </row>
    <row r="1594" ht="24.95" customHeight="1" outlineLevel="3" s="1" customFormat="1">
      <c r="A1594" s="15"/>
      <c r="B1594" s="16">
        <v>640</v>
      </c>
      <c r="C1594" s="16">
        <v>960</v>
      </c>
      <c r="D1594" s="16">
        <v>28422</v>
      </c>
      <c r="E1594" s="18"/>
      <c r="F1594" s="18" t="s">
        <v>5306</v>
      </c>
      <c r="G1594" s="18" t="s">
        <v>5307</v>
      </c>
      <c r="H1594" s="18" t="s">
        <v>95</v>
      </c>
      <c r="I1594" s="18"/>
      <c r="J1594" s="16">
        <v>2024</v>
      </c>
      <c r="K1594" s="18" t="s">
        <v>5308</v>
      </c>
      <c r="L1594" s="16">
        <v>9785206002072</v>
      </c>
      <c r="M1594" s="18" t="s">
        <v>5309</v>
      </c>
      <c r="N1594" s="16">
        <v>160</v>
      </c>
      <c r="O1594" s="19">
        <v>0.3</v>
      </c>
      <c r="P1594" s="16">
        <v>150</v>
      </c>
      <c r="Q1594" s="16">
        <v>220</v>
      </c>
      <c r="R1594" s="16">
        <v>8</v>
      </c>
      <c r="S1594" s="18" t="s">
        <v>43</v>
      </c>
      <c r="T1594" s="18"/>
      <c r="U1594" s="17">
        <v>1005</v>
      </c>
      <c r="V1594" s="18" t="s">
        <v>77</v>
      </c>
      <c r="W1594" s="18" t="s">
        <v>91</v>
      </c>
      <c r="X1594" s="16">
        <v>10</v>
      </c>
      <c r="Y1594" s="43" t="str">
        <f>HYPERLINK("https://api-enni.alpina.ru/FilePrivilegesApproval/394","https://api-enni.alpina.ru/FilePrivilegesApproval/394")</f>
        <v>https://api-enni.alpina.ru/FilePrivilegesApproval/394</v>
      </c>
      <c r="Z1594" s="18"/>
      <c r="AS1594" s="1">
        <f>IF($A1594&lt;&gt;0,1,0)</f>
        <v>0</v>
      </c>
      <c r="AT1594" s="1">
        <f>$A1594*$B1594</f>
        <v>0</v>
      </c>
      <c r="AU1594" s="1">
        <f>$A1594*$O1594</f>
        <v>0</v>
      </c>
      <c r="AV1594" s="1">
        <f>IF($R1594=0,0,INT($A1594/$R1594))</f>
        <v>0</v>
      </c>
      <c r="AW1594" s="1">
        <f>$A1594-$AV1594*$R1594</f>
        <v>0</v>
      </c>
    </row>
    <row r="1595" ht="24.95" customHeight="1" outlineLevel="3" s="1" customFormat="1">
      <c r="A1595" s="15"/>
      <c r="B1595" s="16">
        <v>640</v>
      </c>
      <c r="C1595" s="16">
        <v>960</v>
      </c>
      <c r="D1595" s="16">
        <v>5298</v>
      </c>
      <c r="E1595" s="18"/>
      <c r="F1595" s="18" t="s">
        <v>728</v>
      </c>
      <c r="G1595" s="18" t="s">
        <v>5310</v>
      </c>
      <c r="H1595" s="18" t="s">
        <v>86</v>
      </c>
      <c r="I1595" s="18" t="s">
        <v>74</v>
      </c>
      <c r="J1595" s="16">
        <v>2026</v>
      </c>
      <c r="K1595" s="18" t="s">
        <v>5311</v>
      </c>
      <c r="L1595" s="16">
        <v>9785961468854</v>
      </c>
      <c r="M1595" s="18" t="s">
        <v>5312</v>
      </c>
      <c r="N1595" s="16">
        <v>158</v>
      </c>
      <c r="O1595" s="19">
        <v>0.31</v>
      </c>
      <c r="P1595" s="16">
        <v>150</v>
      </c>
      <c r="Q1595" s="16">
        <v>220</v>
      </c>
      <c r="R1595" s="16">
        <v>10</v>
      </c>
      <c r="S1595" s="18" t="s">
        <v>43</v>
      </c>
      <c r="T1595" s="18"/>
      <c r="U1595" s="17">
        <v>1000</v>
      </c>
      <c r="V1595" s="18" t="s">
        <v>77</v>
      </c>
      <c r="W1595" s="18" t="s">
        <v>184</v>
      </c>
      <c r="X1595" s="16">
        <v>10</v>
      </c>
      <c r="Y1595" s="43" t="str">
        <f>HYPERLINK("https://api-enni.alpina.ru/FilePrivilegesApproval/2","https://api-enni.alpina.ru/FilePrivilegesApproval/2")</f>
        <v>https://api-enni.alpina.ru/FilePrivilegesApproval/2</v>
      </c>
      <c r="Z1595" s="18"/>
      <c r="AS1595" s="1">
        <f>IF($A1595&lt;&gt;0,1,0)</f>
        <v>0</v>
      </c>
      <c r="AT1595" s="1">
        <f>$A1595*$B1595</f>
        <v>0</v>
      </c>
      <c r="AU1595" s="1">
        <f>$A1595*$O1595</f>
        <v>0</v>
      </c>
      <c r="AV1595" s="1">
        <f>IF($R1595=0,0,INT($A1595/$R1595))</f>
        <v>0</v>
      </c>
      <c r="AW1595" s="1">
        <f>$A1595-$AV1595*$R1595</f>
        <v>0</v>
      </c>
    </row>
    <row r="1596" ht="24.95" customHeight="1" outlineLevel="3" s="1" customFormat="1">
      <c r="A1596" s="15"/>
      <c r="B1596" s="16">
        <v>740</v>
      </c>
      <c r="C1596" s="17">
        <v>1073</v>
      </c>
      <c r="D1596" s="16">
        <v>5513</v>
      </c>
      <c r="E1596" s="18"/>
      <c r="F1596" s="18" t="s">
        <v>5313</v>
      </c>
      <c r="G1596" s="18" t="s">
        <v>5314</v>
      </c>
      <c r="H1596" s="18" t="s">
        <v>86</v>
      </c>
      <c r="I1596" s="18" t="s">
        <v>74</v>
      </c>
      <c r="J1596" s="16">
        <v>2025</v>
      </c>
      <c r="K1596" s="18" t="s">
        <v>5315</v>
      </c>
      <c r="L1596" s="16">
        <v>9785961465464</v>
      </c>
      <c r="M1596" s="18" t="s">
        <v>5316</v>
      </c>
      <c r="N1596" s="16">
        <v>344</v>
      </c>
      <c r="O1596" s="19">
        <v>0.54</v>
      </c>
      <c r="P1596" s="16">
        <v>163</v>
      </c>
      <c r="Q1596" s="16">
        <v>235</v>
      </c>
      <c r="R1596" s="16">
        <v>8</v>
      </c>
      <c r="S1596" s="18" t="s">
        <v>123</v>
      </c>
      <c r="T1596" s="18"/>
      <c r="U1596" s="17">
        <v>2000</v>
      </c>
      <c r="V1596" s="18" t="s">
        <v>44</v>
      </c>
      <c r="W1596" s="18" t="s">
        <v>184</v>
      </c>
      <c r="X1596" s="16">
        <v>10</v>
      </c>
      <c r="Y1596" s="43" t="str">
        <f>HYPERLINK("https://api-enni.alpina.ru/FilePrivilegesApproval/2","https://api-enni.alpina.ru/FilePrivilegesApproval/2")</f>
        <v>https://api-enni.alpina.ru/FilePrivilegesApproval/2</v>
      </c>
      <c r="Z1596" s="18"/>
      <c r="AS1596" s="1">
        <f>IF($A1596&lt;&gt;0,1,0)</f>
        <v>0</v>
      </c>
      <c r="AT1596" s="1">
        <f>$A1596*$B1596</f>
        <v>0</v>
      </c>
      <c r="AU1596" s="1">
        <f>$A1596*$O1596</f>
        <v>0</v>
      </c>
      <c r="AV1596" s="1">
        <f>IF($R1596=0,0,INT($A1596/$R1596))</f>
        <v>0</v>
      </c>
      <c r="AW1596" s="1">
        <f>$A1596-$AV1596*$R1596</f>
        <v>0</v>
      </c>
    </row>
    <row r="1597" ht="24.95" customHeight="1" outlineLevel="3" s="1" customFormat="1">
      <c r="A1597" s="15"/>
      <c r="B1597" s="16">
        <v>790</v>
      </c>
      <c r="C1597" s="17">
        <v>1146</v>
      </c>
      <c r="D1597" s="16">
        <v>35289</v>
      </c>
      <c r="E1597" s="18"/>
      <c r="F1597" s="18" t="s">
        <v>140</v>
      </c>
      <c r="G1597" s="18" t="s">
        <v>141</v>
      </c>
      <c r="H1597" s="18" t="s">
        <v>86</v>
      </c>
      <c r="I1597" s="18" t="s">
        <v>74</v>
      </c>
      <c r="J1597" s="16">
        <v>2026</v>
      </c>
      <c r="K1597" s="18" t="s">
        <v>142</v>
      </c>
      <c r="L1597" s="16">
        <v>9785006310803</v>
      </c>
      <c r="M1597" s="18" t="s">
        <v>143</v>
      </c>
      <c r="N1597" s="16">
        <v>172</v>
      </c>
      <c r="O1597" s="19">
        <v>0.29</v>
      </c>
      <c r="P1597" s="16">
        <v>170</v>
      </c>
      <c r="Q1597" s="16">
        <v>240</v>
      </c>
      <c r="R1597" s="16">
        <v>12</v>
      </c>
      <c r="S1597" s="18" t="s">
        <v>123</v>
      </c>
      <c r="T1597" s="18"/>
      <c r="U1597" s="17">
        <v>2000</v>
      </c>
      <c r="V1597" s="18" t="s">
        <v>44</v>
      </c>
      <c r="W1597" s="18" t="s">
        <v>91</v>
      </c>
      <c r="X1597" s="16">
        <v>10</v>
      </c>
      <c r="Y1597" s="43" t="str">
        <f>HYPERLINK("https://api-enni.alpina.ru/FilePrivilegesApproval/1163","https://api-enni.alpina.ru/FilePrivilegesApproval/1163")</f>
        <v>https://api-enni.alpina.ru/FilePrivilegesApproval/1163</v>
      </c>
      <c r="Z1597" s="18" t="s">
        <v>144</v>
      </c>
      <c r="AS1597" s="1">
        <f>IF($A1597&lt;&gt;0,1,0)</f>
        <v>0</v>
      </c>
      <c r="AT1597" s="1">
        <f>$A1597*$B1597</f>
        <v>0</v>
      </c>
      <c r="AU1597" s="1">
        <f>$A1597*$O1597</f>
        <v>0</v>
      </c>
      <c r="AV1597" s="1">
        <f>IF($R1597=0,0,INT($A1597/$R1597))</f>
        <v>0</v>
      </c>
      <c r="AW1597" s="1">
        <f>$A1597-$AV1597*$R1597</f>
        <v>0</v>
      </c>
    </row>
    <row r="1598" ht="24.95" customHeight="1" outlineLevel="3" s="1" customFormat="1">
      <c r="A1598" s="15"/>
      <c r="B1598" s="16">
        <v>390</v>
      </c>
      <c r="C1598" s="16">
        <v>624</v>
      </c>
      <c r="D1598" s="16">
        <v>30842</v>
      </c>
      <c r="E1598" s="18"/>
      <c r="F1598" s="18" t="s">
        <v>5317</v>
      </c>
      <c r="G1598" s="18" t="s">
        <v>5318</v>
      </c>
      <c r="H1598" s="18" t="s">
        <v>86</v>
      </c>
      <c r="I1598" s="18" t="s">
        <v>74</v>
      </c>
      <c r="J1598" s="16">
        <v>2026</v>
      </c>
      <c r="K1598" s="18" t="s">
        <v>5319</v>
      </c>
      <c r="L1598" s="16">
        <v>9785961496741</v>
      </c>
      <c r="M1598" s="18" t="s">
        <v>5320</v>
      </c>
      <c r="N1598" s="16">
        <v>314</v>
      </c>
      <c r="O1598" s="19">
        <v>0.21</v>
      </c>
      <c r="P1598" s="16">
        <v>120</v>
      </c>
      <c r="Q1598" s="16">
        <v>170</v>
      </c>
      <c r="R1598" s="16">
        <v>16</v>
      </c>
      <c r="S1598" s="18" t="s">
        <v>190</v>
      </c>
      <c r="T1598" s="18" t="s">
        <v>451</v>
      </c>
      <c r="U1598" s="17">
        <v>4000</v>
      </c>
      <c r="V1598" s="18" t="s">
        <v>44</v>
      </c>
      <c r="W1598" s="18" t="s">
        <v>69</v>
      </c>
      <c r="X1598" s="16">
        <v>10</v>
      </c>
      <c r="Y1598" s="43" t="str">
        <f>HYPERLINK("https://api-enni.alpina.ru/FilePrivilegesApproval/132","https://api-enni.alpina.ru/FilePrivilegesApproval/132")</f>
        <v>https://api-enni.alpina.ru/FilePrivilegesApproval/132</v>
      </c>
      <c r="Z1598" s="18" t="s">
        <v>251</v>
      </c>
      <c r="AS1598" s="1">
        <f>IF($A1598&lt;&gt;0,1,0)</f>
        <v>0</v>
      </c>
      <c r="AT1598" s="1">
        <f>$A1598*$B1598</f>
        <v>0</v>
      </c>
      <c r="AU1598" s="1">
        <f>$A1598*$O1598</f>
        <v>0</v>
      </c>
      <c r="AV1598" s="1">
        <f>IF($R1598=0,0,INT($A1598/$R1598))</f>
        <v>0</v>
      </c>
      <c r="AW1598" s="1">
        <f>$A1598-$AV1598*$R1598</f>
        <v>0</v>
      </c>
    </row>
    <row r="1599" ht="24.95" customHeight="1" outlineLevel="3" s="1" customFormat="1">
      <c r="A1599" s="25"/>
      <c r="B1599" s="26">
        <v>990</v>
      </c>
      <c r="C1599" s="29">
        <v>1386</v>
      </c>
      <c r="D1599" s="26">
        <v>11041</v>
      </c>
      <c r="E1599" s="27"/>
      <c r="F1599" s="27" t="s">
        <v>5321</v>
      </c>
      <c r="G1599" s="27" t="s">
        <v>5322</v>
      </c>
      <c r="H1599" s="27" t="s">
        <v>86</v>
      </c>
      <c r="I1599" s="27" t="s">
        <v>74</v>
      </c>
      <c r="J1599" s="26">
        <v>2025</v>
      </c>
      <c r="K1599" s="27" t="s">
        <v>5323</v>
      </c>
      <c r="L1599" s="26">
        <v>9785961419047</v>
      </c>
      <c r="M1599" s="27" t="s">
        <v>5324</v>
      </c>
      <c r="N1599" s="26">
        <v>438</v>
      </c>
      <c r="O1599" s="28">
        <v>0.68</v>
      </c>
      <c r="P1599" s="26">
        <v>163</v>
      </c>
      <c r="Q1599" s="26">
        <v>235</v>
      </c>
      <c r="R1599" s="26">
        <v>5</v>
      </c>
      <c r="S1599" s="27" t="s">
        <v>123</v>
      </c>
      <c r="T1599" s="27"/>
      <c r="U1599" s="29">
        <v>1000</v>
      </c>
      <c r="V1599" s="27" t="s">
        <v>44</v>
      </c>
      <c r="W1599" s="27" t="s">
        <v>91</v>
      </c>
      <c r="X1599" s="26">
        <v>10</v>
      </c>
      <c r="Y1599" s="45" t="str">
        <f>HYPERLINK("https://api-enni.alpina.ru/FilePrivilegesApproval/80","https://api-enni.alpina.ru/FilePrivilegesApproval/80")</f>
        <v>https://api-enni.alpina.ru/FilePrivilegesApproval/80</v>
      </c>
      <c r="Z1599" s="27"/>
      <c r="AS1599" s="1">
        <f>IF($A1599&lt;&gt;0,1,0)</f>
        <v>0</v>
      </c>
      <c r="AT1599" s="1">
        <f>$A1599*$B1599</f>
        <v>0</v>
      </c>
      <c r="AU1599" s="1">
        <f>$A1599*$O1599</f>
        <v>0</v>
      </c>
      <c r="AV1599" s="1">
        <f>IF($R1599=0,0,INT($A1599/$R1599))</f>
        <v>0</v>
      </c>
      <c r="AW1599" s="1">
        <f>$A1599-$AV1599*$R1599</f>
        <v>0</v>
      </c>
    </row>
    <row r="1600" ht="24.95" customHeight="1" outlineLevel="3" s="1" customFormat="1">
      <c r="A1600" s="15"/>
      <c r="B1600" s="17">
        <v>1090</v>
      </c>
      <c r="C1600" s="17">
        <v>1472</v>
      </c>
      <c r="D1600" s="16">
        <v>29415</v>
      </c>
      <c r="E1600" s="18"/>
      <c r="F1600" s="18" t="s">
        <v>5325</v>
      </c>
      <c r="G1600" s="18" t="s">
        <v>5326</v>
      </c>
      <c r="H1600" s="18" t="s">
        <v>95</v>
      </c>
      <c r="I1600" s="18"/>
      <c r="J1600" s="16">
        <v>2024</v>
      </c>
      <c r="K1600" s="18" t="s">
        <v>5327</v>
      </c>
      <c r="L1600" s="16">
        <v>9785206002683</v>
      </c>
      <c r="M1600" s="18" t="s">
        <v>5328</v>
      </c>
      <c r="N1600" s="16">
        <v>88</v>
      </c>
      <c r="O1600" s="19">
        <v>0.22</v>
      </c>
      <c r="P1600" s="16">
        <v>150</v>
      </c>
      <c r="Q1600" s="16">
        <v>220</v>
      </c>
      <c r="R1600" s="16">
        <v>8</v>
      </c>
      <c r="S1600" s="18" t="s">
        <v>43</v>
      </c>
      <c r="T1600" s="18"/>
      <c r="U1600" s="17">
        <v>1005</v>
      </c>
      <c r="V1600" s="18" t="s">
        <v>77</v>
      </c>
      <c r="W1600" s="18" t="s">
        <v>91</v>
      </c>
      <c r="X1600" s="16">
        <v>10</v>
      </c>
      <c r="Y1600" s="43" t="str">
        <f>HYPERLINK("https://api-enni.alpina.ru/FilePrivilegesApproval/341","https://api-enni.alpina.ru/FilePrivilegesApproval/341")</f>
        <v>https://api-enni.alpina.ru/FilePrivilegesApproval/341</v>
      </c>
      <c r="Z1600" s="18"/>
      <c r="AS1600" s="1">
        <f>IF($A1600&lt;&gt;0,1,0)</f>
        <v>0</v>
      </c>
      <c r="AT1600" s="1">
        <f>$A1600*$B1600</f>
        <v>0</v>
      </c>
      <c r="AU1600" s="1">
        <f>$A1600*$O1600</f>
        <v>0</v>
      </c>
      <c r="AV1600" s="1">
        <f>IF($R1600=0,0,INT($A1600/$R1600))</f>
        <v>0</v>
      </c>
      <c r="AW1600" s="1">
        <f>$A1600-$AV1600*$R1600</f>
        <v>0</v>
      </c>
    </row>
    <row r="1601" ht="24.95" customHeight="1" outlineLevel="3" s="1" customFormat="1">
      <c r="A1601" s="15"/>
      <c r="B1601" s="17">
        <v>1590</v>
      </c>
      <c r="C1601" s="17">
        <v>2067</v>
      </c>
      <c r="D1601" s="16">
        <v>35300</v>
      </c>
      <c r="E1601" s="18"/>
      <c r="F1601" s="18" t="s">
        <v>5329</v>
      </c>
      <c r="G1601" s="18" t="s">
        <v>5330</v>
      </c>
      <c r="H1601" s="18" t="s">
        <v>95</v>
      </c>
      <c r="I1601" s="18"/>
      <c r="J1601" s="16">
        <v>2026</v>
      </c>
      <c r="K1601" s="18" t="s">
        <v>5331</v>
      </c>
      <c r="L1601" s="16">
        <v>9785206005868</v>
      </c>
      <c r="M1601" s="18" t="s">
        <v>5332</v>
      </c>
      <c r="N1601" s="16">
        <v>288</v>
      </c>
      <c r="O1601" s="19">
        <v>0.33</v>
      </c>
      <c r="P1601" s="16">
        <v>170</v>
      </c>
      <c r="Q1601" s="16">
        <v>220</v>
      </c>
      <c r="R1601" s="16">
        <v>10</v>
      </c>
      <c r="S1601" s="18" t="s">
        <v>52</v>
      </c>
      <c r="T1601" s="18"/>
      <c r="U1601" s="17">
        <v>2000</v>
      </c>
      <c r="V1601" s="18" t="s">
        <v>44</v>
      </c>
      <c r="W1601" s="18" t="s">
        <v>69</v>
      </c>
      <c r="X1601" s="16">
        <v>10</v>
      </c>
      <c r="Y1601" s="43" t="str">
        <f>HYPERLINK("https://api-enni.alpina.ru/FilePrivilegesApproval/1136","https://api-enni.alpina.ru/FilePrivilegesApproval/1136")</f>
        <v>https://api-enni.alpina.ru/FilePrivilegesApproval/1136</v>
      </c>
      <c r="Z1601" s="18"/>
      <c r="AS1601" s="1">
        <f>IF($A1601&lt;&gt;0,1,0)</f>
        <v>0</v>
      </c>
      <c r="AT1601" s="1">
        <f>$A1601*$B1601</f>
        <v>0</v>
      </c>
      <c r="AU1601" s="1">
        <f>$A1601*$O1601</f>
        <v>0</v>
      </c>
      <c r="AV1601" s="1">
        <f>IF($R1601=0,0,INT($A1601/$R1601))</f>
        <v>0</v>
      </c>
      <c r="AW1601" s="1">
        <f>$A1601-$AV1601*$R1601</f>
        <v>0</v>
      </c>
    </row>
    <row r="1602" ht="24.95" customHeight="1" outlineLevel="3" s="1" customFormat="1">
      <c r="A1602" s="15"/>
      <c r="B1602" s="16">
        <v>790</v>
      </c>
      <c r="C1602" s="17">
        <v>1146</v>
      </c>
      <c r="D1602" s="16">
        <v>27305</v>
      </c>
      <c r="E1602" s="18"/>
      <c r="F1602" s="18" t="s">
        <v>5333</v>
      </c>
      <c r="G1602" s="18" t="s">
        <v>5334</v>
      </c>
      <c r="H1602" s="18" t="s">
        <v>95</v>
      </c>
      <c r="I1602" s="18"/>
      <c r="J1602" s="16">
        <v>2023</v>
      </c>
      <c r="K1602" s="18" t="s">
        <v>5335</v>
      </c>
      <c r="L1602" s="16">
        <v>9785206001747</v>
      </c>
      <c r="M1602" s="18" t="s">
        <v>5336</v>
      </c>
      <c r="N1602" s="16">
        <v>94</v>
      </c>
      <c r="O1602" s="19">
        <v>0.25</v>
      </c>
      <c r="P1602" s="16">
        <v>150</v>
      </c>
      <c r="Q1602" s="16">
        <v>220</v>
      </c>
      <c r="R1602" s="16">
        <v>16</v>
      </c>
      <c r="S1602" s="18" t="s">
        <v>43</v>
      </c>
      <c r="T1602" s="18"/>
      <c r="U1602" s="17">
        <v>1000</v>
      </c>
      <c r="V1602" s="18" t="s">
        <v>77</v>
      </c>
      <c r="W1602" s="18" t="s">
        <v>91</v>
      </c>
      <c r="X1602" s="16">
        <v>10</v>
      </c>
      <c r="Y1602" s="43" t="str">
        <f>HYPERLINK("https://api-enni.alpina.ru/FilePrivilegesApproval/211","https://api-enni.alpina.ru/FilePrivilegesApproval/211")</f>
        <v>https://api-enni.alpina.ru/FilePrivilegesApproval/211</v>
      </c>
      <c r="Z1602" s="18"/>
      <c r="AS1602" s="1">
        <f>IF($A1602&lt;&gt;0,1,0)</f>
        <v>0</v>
      </c>
      <c r="AT1602" s="1">
        <f>$A1602*$B1602</f>
        <v>0</v>
      </c>
      <c r="AU1602" s="1">
        <f>$A1602*$O1602</f>
        <v>0</v>
      </c>
      <c r="AV1602" s="1">
        <f>IF($R1602=0,0,INT($A1602/$R1602))</f>
        <v>0</v>
      </c>
      <c r="AW1602" s="1">
        <f>$A1602-$AV1602*$R1602</f>
        <v>0</v>
      </c>
    </row>
    <row r="1603" ht="24.95" customHeight="1" outlineLevel="3" s="1" customFormat="1">
      <c r="A1603" s="15"/>
      <c r="B1603" s="16">
        <v>750</v>
      </c>
      <c r="C1603" s="17">
        <v>1088</v>
      </c>
      <c r="D1603" s="16">
        <v>4447</v>
      </c>
      <c r="E1603" s="18"/>
      <c r="F1603" s="18" t="s">
        <v>5337</v>
      </c>
      <c r="G1603" s="18" t="s">
        <v>5338</v>
      </c>
      <c r="H1603" s="18" t="s">
        <v>86</v>
      </c>
      <c r="I1603" s="18" t="s">
        <v>74</v>
      </c>
      <c r="J1603" s="16">
        <v>2021</v>
      </c>
      <c r="K1603" s="18" t="s">
        <v>5339</v>
      </c>
      <c r="L1603" s="16">
        <v>9785961453997</v>
      </c>
      <c r="M1603" s="18" t="s">
        <v>5340</v>
      </c>
      <c r="N1603" s="16">
        <v>260</v>
      </c>
      <c r="O1603" s="19">
        <v>0.59</v>
      </c>
      <c r="P1603" s="16">
        <v>187</v>
      </c>
      <c r="Q1603" s="16">
        <v>231</v>
      </c>
      <c r="R1603" s="16">
        <v>8</v>
      </c>
      <c r="S1603" s="18" t="s">
        <v>83</v>
      </c>
      <c r="T1603" s="18"/>
      <c r="U1603" s="17">
        <v>1500</v>
      </c>
      <c r="V1603" s="18" t="s">
        <v>44</v>
      </c>
      <c r="W1603" s="18" t="s">
        <v>184</v>
      </c>
      <c r="X1603" s="16">
        <v>10</v>
      </c>
      <c r="Y1603" s="43" t="str">
        <f>HYPERLINK("https://api-enni.alpina.ru/FilePrivilegesApproval/2","https://api-enni.alpina.ru/FilePrivilegesApproval/2")</f>
        <v>https://api-enni.alpina.ru/FilePrivilegesApproval/2</v>
      </c>
      <c r="Z1603" s="18"/>
      <c r="AS1603" s="1">
        <f>IF($A1603&lt;&gt;0,1,0)</f>
        <v>0</v>
      </c>
      <c r="AT1603" s="1">
        <f>$A1603*$B1603</f>
        <v>0</v>
      </c>
      <c r="AU1603" s="1">
        <f>$A1603*$O1603</f>
        <v>0</v>
      </c>
      <c r="AV1603" s="1">
        <f>IF($R1603=0,0,INT($A1603/$R1603))</f>
        <v>0</v>
      </c>
      <c r="AW1603" s="1">
        <f>$A1603-$AV1603*$R1603</f>
        <v>0</v>
      </c>
    </row>
    <row r="1604" ht="24.95" customHeight="1" outlineLevel="3" s="1" customFormat="1">
      <c r="A1604" s="15"/>
      <c r="B1604" s="16">
        <v>640</v>
      </c>
      <c r="C1604" s="16">
        <v>960</v>
      </c>
      <c r="D1604" s="16">
        <v>1629</v>
      </c>
      <c r="E1604" s="18"/>
      <c r="F1604" s="18" t="s">
        <v>728</v>
      </c>
      <c r="G1604" s="18" t="s">
        <v>729</v>
      </c>
      <c r="H1604" s="18" t="s">
        <v>86</v>
      </c>
      <c r="I1604" s="18" t="s">
        <v>74</v>
      </c>
      <c r="J1604" s="16">
        <v>2025</v>
      </c>
      <c r="K1604" s="18" t="s">
        <v>730</v>
      </c>
      <c r="L1604" s="16">
        <v>9785961467451</v>
      </c>
      <c r="M1604" s="18" t="s">
        <v>731</v>
      </c>
      <c r="N1604" s="16">
        <v>216</v>
      </c>
      <c r="O1604" s="19">
        <v>0.36</v>
      </c>
      <c r="P1604" s="16">
        <v>146</v>
      </c>
      <c r="Q1604" s="16">
        <v>216</v>
      </c>
      <c r="R1604" s="16">
        <v>18</v>
      </c>
      <c r="S1604" s="18" t="s">
        <v>43</v>
      </c>
      <c r="T1604" s="18"/>
      <c r="U1604" s="17">
        <v>10000</v>
      </c>
      <c r="V1604" s="18" t="s">
        <v>77</v>
      </c>
      <c r="W1604" s="18" t="s">
        <v>184</v>
      </c>
      <c r="X1604" s="16">
        <v>10</v>
      </c>
      <c r="Y1604" s="43" t="str">
        <f>HYPERLINK("https://api-enni.alpina.ru/FilePrivilegesApproval/2","https://api-enni.alpina.ru/FilePrivilegesApproval/2")</f>
        <v>https://api-enni.alpina.ru/FilePrivilegesApproval/2</v>
      </c>
      <c r="Z1604" s="18"/>
      <c r="AS1604" s="1">
        <f>IF($A1604&lt;&gt;0,1,0)</f>
        <v>0</v>
      </c>
      <c r="AT1604" s="1">
        <f>$A1604*$B1604</f>
        <v>0</v>
      </c>
      <c r="AU1604" s="1">
        <f>$A1604*$O1604</f>
        <v>0</v>
      </c>
      <c r="AV1604" s="1">
        <f>IF($R1604=0,0,INT($A1604/$R1604))</f>
        <v>0</v>
      </c>
      <c r="AW1604" s="1">
        <f>$A1604-$AV1604*$R1604</f>
        <v>0</v>
      </c>
    </row>
    <row r="1605" ht="24.95" customHeight="1" outlineLevel="3" s="1" customFormat="1">
      <c r="A1605" s="15"/>
      <c r="B1605" s="16">
        <v>890</v>
      </c>
      <c r="C1605" s="17">
        <v>1246</v>
      </c>
      <c r="D1605" s="16">
        <v>34577</v>
      </c>
      <c r="E1605" s="18"/>
      <c r="F1605" s="18" t="s">
        <v>4810</v>
      </c>
      <c r="G1605" s="18" t="s">
        <v>5341</v>
      </c>
      <c r="H1605" s="18" t="s">
        <v>86</v>
      </c>
      <c r="I1605" s="18" t="s">
        <v>74</v>
      </c>
      <c r="J1605" s="16">
        <v>2026</v>
      </c>
      <c r="K1605" s="18" t="s">
        <v>5342</v>
      </c>
      <c r="L1605" s="16">
        <v>9785006305342</v>
      </c>
      <c r="M1605" s="18" t="s">
        <v>5343</v>
      </c>
      <c r="N1605" s="16">
        <v>288</v>
      </c>
      <c r="O1605" s="19">
        <v>0.45</v>
      </c>
      <c r="P1605" s="16">
        <v>150</v>
      </c>
      <c r="Q1605" s="16">
        <v>220</v>
      </c>
      <c r="R1605" s="16">
        <v>12</v>
      </c>
      <c r="S1605" s="18" t="s">
        <v>43</v>
      </c>
      <c r="T1605" s="18"/>
      <c r="U1605" s="17">
        <v>2000</v>
      </c>
      <c r="V1605" s="18" t="s">
        <v>77</v>
      </c>
      <c r="W1605" s="18" t="s">
        <v>91</v>
      </c>
      <c r="X1605" s="16">
        <v>10</v>
      </c>
      <c r="Y1605" s="43" t="str">
        <f>HYPERLINK("https://api-enni.alpina.ru/FilePrivilegesApproval/1108","https://api-enni.alpina.ru/FilePrivilegesApproval/1108")</f>
        <v>https://api-enni.alpina.ru/FilePrivilegesApproval/1108</v>
      </c>
      <c r="Z1605" s="18"/>
      <c r="AS1605" s="1">
        <f>IF($A1605&lt;&gt;0,1,0)</f>
        <v>0</v>
      </c>
      <c r="AT1605" s="1">
        <f>$A1605*$B1605</f>
        <v>0</v>
      </c>
      <c r="AU1605" s="1">
        <f>$A1605*$O1605</f>
        <v>0</v>
      </c>
      <c r="AV1605" s="1">
        <f>IF($R1605=0,0,INT($A1605/$R1605))</f>
        <v>0</v>
      </c>
      <c r="AW1605" s="1">
        <f>$A1605-$AV1605*$R1605</f>
        <v>0</v>
      </c>
    </row>
    <row r="1606" ht="24.95" customHeight="1" outlineLevel="3" s="1" customFormat="1">
      <c r="A1606" s="15"/>
      <c r="B1606" s="16">
        <v>990</v>
      </c>
      <c r="C1606" s="17">
        <v>1386</v>
      </c>
      <c r="D1606" s="16">
        <v>24041</v>
      </c>
      <c r="E1606" s="18"/>
      <c r="F1606" s="18" t="s">
        <v>256</v>
      </c>
      <c r="G1606" s="18" t="s">
        <v>5344</v>
      </c>
      <c r="H1606" s="18" t="s">
        <v>86</v>
      </c>
      <c r="I1606" s="18"/>
      <c r="J1606" s="16">
        <v>2025</v>
      </c>
      <c r="K1606" s="18" t="s">
        <v>5345</v>
      </c>
      <c r="L1606" s="16">
        <v>9785961442717</v>
      </c>
      <c r="M1606" s="18" t="s">
        <v>5346</v>
      </c>
      <c r="N1606" s="16">
        <v>583</v>
      </c>
      <c r="O1606" s="19">
        <v>0.8</v>
      </c>
      <c r="P1606" s="16">
        <v>150</v>
      </c>
      <c r="Q1606" s="16">
        <v>220</v>
      </c>
      <c r="R1606" s="16">
        <v>5</v>
      </c>
      <c r="S1606" s="18" t="s">
        <v>43</v>
      </c>
      <c r="T1606" s="18"/>
      <c r="U1606" s="17">
        <v>1000</v>
      </c>
      <c r="V1606" s="18" t="s">
        <v>77</v>
      </c>
      <c r="W1606" s="18" t="s">
        <v>91</v>
      </c>
      <c r="X1606" s="16">
        <v>10</v>
      </c>
      <c r="Y1606" s="43" t="str">
        <f>HYPERLINK("https://api-enni.alpina.ru/FilePrivilegesApproval/132","https://api-enni.alpina.ru/FilePrivilegesApproval/132")</f>
        <v>https://api-enni.alpina.ru/FilePrivilegesApproval/132</v>
      </c>
      <c r="Z1606" s="18"/>
      <c r="AS1606" s="1">
        <f>IF($A1606&lt;&gt;0,1,0)</f>
        <v>0</v>
      </c>
      <c r="AT1606" s="1">
        <f>$A1606*$B1606</f>
        <v>0</v>
      </c>
      <c r="AU1606" s="1">
        <f>$A1606*$O1606</f>
        <v>0</v>
      </c>
      <c r="AV1606" s="1">
        <f>IF($R1606=0,0,INT($A1606/$R1606))</f>
        <v>0</v>
      </c>
      <c r="AW1606" s="1">
        <f>$A1606-$AV1606*$R1606</f>
        <v>0</v>
      </c>
    </row>
    <row r="1607" ht="24.95" customHeight="1" outlineLevel="3" s="1" customFormat="1">
      <c r="A1607" s="15"/>
      <c r="B1607" s="16">
        <v>490</v>
      </c>
      <c r="C1607" s="16">
        <v>760</v>
      </c>
      <c r="D1607" s="16">
        <v>36923</v>
      </c>
      <c r="E1607" s="18"/>
      <c r="F1607" s="18" t="s">
        <v>256</v>
      </c>
      <c r="G1607" s="18" t="s">
        <v>257</v>
      </c>
      <c r="H1607" s="18" t="s">
        <v>86</v>
      </c>
      <c r="I1607" s="18"/>
      <c r="J1607" s="16">
        <v>2026</v>
      </c>
      <c r="K1607" s="18" t="s">
        <v>258</v>
      </c>
      <c r="L1607" s="16">
        <v>9785006318373</v>
      </c>
      <c r="M1607" s="18" t="s">
        <v>259</v>
      </c>
      <c r="N1607" s="16">
        <v>191</v>
      </c>
      <c r="O1607" s="19">
        <v>0.21</v>
      </c>
      <c r="P1607" s="16">
        <v>130</v>
      </c>
      <c r="Q1607" s="16">
        <v>200</v>
      </c>
      <c r="R1607" s="16">
        <v>22</v>
      </c>
      <c r="S1607" s="18" t="s">
        <v>90</v>
      </c>
      <c r="T1607" s="18" t="s">
        <v>260</v>
      </c>
      <c r="U1607" s="17">
        <v>5000</v>
      </c>
      <c r="V1607" s="18" t="s">
        <v>44</v>
      </c>
      <c r="W1607" s="18" t="s">
        <v>91</v>
      </c>
      <c r="X1607" s="16">
        <v>10</v>
      </c>
      <c r="Y1607" s="43" t="str">
        <f>HYPERLINK("https://api-enni.alpina.ru/FilePrivilegesApproval/1163","https://api-enni.alpina.ru/FilePrivilegesApproval/1163")</f>
        <v>https://api-enni.alpina.ru/FilePrivilegesApproval/1163</v>
      </c>
      <c r="Z1607" s="18" t="s">
        <v>78</v>
      </c>
      <c r="AS1607" s="1">
        <f>IF($A1607&lt;&gt;0,1,0)</f>
        <v>0</v>
      </c>
      <c r="AT1607" s="1">
        <f>$A1607*$B1607</f>
        <v>0</v>
      </c>
      <c r="AU1607" s="1">
        <f>$A1607*$O1607</f>
        <v>0</v>
      </c>
      <c r="AV1607" s="1">
        <f>IF($R1607=0,0,INT($A1607/$R1607))</f>
        <v>0</v>
      </c>
      <c r="AW1607" s="1">
        <f>$A1607-$AV1607*$R1607</f>
        <v>0</v>
      </c>
    </row>
    <row r="1608" ht="21.95" customHeight="1" outlineLevel="3" s="1" customFormat="1">
      <c r="A1608" s="15"/>
      <c r="B1608" s="16">
        <v>702</v>
      </c>
      <c r="C1608" s="17">
        <v>1035</v>
      </c>
      <c r="D1608" s="16">
        <v>33657</v>
      </c>
      <c r="E1608" s="18"/>
      <c r="F1608" s="18" t="s">
        <v>5347</v>
      </c>
      <c r="G1608" s="18" t="s">
        <v>5348</v>
      </c>
      <c r="H1608" s="18" t="s">
        <v>592</v>
      </c>
      <c r="I1608" s="18"/>
      <c r="J1608" s="16">
        <v>2025</v>
      </c>
      <c r="K1608" s="18" t="s">
        <v>5349</v>
      </c>
      <c r="L1608" s="16">
        <v>9786018230516</v>
      </c>
      <c r="M1608" s="18" t="s">
        <v>5350</v>
      </c>
      <c r="N1608" s="16">
        <v>160</v>
      </c>
      <c r="O1608" s="19">
        <v>0.3</v>
      </c>
      <c r="P1608" s="16">
        <v>150</v>
      </c>
      <c r="Q1608" s="16">
        <v>220</v>
      </c>
      <c r="R1608" s="16">
        <v>10</v>
      </c>
      <c r="S1608" s="18" t="s">
        <v>43</v>
      </c>
      <c r="T1608" s="18"/>
      <c r="U1608" s="17">
        <v>1000</v>
      </c>
      <c r="V1608" s="18" t="s">
        <v>77</v>
      </c>
      <c r="W1608" s="18" t="s">
        <v>69</v>
      </c>
      <c r="X1608" s="16">
        <v>22</v>
      </c>
      <c r="Y1608" s="43" t="str">
        <f>HYPERLINK("","")</f>
      </c>
      <c r="Z1608" s="18"/>
      <c r="AS1608" s="1">
        <f>IF($A1608&lt;&gt;0,1,0)</f>
        <v>0</v>
      </c>
      <c r="AT1608" s="1">
        <f>$A1608*$B1608</f>
        <v>0</v>
      </c>
      <c r="AU1608" s="1">
        <f>$A1608*$O1608</f>
        <v>0</v>
      </c>
      <c r="AV1608" s="1">
        <f>IF($R1608=0,0,INT($A1608/$R1608))</f>
        <v>0</v>
      </c>
      <c r="AW1608" s="1">
        <f>$A1608-$AV1608*$R1608</f>
        <v>0</v>
      </c>
    </row>
    <row r="1609" ht="24.95" customHeight="1" outlineLevel="3" s="1" customFormat="1">
      <c r="A1609" s="15"/>
      <c r="B1609" s="16">
        <v>990</v>
      </c>
      <c r="C1609" s="17">
        <v>1386</v>
      </c>
      <c r="D1609" s="16">
        <v>26899</v>
      </c>
      <c r="E1609" s="18"/>
      <c r="F1609" s="18" t="s">
        <v>5351</v>
      </c>
      <c r="G1609" s="18" t="s">
        <v>5352</v>
      </c>
      <c r="H1609" s="18" t="s">
        <v>86</v>
      </c>
      <c r="I1609" s="18"/>
      <c r="J1609" s="16">
        <v>2025</v>
      </c>
      <c r="K1609" s="18" t="s">
        <v>5353</v>
      </c>
      <c r="L1609" s="16">
        <v>9785961483246</v>
      </c>
      <c r="M1609" s="18" t="s">
        <v>5354</v>
      </c>
      <c r="N1609" s="16">
        <v>356</v>
      </c>
      <c r="O1609" s="19">
        <v>0.56</v>
      </c>
      <c r="P1609" s="16">
        <v>140</v>
      </c>
      <c r="Q1609" s="16">
        <v>210</v>
      </c>
      <c r="R1609" s="16">
        <v>10</v>
      </c>
      <c r="S1609" s="18" t="s">
        <v>43</v>
      </c>
      <c r="T1609" s="18"/>
      <c r="U1609" s="17">
        <v>2000</v>
      </c>
      <c r="V1609" s="18" t="s">
        <v>44</v>
      </c>
      <c r="W1609" s="18" t="s">
        <v>91</v>
      </c>
      <c r="X1609" s="16">
        <v>10</v>
      </c>
      <c r="Y1609" s="43" t="str">
        <f>HYPERLINK("https://api-enni.alpina.ru/FilePrivilegesApproval/315","https://api-enni.alpina.ru/FilePrivilegesApproval/315")</f>
        <v>https://api-enni.alpina.ru/FilePrivilegesApproval/315</v>
      </c>
      <c r="Z1609" s="18"/>
      <c r="AS1609" s="1">
        <f>IF($A1609&lt;&gt;0,1,0)</f>
        <v>0</v>
      </c>
      <c r="AT1609" s="1">
        <f>$A1609*$B1609</f>
        <v>0</v>
      </c>
      <c r="AU1609" s="1">
        <f>$A1609*$O1609</f>
        <v>0</v>
      </c>
      <c r="AV1609" s="1">
        <f>IF($R1609=0,0,INT($A1609/$R1609))</f>
        <v>0</v>
      </c>
      <c r="AW1609" s="1">
        <f>$A1609-$AV1609*$R1609</f>
        <v>0</v>
      </c>
    </row>
    <row r="1610" ht="24.95" customHeight="1" outlineLevel="3" s="1" customFormat="1">
      <c r="A1610" s="15"/>
      <c r="B1610" s="17">
        <v>1090</v>
      </c>
      <c r="C1610" s="17">
        <v>1472</v>
      </c>
      <c r="D1610" s="16">
        <v>35256</v>
      </c>
      <c r="E1610" s="18"/>
      <c r="F1610" s="18" t="s">
        <v>5355</v>
      </c>
      <c r="G1610" s="18" t="s">
        <v>5356</v>
      </c>
      <c r="H1610" s="18" t="s">
        <v>95</v>
      </c>
      <c r="I1610" s="18"/>
      <c r="J1610" s="16">
        <v>2026</v>
      </c>
      <c r="K1610" s="18" t="s">
        <v>5357</v>
      </c>
      <c r="L1610" s="16">
        <v>9785206005721</v>
      </c>
      <c r="M1610" s="18" t="s">
        <v>5358</v>
      </c>
      <c r="N1610" s="16">
        <v>240</v>
      </c>
      <c r="O1610" s="19">
        <v>0.39</v>
      </c>
      <c r="P1610" s="16">
        <v>150</v>
      </c>
      <c r="Q1610" s="16">
        <v>220</v>
      </c>
      <c r="R1610" s="16">
        <v>10</v>
      </c>
      <c r="S1610" s="18" t="s">
        <v>43</v>
      </c>
      <c r="T1610" s="18"/>
      <c r="U1610" s="17">
        <v>1000</v>
      </c>
      <c r="V1610" s="18" t="s">
        <v>77</v>
      </c>
      <c r="W1610" s="18" t="s">
        <v>69</v>
      </c>
      <c r="X1610" s="16">
        <v>10</v>
      </c>
      <c r="Y1610" s="43" t="str">
        <f>HYPERLINK("https://api-enni.alpina.ru/FilePrivilegesApproval/1100","https://api-enni.alpina.ru/FilePrivilegesApproval/1100")</f>
        <v>https://api-enni.alpina.ru/FilePrivilegesApproval/1100</v>
      </c>
      <c r="Z1610" s="18"/>
      <c r="AS1610" s="1">
        <f>IF($A1610&lt;&gt;0,1,0)</f>
        <v>0</v>
      </c>
      <c r="AT1610" s="1">
        <f>$A1610*$B1610</f>
        <v>0</v>
      </c>
      <c r="AU1610" s="1">
        <f>$A1610*$O1610</f>
        <v>0</v>
      </c>
      <c r="AV1610" s="1">
        <f>IF($R1610=0,0,INT($A1610/$R1610))</f>
        <v>0</v>
      </c>
      <c r="AW1610" s="1">
        <f>$A1610-$AV1610*$R1610</f>
        <v>0</v>
      </c>
    </row>
    <row r="1611" ht="24.95" customHeight="1" outlineLevel="3" s="1" customFormat="1">
      <c r="A1611" s="15"/>
      <c r="B1611" s="17">
        <v>1006</v>
      </c>
      <c r="C1611" s="17">
        <v>1358</v>
      </c>
      <c r="D1611" s="16">
        <v>28661</v>
      </c>
      <c r="E1611" s="18"/>
      <c r="F1611" s="18" t="s">
        <v>5359</v>
      </c>
      <c r="G1611" s="18" t="s">
        <v>5360</v>
      </c>
      <c r="H1611" s="18" t="s">
        <v>95</v>
      </c>
      <c r="I1611" s="18"/>
      <c r="J1611" s="16">
        <v>2024</v>
      </c>
      <c r="K1611" s="18" t="s">
        <v>5361</v>
      </c>
      <c r="L1611" s="16">
        <v>9785206002256</v>
      </c>
      <c r="M1611" s="18" t="s">
        <v>5362</v>
      </c>
      <c r="N1611" s="16">
        <v>152</v>
      </c>
      <c r="O1611" s="19">
        <v>0.37</v>
      </c>
      <c r="P1611" s="16">
        <v>150</v>
      </c>
      <c r="Q1611" s="16">
        <v>220</v>
      </c>
      <c r="R1611" s="16">
        <v>68</v>
      </c>
      <c r="S1611" s="18" t="s">
        <v>43</v>
      </c>
      <c r="T1611" s="18"/>
      <c r="U1611" s="17">
        <v>1000</v>
      </c>
      <c r="V1611" s="18" t="s">
        <v>54</v>
      </c>
      <c r="W1611" s="18" t="s">
        <v>45</v>
      </c>
      <c r="X1611" s="16">
        <v>22</v>
      </c>
      <c r="Y1611" s="43" t="str">
        <f>HYPERLINK("https://api-enni.alpina.ru/FilePrivilegesApproval/357","https://api-enni.alpina.ru/FilePrivilegesApproval/357")</f>
        <v>https://api-enni.alpina.ru/FilePrivilegesApproval/357</v>
      </c>
      <c r="Z1611" s="18"/>
      <c r="AS1611" s="1">
        <f>IF($A1611&lt;&gt;0,1,0)</f>
        <v>0</v>
      </c>
      <c r="AT1611" s="1">
        <f>$A1611*$B1611</f>
        <v>0</v>
      </c>
      <c r="AU1611" s="1">
        <f>$A1611*$O1611</f>
        <v>0</v>
      </c>
      <c r="AV1611" s="1">
        <f>IF($R1611=0,0,INT($A1611/$R1611))</f>
        <v>0</v>
      </c>
      <c r="AW1611" s="1">
        <f>$A1611-$AV1611*$R1611</f>
        <v>0</v>
      </c>
    </row>
    <row r="1612" ht="24.95" customHeight="1" outlineLevel="3" s="1" customFormat="1">
      <c r="A1612" s="15"/>
      <c r="B1612" s="16">
        <v>540</v>
      </c>
      <c r="C1612" s="16">
        <v>837</v>
      </c>
      <c r="D1612" s="16">
        <v>837</v>
      </c>
      <c r="E1612" s="18"/>
      <c r="F1612" s="18" t="s">
        <v>5363</v>
      </c>
      <c r="G1612" s="18" t="s">
        <v>5364</v>
      </c>
      <c r="H1612" s="18" t="s">
        <v>86</v>
      </c>
      <c r="I1612" s="18" t="s">
        <v>74</v>
      </c>
      <c r="J1612" s="16">
        <v>2025</v>
      </c>
      <c r="K1612" s="18" t="s">
        <v>5365</v>
      </c>
      <c r="L1612" s="16">
        <v>9785961468113</v>
      </c>
      <c r="M1612" s="18" t="s">
        <v>5366</v>
      </c>
      <c r="N1612" s="16">
        <v>224</v>
      </c>
      <c r="O1612" s="19">
        <v>0.35</v>
      </c>
      <c r="P1612" s="16">
        <v>146</v>
      </c>
      <c r="Q1612" s="16">
        <v>216</v>
      </c>
      <c r="R1612" s="16">
        <v>18</v>
      </c>
      <c r="S1612" s="18" t="s">
        <v>43</v>
      </c>
      <c r="T1612" s="18"/>
      <c r="U1612" s="17">
        <v>3000</v>
      </c>
      <c r="V1612" s="18" t="s">
        <v>77</v>
      </c>
      <c r="W1612" s="18" t="s">
        <v>184</v>
      </c>
      <c r="X1612" s="16">
        <v>10</v>
      </c>
      <c r="Y1612" s="43" t="str">
        <f>HYPERLINK("https://api-enni.alpina.ru/FilePrivilegesApproval/2","https://api-enni.alpina.ru/FilePrivilegesApproval/2")</f>
        <v>https://api-enni.alpina.ru/FilePrivilegesApproval/2</v>
      </c>
      <c r="Z1612" s="18"/>
      <c r="AS1612" s="1">
        <f>IF($A1612&lt;&gt;0,1,0)</f>
        <v>0</v>
      </c>
      <c r="AT1612" s="1">
        <f>$A1612*$B1612</f>
        <v>0</v>
      </c>
      <c r="AU1612" s="1">
        <f>$A1612*$O1612</f>
        <v>0</v>
      </c>
      <c r="AV1612" s="1">
        <f>IF($R1612=0,0,INT($A1612/$R1612))</f>
        <v>0</v>
      </c>
      <c r="AW1612" s="1">
        <f>$A1612-$AV1612*$R1612</f>
        <v>0</v>
      </c>
    </row>
    <row r="1613" ht="24.95" customHeight="1" outlineLevel="3" s="1" customFormat="1">
      <c r="A1613" s="15"/>
      <c r="B1613" s="16">
        <v>690</v>
      </c>
      <c r="C1613" s="17">
        <v>1035</v>
      </c>
      <c r="D1613" s="16">
        <v>29084</v>
      </c>
      <c r="E1613" s="18"/>
      <c r="F1613" s="18" t="s">
        <v>5367</v>
      </c>
      <c r="G1613" s="18" t="s">
        <v>5368</v>
      </c>
      <c r="H1613" s="18" t="s">
        <v>86</v>
      </c>
      <c r="I1613" s="18"/>
      <c r="J1613" s="16">
        <v>2025</v>
      </c>
      <c r="K1613" s="18" t="s">
        <v>5369</v>
      </c>
      <c r="L1613" s="16">
        <v>9785961491371</v>
      </c>
      <c r="M1613" s="18" t="s">
        <v>5370</v>
      </c>
      <c r="N1613" s="16">
        <v>304</v>
      </c>
      <c r="O1613" s="19">
        <v>0.31</v>
      </c>
      <c r="P1613" s="16">
        <v>130</v>
      </c>
      <c r="Q1613" s="16">
        <v>200</v>
      </c>
      <c r="R1613" s="16">
        <v>10</v>
      </c>
      <c r="S1613" s="18" t="s">
        <v>90</v>
      </c>
      <c r="T1613" s="18"/>
      <c r="U1613" s="17">
        <v>1000</v>
      </c>
      <c r="V1613" s="18" t="s">
        <v>44</v>
      </c>
      <c r="W1613" s="18" t="s">
        <v>91</v>
      </c>
      <c r="X1613" s="16">
        <v>10</v>
      </c>
      <c r="Y1613" s="43" t="str">
        <f>HYPERLINK("https://api-enni.alpina.ru/FilePrivilegesApproval/321","https://api-enni.alpina.ru/FilePrivilegesApproval/321")</f>
        <v>https://api-enni.alpina.ru/FilePrivilegesApproval/321</v>
      </c>
      <c r="Z1613" s="18"/>
      <c r="AS1613" s="1">
        <f>IF($A1613&lt;&gt;0,1,0)</f>
        <v>0</v>
      </c>
      <c r="AT1613" s="1">
        <f>$A1613*$B1613</f>
        <v>0</v>
      </c>
      <c r="AU1613" s="1">
        <f>$A1613*$O1613</f>
        <v>0</v>
      </c>
      <c r="AV1613" s="1">
        <f>IF($R1613=0,0,INT($A1613/$R1613))</f>
        <v>0</v>
      </c>
      <c r="AW1613" s="1">
        <f>$A1613-$AV1613*$R1613</f>
        <v>0</v>
      </c>
    </row>
    <row r="1614" ht="24.95" customHeight="1" outlineLevel="3" s="1" customFormat="1">
      <c r="A1614" s="15"/>
      <c r="B1614" s="17">
        <v>1490</v>
      </c>
      <c r="C1614" s="17">
        <v>2012</v>
      </c>
      <c r="D1614" s="16">
        <v>7657</v>
      </c>
      <c r="E1614" s="18"/>
      <c r="F1614" s="18" t="s">
        <v>5371</v>
      </c>
      <c r="G1614" s="18" t="s">
        <v>5372</v>
      </c>
      <c r="H1614" s="18" t="s">
        <v>95</v>
      </c>
      <c r="I1614" s="18" t="s">
        <v>74</v>
      </c>
      <c r="J1614" s="16">
        <v>2024</v>
      </c>
      <c r="K1614" s="18" t="s">
        <v>5373</v>
      </c>
      <c r="L1614" s="16">
        <v>9785961470796</v>
      </c>
      <c r="M1614" s="18" t="s">
        <v>5374</v>
      </c>
      <c r="N1614" s="16">
        <v>506</v>
      </c>
      <c r="O1614" s="19">
        <v>0.91</v>
      </c>
      <c r="P1614" s="16">
        <v>170</v>
      </c>
      <c r="Q1614" s="16">
        <v>240</v>
      </c>
      <c r="R1614" s="16">
        <v>5</v>
      </c>
      <c r="S1614" s="18" t="s">
        <v>123</v>
      </c>
      <c r="T1614" s="18"/>
      <c r="U1614" s="17">
        <v>1000</v>
      </c>
      <c r="V1614" s="18" t="s">
        <v>77</v>
      </c>
      <c r="W1614" s="18" t="s">
        <v>184</v>
      </c>
      <c r="X1614" s="16">
        <v>10</v>
      </c>
      <c r="Y1614" s="43" t="str">
        <f>HYPERLINK("https://api-enni.alpina.ru/FilePrivilegesApproval/2","https://api-enni.alpina.ru/FilePrivilegesApproval/2")</f>
        <v>https://api-enni.alpina.ru/FilePrivilegesApproval/2</v>
      </c>
      <c r="Z1614" s="18"/>
      <c r="AS1614" s="1">
        <f>IF($A1614&lt;&gt;0,1,0)</f>
        <v>0</v>
      </c>
      <c r="AT1614" s="1">
        <f>$A1614*$B1614</f>
        <v>0</v>
      </c>
      <c r="AU1614" s="1">
        <f>$A1614*$O1614</f>
        <v>0</v>
      </c>
      <c r="AV1614" s="1">
        <f>IF($R1614=0,0,INT($A1614/$R1614))</f>
        <v>0</v>
      </c>
      <c r="AW1614" s="1">
        <f>$A1614-$AV1614*$R1614</f>
        <v>0</v>
      </c>
    </row>
    <row r="1615" ht="24.95" customHeight="1" outlineLevel="3" s="1" customFormat="1">
      <c r="A1615" s="25"/>
      <c r="B1615" s="26">
        <v>890</v>
      </c>
      <c r="C1615" s="29">
        <v>1246</v>
      </c>
      <c r="D1615" s="26">
        <v>24762</v>
      </c>
      <c r="E1615" s="27"/>
      <c r="F1615" s="27" t="s">
        <v>5375</v>
      </c>
      <c r="G1615" s="27" t="s">
        <v>5376</v>
      </c>
      <c r="H1615" s="27" t="s">
        <v>86</v>
      </c>
      <c r="I1615" s="27" t="s">
        <v>74</v>
      </c>
      <c r="J1615" s="26">
        <v>2025</v>
      </c>
      <c r="K1615" s="27" t="s">
        <v>5377</v>
      </c>
      <c r="L1615" s="26">
        <v>9785961476064</v>
      </c>
      <c r="M1615" s="27" t="s">
        <v>5378</v>
      </c>
      <c r="N1615" s="26">
        <v>336</v>
      </c>
      <c r="O1615" s="28">
        <v>0.51</v>
      </c>
      <c r="P1615" s="26">
        <v>150</v>
      </c>
      <c r="Q1615" s="26">
        <v>220</v>
      </c>
      <c r="R1615" s="26">
        <v>6</v>
      </c>
      <c r="S1615" s="27" t="s">
        <v>43</v>
      </c>
      <c r="T1615" s="27"/>
      <c r="U1615" s="29">
        <v>1000</v>
      </c>
      <c r="V1615" s="27" t="s">
        <v>77</v>
      </c>
      <c r="W1615" s="27" t="s">
        <v>91</v>
      </c>
      <c r="X1615" s="26">
        <v>10</v>
      </c>
      <c r="Y1615" s="45" t="str">
        <f>HYPERLINK("https://api-enni.alpina.ru/FilePrivilegesApproval/205","https://api-enni.alpina.ru/FilePrivilegesApproval/205")</f>
        <v>https://api-enni.alpina.ru/FilePrivilegesApproval/205</v>
      </c>
      <c r="Z1615" s="27"/>
      <c r="AS1615" s="1">
        <f>IF($A1615&lt;&gt;0,1,0)</f>
        <v>0</v>
      </c>
      <c r="AT1615" s="1">
        <f>$A1615*$B1615</f>
        <v>0</v>
      </c>
      <c r="AU1615" s="1">
        <f>$A1615*$O1615</f>
        <v>0</v>
      </c>
      <c r="AV1615" s="1">
        <f>IF($R1615=0,0,INT($A1615/$R1615))</f>
        <v>0</v>
      </c>
      <c r="AW1615" s="1">
        <f>$A1615-$AV1615*$R1615</f>
        <v>0</v>
      </c>
    </row>
    <row r="1616" ht="24.95" customHeight="1" outlineLevel="3" s="1" customFormat="1">
      <c r="A1616" s="15"/>
      <c r="B1616" s="16">
        <v>540</v>
      </c>
      <c r="C1616" s="16">
        <v>837</v>
      </c>
      <c r="D1616" s="16">
        <v>29801</v>
      </c>
      <c r="E1616" s="18"/>
      <c r="F1616" s="18" t="s">
        <v>5379</v>
      </c>
      <c r="G1616" s="18" t="s">
        <v>5380</v>
      </c>
      <c r="H1616" s="18" t="s">
        <v>73</v>
      </c>
      <c r="I1616" s="18" t="s">
        <v>74</v>
      </c>
      <c r="J1616" s="16">
        <v>2026</v>
      </c>
      <c r="K1616" s="18" t="s">
        <v>5381</v>
      </c>
      <c r="L1616" s="16">
        <v>9785002231836</v>
      </c>
      <c r="M1616" s="18" t="s">
        <v>5382</v>
      </c>
      <c r="N1616" s="16">
        <v>336</v>
      </c>
      <c r="O1616" s="19">
        <v>0.22</v>
      </c>
      <c r="P1616" s="16">
        <v>120</v>
      </c>
      <c r="Q1616" s="16">
        <v>170</v>
      </c>
      <c r="R1616" s="16">
        <v>10</v>
      </c>
      <c r="S1616" s="18" t="s">
        <v>190</v>
      </c>
      <c r="T1616" s="18" t="s">
        <v>2653</v>
      </c>
      <c r="U1616" s="17">
        <v>2000</v>
      </c>
      <c r="V1616" s="18" t="s">
        <v>44</v>
      </c>
      <c r="W1616" s="18" t="s">
        <v>91</v>
      </c>
      <c r="X1616" s="16">
        <v>10</v>
      </c>
      <c r="Y1616" s="43" t="str">
        <f>HYPERLINK("https://api-enni.alpina.ru/FilePrivilegesApproval/147","https://api-enni.alpina.ru/FilePrivilegesApproval/147")</f>
        <v>https://api-enni.alpina.ru/FilePrivilegesApproval/147</v>
      </c>
      <c r="Z1616" s="18"/>
      <c r="AS1616" s="1">
        <f>IF($A1616&lt;&gt;0,1,0)</f>
        <v>0</v>
      </c>
      <c r="AT1616" s="1">
        <f>$A1616*$B1616</f>
        <v>0</v>
      </c>
      <c r="AU1616" s="1">
        <f>$A1616*$O1616</f>
        <v>0</v>
      </c>
      <c r="AV1616" s="1">
        <f>IF($R1616=0,0,INT($A1616/$R1616))</f>
        <v>0</v>
      </c>
      <c r="AW1616" s="1">
        <f>$A1616-$AV1616*$R1616</f>
        <v>0</v>
      </c>
    </row>
    <row r="1617" ht="24.95" customHeight="1" outlineLevel="3" s="1" customFormat="1">
      <c r="A1617" s="15"/>
      <c r="B1617" s="16">
        <v>740</v>
      </c>
      <c r="C1617" s="17">
        <v>1073</v>
      </c>
      <c r="D1617" s="16">
        <v>28780</v>
      </c>
      <c r="E1617" s="18"/>
      <c r="F1617" s="18" t="s">
        <v>5383</v>
      </c>
      <c r="G1617" s="18" t="s">
        <v>5384</v>
      </c>
      <c r="H1617" s="18" t="s">
        <v>95</v>
      </c>
      <c r="I1617" s="18"/>
      <c r="J1617" s="16">
        <v>2024</v>
      </c>
      <c r="K1617" s="18" t="s">
        <v>5385</v>
      </c>
      <c r="L1617" s="16">
        <v>9785206002362</v>
      </c>
      <c r="M1617" s="18" t="s">
        <v>5386</v>
      </c>
      <c r="N1617" s="16">
        <v>216</v>
      </c>
      <c r="O1617" s="19">
        <v>0.36</v>
      </c>
      <c r="P1617" s="16">
        <v>150</v>
      </c>
      <c r="Q1617" s="16">
        <v>220</v>
      </c>
      <c r="R1617" s="16">
        <v>8</v>
      </c>
      <c r="S1617" s="18" t="s">
        <v>43</v>
      </c>
      <c r="T1617" s="18"/>
      <c r="U1617" s="17">
        <v>1005</v>
      </c>
      <c r="V1617" s="18" t="s">
        <v>77</v>
      </c>
      <c r="W1617" s="18" t="s">
        <v>91</v>
      </c>
      <c r="X1617" s="16">
        <v>10</v>
      </c>
      <c r="Y1617" s="43" t="str">
        <f>HYPERLINK("https://api-enni.alpina.ru/FilePrivilegesApproval/372","https://api-enni.alpina.ru/FilePrivilegesApproval/372")</f>
        <v>https://api-enni.alpina.ru/FilePrivilegesApproval/372</v>
      </c>
      <c r="Z1617" s="18"/>
      <c r="AS1617" s="1">
        <f>IF($A1617&lt;&gt;0,1,0)</f>
        <v>0</v>
      </c>
      <c r="AT1617" s="1">
        <f>$A1617*$B1617</f>
        <v>0</v>
      </c>
      <c r="AU1617" s="1">
        <f>$A1617*$O1617</f>
        <v>0</v>
      </c>
      <c r="AV1617" s="1">
        <f>IF($R1617=0,0,INT($A1617/$R1617))</f>
        <v>0</v>
      </c>
      <c r="AW1617" s="1">
        <f>$A1617-$AV1617*$R1617</f>
        <v>0</v>
      </c>
    </row>
    <row r="1618" ht="24.95" customHeight="1" outlineLevel="3" s="1" customFormat="1">
      <c r="A1618" s="15"/>
      <c r="B1618" s="16">
        <v>690</v>
      </c>
      <c r="C1618" s="17">
        <v>1035</v>
      </c>
      <c r="D1618" s="16">
        <v>25752</v>
      </c>
      <c r="E1618" s="18"/>
      <c r="F1618" s="18" t="s">
        <v>5387</v>
      </c>
      <c r="G1618" s="18" t="s">
        <v>5388</v>
      </c>
      <c r="H1618" s="18" t="s">
        <v>95</v>
      </c>
      <c r="I1618" s="18"/>
      <c r="J1618" s="16">
        <v>2022</v>
      </c>
      <c r="K1618" s="18" t="s">
        <v>5389</v>
      </c>
      <c r="L1618" s="16">
        <v>9785206000122</v>
      </c>
      <c r="M1618" s="18" t="s">
        <v>5390</v>
      </c>
      <c r="N1618" s="16">
        <v>272</v>
      </c>
      <c r="O1618" s="19">
        <v>0.51</v>
      </c>
      <c r="P1618" s="16">
        <v>146</v>
      </c>
      <c r="Q1618" s="16">
        <v>216</v>
      </c>
      <c r="R1618" s="16">
        <v>10</v>
      </c>
      <c r="S1618" s="18" t="s">
        <v>43</v>
      </c>
      <c r="T1618" s="18"/>
      <c r="U1618" s="17">
        <v>2000</v>
      </c>
      <c r="V1618" s="18" t="s">
        <v>77</v>
      </c>
      <c r="W1618" s="18" t="s">
        <v>69</v>
      </c>
      <c r="X1618" s="16">
        <v>10</v>
      </c>
      <c r="Y1618" s="43" t="str">
        <f>HYPERLINK("https://api-enni.alpina.ru/FilePrivilegesApproval/155","https://api-enni.alpina.ru/FilePrivilegesApproval/155")</f>
        <v>https://api-enni.alpina.ru/FilePrivilegesApproval/155</v>
      </c>
      <c r="Z1618" s="18"/>
      <c r="AS1618" s="1">
        <f>IF($A1618&lt;&gt;0,1,0)</f>
        <v>0</v>
      </c>
      <c r="AT1618" s="1">
        <f>$A1618*$B1618</f>
        <v>0</v>
      </c>
      <c r="AU1618" s="1">
        <f>$A1618*$O1618</f>
        <v>0</v>
      </c>
      <c r="AV1618" s="1">
        <f>IF($R1618=0,0,INT($A1618/$R1618))</f>
        <v>0</v>
      </c>
      <c r="AW1618" s="1">
        <f>$A1618-$AV1618*$R1618</f>
        <v>0</v>
      </c>
    </row>
    <row r="1619" ht="24.95" customHeight="1" outlineLevel="3" s="1" customFormat="1">
      <c r="A1619" s="15"/>
      <c r="B1619" s="17">
        <v>1190</v>
      </c>
      <c r="C1619" s="17">
        <v>1606</v>
      </c>
      <c r="D1619" s="16">
        <v>35981</v>
      </c>
      <c r="E1619" s="18"/>
      <c r="F1619" s="18" t="s">
        <v>5391</v>
      </c>
      <c r="G1619" s="18" t="s">
        <v>5392</v>
      </c>
      <c r="H1619" s="18" t="s">
        <v>95</v>
      </c>
      <c r="I1619" s="18"/>
      <c r="J1619" s="16">
        <v>2025</v>
      </c>
      <c r="K1619" s="18" t="s">
        <v>5393</v>
      </c>
      <c r="L1619" s="16">
        <v>9785206006179</v>
      </c>
      <c r="M1619" s="18" t="s">
        <v>5394</v>
      </c>
      <c r="N1619" s="16">
        <v>440</v>
      </c>
      <c r="O1619" s="19">
        <v>0.8</v>
      </c>
      <c r="P1619" s="16">
        <v>170</v>
      </c>
      <c r="Q1619" s="16">
        <v>240</v>
      </c>
      <c r="R1619" s="16">
        <v>5</v>
      </c>
      <c r="S1619" s="18" t="s">
        <v>123</v>
      </c>
      <c r="T1619" s="18"/>
      <c r="U1619" s="17">
        <v>2002</v>
      </c>
      <c r="V1619" s="18" t="s">
        <v>77</v>
      </c>
      <c r="W1619" s="18" t="s">
        <v>69</v>
      </c>
      <c r="X1619" s="16">
        <v>10</v>
      </c>
      <c r="Y1619" s="43" t="str">
        <f>HYPERLINK("https://api-enni.alpina.ru/FilePrivilegesApproval/1100","https://api-enni.alpina.ru/FilePrivilegesApproval/1100")</f>
        <v>https://api-enni.alpina.ru/FilePrivilegesApproval/1100</v>
      </c>
      <c r="Z1619" s="18"/>
      <c r="AS1619" s="1">
        <f>IF($A1619&lt;&gt;0,1,0)</f>
        <v>0</v>
      </c>
      <c r="AT1619" s="1">
        <f>$A1619*$B1619</f>
        <v>0</v>
      </c>
      <c r="AU1619" s="1">
        <f>$A1619*$O1619</f>
        <v>0</v>
      </c>
      <c r="AV1619" s="1">
        <f>IF($R1619=0,0,INT($A1619/$R1619))</f>
        <v>0</v>
      </c>
      <c r="AW1619" s="1">
        <f>$A1619-$AV1619*$R1619</f>
        <v>0</v>
      </c>
    </row>
    <row r="1620" ht="24.95" customHeight="1" outlineLevel="3" s="1" customFormat="1">
      <c r="A1620" s="25"/>
      <c r="B1620" s="26">
        <v>790</v>
      </c>
      <c r="C1620" s="29">
        <v>1146</v>
      </c>
      <c r="D1620" s="26">
        <v>23830</v>
      </c>
      <c r="E1620" s="27"/>
      <c r="F1620" s="27" t="s">
        <v>5395</v>
      </c>
      <c r="G1620" s="27" t="s">
        <v>5396</v>
      </c>
      <c r="H1620" s="27" t="s">
        <v>95</v>
      </c>
      <c r="I1620" s="27"/>
      <c r="J1620" s="26">
        <v>2026</v>
      </c>
      <c r="K1620" s="27" t="s">
        <v>5397</v>
      </c>
      <c r="L1620" s="26">
        <v>9785907470279</v>
      </c>
      <c r="M1620" s="27" t="s">
        <v>5398</v>
      </c>
      <c r="N1620" s="26">
        <v>96</v>
      </c>
      <c r="O1620" s="28">
        <v>0.19</v>
      </c>
      <c r="P1620" s="26">
        <v>140</v>
      </c>
      <c r="Q1620" s="26">
        <v>210</v>
      </c>
      <c r="R1620" s="26">
        <v>20</v>
      </c>
      <c r="S1620" s="27" t="s">
        <v>90</v>
      </c>
      <c r="T1620" s="27"/>
      <c r="U1620" s="29">
        <v>1000</v>
      </c>
      <c r="V1620" s="27" t="s">
        <v>77</v>
      </c>
      <c r="W1620" s="27" t="s">
        <v>91</v>
      </c>
      <c r="X1620" s="26">
        <v>10</v>
      </c>
      <c r="Y1620" s="45" t="str">
        <f>HYPERLINK("https://api-enni.alpina.ru/FilePrivilegesApproval/120","https://api-enni.alpina.ru/FilePrivilegesApproval/120")</f>
        <v>https://api-enni.alpina.ru/FilePrivilegesApproval/120</v>
      </c>
      <c r="Z1620" s="27"/>
      <c r="AS1620" s="1">
        <f>IF($A1620&lt;&gt;0,1,0)</f>
        <v>0</v>
      </c>
      <c r="AT1620" s="1">
        <f>$A1620*$B1620</f>
        <v>0</v>
      </c>
      <c r="AU1620" s="1">
        <f>$A1620*$O1620</f>
        <v>0</v>
      </c>
      <c r="AV1620" s="1">
        <f>IF($R1620=0,0,INT($A1620/$R1620))</f>
        <v>0</v>
      </c>
      <c r="AW1620" s="1">
        <f>$A1620-$AV1620*$R1620</f>
        <v>0</v>
      </c>
    </row>
    <row r="1621" ht="24.95" customHeight="1" outlineLevel="3" s="1" customFormat="1">
      <c r="A1621" s="15"/>
      <c r="B1621" s="16">
        <v>890</v>
      </c>
      <c r="C1621" s="17">
        <v>1246</v>
      </c>
      <c r="D1621" s="16">
        <v>17608</v>
      </c>
      <c r="E1621" s="18"/>
      <c r="F1621" s="18" t="s">
        <v>5399</v>
      </c>
      <c r="G1621" s="18" t="s">
        <v>5400</v>
      </c>
      <c r="H1621" s="18" t="s">
        <v>95</v>
      </c>
      <c r="I1621" s="18" t="s">
        <v>74</v>
      </c>
      <c r="J1621" s="16">
        <v>2025</v>
      </c>
      <c r="K1621" s="18" t="s">
        <v>5401</v>
      </c>
      <c r="L1621" s="16">
        <v>9785604287972</v>
      </c>
      <c r="M1621" s="18" t="s">
        <v>5402</v>
      </c>
      <c r="N1621" s="16">
        <v>400</v>
      </c>
      <c r="O1621" s="19">
        <v>0.58</v>
      </c>
      <c r="P1621" s="16">
        <v>153</v>
      </c>
      <c r="Q1621" s="16">
        <v>216</v>
      </c>
      <c r="R1621" s="16">
        <v>5</v>
      </c>
      <c r="S1621" s="18" t="s">
        <v>43</v>
      </c>
      <c r="T1621" s="18"/>
      <c r="U1621" s="17">
        <v>2000</v>
      </c>
      <c r="V1621" s="18" t="s">
        <v>77</v>
      </c>
      <c r="W1621" s="18" t="s">
        <v>184</v>
      </c>
      <c r="X1621" s="16">
        <v>10</v>
      </c>
      <c r="Y1621" s="43" t="str">
        <f>HYPERLINK("","")</f>
      </c>
      <c r="Z1621" s="18" t="s">
        <v>246</v>
      </c>
      <c r="AS1621" s="1">
        <f>IF($A1621&lt;&gt;0,1,0)</f>
        <v>0</v>
      </c>
      <c r="AT1621" s="1">
        <f>$A1621*$B1621</f>
        <v>0</v>
      </c>
      <c r="AU1621" s="1">
        <f>$A1621*$O1621</f>
        <v>0</v>
      </c>
      <c r="AV1621" s="1">
        <f>IF($R1621=0,0,INT($A1621/$R1621))</f>
        <v>0</v>
      </c>
      <c r="AW1621" s="1">
        <f>$A1621-$AV1621*$R1621</f>
        <v>0</v>
      </c>
    </row>
    <row r="1622" ht="11.1" customHeight="1" outlineLevel="2">
      <c r="A1622" s="41" t="s">
        <v>5403</v>
      </c>
      <c r="B1622" s="41"/>
      <c r="C1622" s="41"/>
      <c r="D1622" s="41"/>
      <c r="E1622" s="41"/>
      <c r="F1622" s="41"/>
      <c r="G1622" s="41"/>
      <c r="H1622" s="41"/>
      <c r="I1622" s="41"/>
      <c r="J1622" s="41"/>
      <c r="K1622" s="41"/>
      <c r="L1622" s="41"/>
      <c r="M1622" s="41"/>
      <c r="N1622" s="41"/>
      <c r="O1622" s="41"/>
      <c r="P1622" s="41"/>
      <c r="Q1622" s="41"/>
      <c r="R1622" s="41"/>
      <c r="S1622" s="41"/>
      <c r="T1622" s="41"/>
      <c r="U1622" s="41"/>
      <c r="V1622" s="41"/>
      <c r="W1622" s="41"/>
      <c r="X1622" s="41"/>
      <c r="Y1622" s="41"/>
      <c r="Z1622" s="24"/>
    </row>
    <row r="1623" ht="24.95" customHeight="1" outlineLevel="3" s="1" customFormat="1">
      <c r="A1623" s="15"/>
      <c r="B1623" s="17">
        <v>3790</v>
      </c>
      <c r="C1623" s="17">
        <v>4927</v>
      </c>
      <c r="D1623" s="16">
        <v>37202</v>
      </c>
      <c r="E1623" s="18"/>
      <c r="F1623" s="18" t="s">
        <v>5404</v>
      </c>
      <c r="G1623" s="18" t="s">
        <v>5405</v>
      </c>
      <c r="H1623" s="18" t="s">
        <v>95</v>
      </c>
      <c r="I1623" s="18"/>
      <c r="J1623" s="16">
        <v>2026</v>
      </c>
      <c r="K1623" s="18" t="s">
        <v>5406</v>
      </c>
      <c r="L1623" s="16">
        <v>9785002060245</v>
      </c>
      <c r="M1623" s="18" t="s">
        <v>5407</v>
      </c>
      <c r="N1623" s="16">
        <v>518</v>
      </c>
      <c r="O1623" s="19">
        <v>0.95</v>
      </c>
      <c r="P1623" s="16">
        <v>170</v>
      </c>
      <c r="Q1623" s="16">
        <v>240</v>
      </c>
      <c r="R1623" s="16">
        <v>10</v>
      </c>
      <c r="S1623" s="18" t="s">
        <v>123</v>
      </c>
      <c r="T1623" s="18"/>
      <c r="U1623" s="17">
        <v>1000</v>
      </c>
      <c r="V1623" s="18" t="s">
        <v>77</v>
      </c>
      <c r="W1623" s="18" t="s">
        <v>69</v>
      </c>
      <c r="X1623" s="16">
        <v>10</v>
      </c>
      <c r="Y1623" s="43" t="str">
        <f>HYPERLINK("https://api-enni.alpina.ru/FilePrivilegesApproval/1181","https://api-enni.alpina.ru/FilePrivilegesApproval/1181")</f>
        <v>https://api-enni.alpina.ru/FilePrivilegesApproval/1181</v>
      </c>
      <c r="Z1623" s="18" t="s">
        <v>78</v>
      </c>
      <c r="AS1623" s="1">
        <f>IF($A1623&lt;&gt;0,1,0)</f>
        <v>0</v>
      </c>
      <c r="AT1623" s="1">
        <f>$A1623*$B1623</f>
        <v>0</v>
      </c>
      <c r="AU1623" s="1">
        <f>$A1623*$O1623</f>
        <v>0</v>
      </c>
      <c r="AV1623" s="1">
        <f>IF($R1623=0,0,INT($A1623/$R1623))</f>
        <v>0</v>
      </c>
      <c r="AW1623" s="1">
        <f>$A1623-$AV1623*$R1623</f>
        <v>0</v>
      </c>
    </row>
    <row r="1624" ht="24.95" customHeight="1" outlineLevel="3" s="1" customFormat="1">
      <c r="A1624" s="15"/>
      <c r="B1624" s="17">
        <v>1790</v>
      </c>
      <c r="C1624" s="17">
        <v>2327</v>
      </c>
      <c r="D1624" s="16">
        <v>26490</v>
      </c>
      <c r="E1624" s="18"/>
      <c r="F1624" s="18" t="s">
        <v>5408</v>
      </c>
      <c r="G1624" s="18" t="s">
        <v>5409</v>
      </c>
      <c r="H1624" s="18" t="s">
        <v>95</v>
      </c>
      <c r="I1624" s="18"/>
      <c r="J1624" s="16">
        <v>2023</v>
      </c>
      <c r="K1624" s="18" t="s">
        <v>5410</v>
      </c>
      <c r="L1624" s="16">
        <v>9785206000795</v>
      </c>
      <c r="M1624" s="18" t="s">
        <v>5411</v>
      </c>
      <c r="N1624" s="16">
        <v>244</v>
      </c>
      <c r="O1624" s="19">
        <v>0.86</v>
      </c>
      <c r="P1624" s="16">
        <v>220</v>
      </c>
      <c r="Q1624" s="16">
        <v>270</v>
      </c>
      <c r="R1624" s="16">
        <v>6</v>
      </c>
      <c r="S1624" s="18" t="s">
        <v>328</v>
      </c>
      <c r="T1624" s="18"/>
      <c r="U1624" s="17">
        <v>2000</v>
      </c>
      <c r="V1624" s="18" t="s">
        <v>77</v>
      </c>
      <c r="W1624" s="18" t="s">
        <v>91</v>
      </c>
      <c r="X1624" s="16">
        <v>10</v>
      </c>
      <c r="Y1624" s="43" t="str">
        <f>HYPERLINK("https://api-enni.alpina.ru/FilePrivilegesApproval/170","https://api-enni.alpina.ru/FilePrivilegesApproval/170")</f>
        <v>https://api-enni.alpina.ru/FilePrivilegesApproval/170</v>
      </c>
      <c r="Z1624" s="18"/>
      <c r="AS1624" s="1">
        <f>IF($A1624&lt;&gt;0,1,0)</f>
        <v>0</v>
      </c>
      <c r="AT1624" s="1">
        <f>$A1624*$B1624</f>
        <v>0</v>
      </c>
      <c r="AU1624" s="1">
        <f>$A1624*$O1624</f>
        <v>0</v>
      </c>
      <c r="AV1624" s="1">
        <f>IF($R1624=0,0,INT($A1624/$R1624))</f>
        <v>0</v>
      </c>
      <c r="AW1624" s="1">
        <f>$A1624-$AV1624*$R1624</f>
        <v>0</v>
      </c>
    </row>
    <row r="1625" ht="24.95" customHeight="1" outlineLevel="3" s="1" customFormat="1">
      <c r="A1625" s="25"/>
      <c r="B1625" s="26">
        <v>990</v>
      </c>
      <c r="C1625" s="29">
        <v>1386</v>
      </c>
      <c r="D1625" s="26">
        <v>23289</v>
      </c>
      <c r="E1625" s="27"/>
      <c r="F1625" s="27" t="s">
        <v>5412</v>
      </c>
      <c r="G1625" s="27" t="s">
        <v>5413</v>
      </c>
      <c r="H1625" s="27" t="s">
        <v>86</v>
      </c>
      <c r="I1625" s="27" t="s">
        <v>74</v>
      </c>
      <c r="J1625" s="26">
        <v>2025</v>
      </c>
      <c r="K1625" s="27" t="s">
        <v>5414</v>
      </c>
      <c r="L1625" s="26">
        <v>9785961475630</v>
      </c>
      <c r="M1625" s="27" t="s">
        <v>5415</v>
      </c>
      <c r="N1625" s="26">
        <v>256</v>
      </c>
      <c r="O1625" s="28">
        <v>0.39</v>
      </c>
      <c r="P1625" s="26">
        <v>150</v>
      </c>
      <c r="Q1625" s="26">
        <v>220</v>
      </c>
      <c r="R1625" s="26">
        <v>10</v>
      </c>
      <c r="S1625" s="27" t="s">
        <v>43</v>
      </c>
      <c r="T1625" s="27"/>
      <c r="U1625" s="29">
        <v>1000</v>
      </c>
      <c r="V1625" s="27" t="s">
        <v>77</v>
      </c>
      <c r="W1625" s="27" t="s">
        <v>184</v>
      </c>
      <c r="X1625" s="26">
        <v>10</v>
      </c>
      <c r="Y1625" s="45" t="str">
        <f>HYPERLINK("https://api-enni.alpina.ru/FilePrivilegesApproval/124","https://api-enni.alpina.ru/FilePrivilegesApproval/124")</f>
        <v>https://api-enni.alpina.ru/FilePrivilegesApproval/124</v>
      </c>
      <c r="Z1625" s="27"/>
      <c r="AS1625" s="1">
        <f>IF($A1625&lt;&gt;0,1,0)</f>
        <v>0</v>
      </c>
      <c r="AT1625" s="1">
        <f>$A1625*$B1625</f>
        <v>0</v>
      </c>
      <c r="AU1625" s="1">
        <f>$A1625*$O1625</f>
        <v>0</v>
      </c>
      <c r="AV1625" s="1">
        <f>IF($R1625=0,0,INT($A1625/$R1625))</f>
        <v>0</v>
      </c>
      <c r="AW1625" s="1">
        <f>$A1625-$AV1625*$R1625</f>
        <v>0</v>
      </c>
    </row>
    <row r="1626" ht="24.95" customHeight="1" outlineLevel="3" s="1" customFormat="1">
      <c r="A1626" s="15"/>
      <c r="B1626" s="17">
        <v>1464</v>
      </c>
      <c r="C1626" s="17">
        <v>1976</v>
      </c>
      <c r="D1626" s="16">
        <v>26298</v>
      </c>
      <c r="E1626" s="18"/>
      <c r="F1626" s="18" t="s">
        <v>5416</v>
      </c>
      <c r="G1626" s="18" t="s">
        <v>5417</v>
      </c>
      <c r="H1626" s="18" t="s">
        <v>95</v>
      </c>
      <c r="I1626" s="18"/>
      <c r="J1626" s="16">
        <v>2022</v>
      </c>
      <c r="K1626" s="18" t="s">
        <v>5418</v>
      </c>
      <c r="L1626" s="16">
        <v>9785206000672</v>
      </c>
      <c r="M1626" s="18" t="s">
        <v>5419</v>
      </c>
      <c r="N1626" s="16">
        <v>304</v>
      </c>
      <c r="O1626" s="19">
        <v>1.15</v>
      </c>
      <c r="P1626" s="16">
        <v>175</v>
      </c>
      <c r="Q1626" s="16">
        <v>266</v>
      </c>
      <c r="R1626" s="16">
        <v>4</v>
      </c>
      <c r="S1626" s="18" t="s">
        <v>328</v>
      </c>
      <c r="T1626" s="18"/>
      <c r="U1626" s="17">
        <v>1575</v>
      </c>
      <c r="V1626" s="18" t="s">
        <v>77</v>
      </c>
      <c r="W1626" s="18" t="s">
        <v>91</v>
      </c>
      <c r="X1626" s="16">
        <v>22</v>
      </c>
      <c r="Y1626" s="43" t="str">
        <f>HYPERLINK("","")</f>
      </c>
      <c r="Z1626" s="18"/>
      <c r="AS1626" s="1">
        <f>IF($A1626&lt;&gt;0,1,0)</f>
        <v>0</v>
      </c>
      <c r="AT1626" s="1">
        <f>$A1626*$B1626</f>
        <v>0</v>
      </c>
      <c r="AU1626" s="1">
        <f>$A1626*$O1626</f>
        <v>0</v>
      </c>
      <c r="AV1626" s="1">
        <f>IF($R1626=0,0,INT($A1626/$R1626))</f>
        <v>0</v>
      </c>
      <c r="AW1626" s="1">
        <f>$A1626-$AV1626*$R1626</f>
        <v>0</v>
      </c>
    </row>
    <row r="1627" ht="24.95" customHeight="1" outlineLevel="3" s="1" customFormat="1">
      <c r="A1627" s="15"/>
      <c r="B1627" s="16">
        <v>990</v>
      </c>
      <c r="C1627" s="17">
        <v>1386</v>
      </c>
      <c r="D1627" s="16">
        <v>30670</v>
      </c>
      <c r="E1627" s="18"/>
      <c r="F1627" s="18" t="s">
        <v>5420</v>
      </c>
      <c r="G1627" s="18" t="s">
        <v>5421</v>
      </c>
      <c r="H1627" s="18" t="s">
        <v>86</v>
      </c>
      <c r="I1627" s="18"/>
      <c r="J1627" s="16">
        <v>2025</v>
      </c>
      <c r="K1627" s="18" t="s">
        <v>5422</v>
      </c>
      <c r="L1627" s="16">
        <v>9785961496154</v>
      </c>
      <c r="M1627" s="18" t="s">
        <v>5423</v>
      </c>
      <c r="N1627" s="16">
        <v>557</v>
      </c>
      <c r="O1627" s="19">
        <v>0.94</v>
      </c>
      <c r="P1627" s="16">
        <v>150</v>
      </c>
      <c r="Q1627" s="16">
        <v>220</v>
      </c>
      <c r="R1627" s="16">
        <v>6</v>
      </c>
      <c r="S1627" s="18" t="s">
        <v>43</v>
      </c>
      <c r="T1627" s="18"/>
      <c r="U1627" s="17">
        <v>1500</v>
      </c>
      <c r="V1627" s="18" t="s">
        <v>77</v>
      </c>
      <c r="W1627" s="18" t="s">
        <v>184</v>
      </c>
      <c r="X1627" s="16">
        <v>10</v>
      </c>
      <c r="Y1627" s="43" t="str">
        <f>HYPERLINK("https://api-enni.alpina.ru/FilePrivilegesApproval/405","https://api-enni.alpina.ru/FilePrivilegesApproval/405")</f>
        <v>https://api-enni.alpina.ru/FilePrivilegesApproval/405</v>
      </c>
      <c r="Z1627" s="18"/>
      <c r="AS1627" s="1">
        <f>IF($A1627&lt;&gt;0,1,0)</f>
        <v>0</v>
      </c>
      <c r="AT1627" s="1">
        <f>$A1627*$B1627</f>
        <v>0</v>
      </c>
      <c r="AU1627" s="1">
        <f>$A1627*$O1627</f>
        <v>0</v>
      </c>
      <c r="AV1627" s="1">
        <f>IF($R1627=0,0,INT($A1627/$R1627))</f>
        <v>0</v>
      </c>
      <c r="AW1627" s="1">
        <f>$A1627-$AV1627*$R1627</f>
        <v>0</v>
      </c>
    </row>
    <row r="1628" ht="11.1" customHeight="1" outlineLevel="2">
      <c r="A1628" s="41" t="s">
        <v>5424</v>
      </c>
      <c r="B1628" s="41"/>
      <c r="C1628" s="41"/>
      <c r="D1628" s="41"/>
      <c r="E1628" s="41"/>
      <c r="F1628" s="41"/>
      <c r="G1628" s="41"/>
      <c r="H1628" s="41"/>
      <c r="I1628" s="41"/>
      <c r="J1628" s="41"/>
      <c r="K1628" s="41"/>
      <c r="L1628" s="41"/>
      <c r="M1628" s="41"/>
      <c r="N1628" s="41"/>
      <c r="O1628" s="41"/>
      <c r="P1628" s="41"/>
      <c r="Q1628" s="41"/>
      <c r="R1628" s="41"/>
      <c r="S1628" s="41"/>
      <c r="T1628" s="41"/>
      <c r="U1628" s="41"/>
      <c r="V1628" s="41"/>
      <c r="W1628" s="41"/>
      <c r="X1628" s="41"/>
      <c r="Y1628" s="41"/>
      <c r="Z1628" s="24"/>
    </row>
    <row r="1629" ht="24.95" customHeight="1" outlineLevel="3" s="1" customFormat="1">
      <c r="A1629" s="15"/>
      <c r="B1629" s="16">
        <v>740</v>
      </c>
      <c r="C1629" s="17">
        <v>1073</v>
      </c>
      <c r="D1629" s="16">
        <v>17449</v>
      </c>
      <c r="E1629" s="18"/>
      <c r="F1629" s="18" t="s">
        <v>5425</v>
      </c>
      <c r="G1629" s="18" t="s">
        <v>5426</v>
      </c>
      <c r="H1629" s="18" t="s">
        <v>95</v>
      </c>
      <c r="I1629" s="18" t="s">
        <v>74</v>
      </c>
      <c r="J1629" s="16">
        <v>2024</v>
      </c>
      <c r="K1629" s="18" t="s">
        <v>5427</v>
      </c>
      <c r="L1629" s="16">
        <v>9785907274464</v>
      </c>
      <c r="M1629" s="18" t="s">
        <v>5428</v>
      </c>
      <c r="N1629" s="16">
        <v>176</v>
      </c>
      <c r="O1629" s="19">
        <v>0.32</v>
      </c>
      <c r="P1629" s="16">
        <v>153</v>
      </c>
      <c r="Q1629" s="16">
        <v>216</v>
      </c>
      <c r="R1629" s="16">
        <v>6</v>
      </c>
      <c r="S1629" s="18" t="s">
        <v>43</v>
      </c>
      <c r="T1629" s="18"/>
      <c r="U1629" s="17">
        <v>1000</v>
      </c>
      <c r="V1629" s="18" t="s">
        <v>77</v>
      </c>
      <c r="W1629" s="18" t="s">
        <v>91</v>
      </c>
      <c r="X1629" s="16">
        <v>10</v>
      </c>
      <c r="Y1629" s="43" t="str">
        <f>HYPERLINK("https://api-enni.alpina.ru/FilePrivilegesApproval/74","https://api-enni.alpina.ru/FilePrivilegesApproval/74")</f>
        <v>https://api-enni.alpina.ru/FilePrivilegesApproval/74</v>
      </c>
      <c r="Z1629" s="18"/>
      <c r="AS1629" s="1">
        <f>IF($A1629&lt;&gt;0,1,0)</f>
        <v>0</v>
      </c>
      <c r="AT1629" s="1">
        <f>$A1629*$B1629</f>
        <v>0</v>
      </c>
      <c r="AU1629" s="1">
        <f>$A1629*$O1629</f>
        <v>0</v>
      </c>
      <c r="AV1629" s="1">
        <f>IF($R1629=0,0,INT($A1629/$R1629))</f>
        <v>0</v>
      </c>
      <c r="AW1629" s="1">
        <f>$A1629-$AV1629*$R1629</f>
        <v>0</v>
      </c>
    </row>
    <row r="1630" ht="24.95" customHeight="1" outlineLevel="3" s="1" customFormat="1">
      <c r="A1630" s="15"/>
      <c r="B1630" s="16">
        <v>590</v>
      </c>
      <c r="C1630" s="16">
        <v>885</v>
      </c>
      <c r="D1630" s="16">
        <v>18638</v>
      </c>
      <c r="E1630" s="18"/>
      <c r="F1630" s="18" t="s">
        <v>5429</v>
      </c>
      <c r="G1630" s="18" t="s">
        <v>5430</v>
      </c>
      <c r="H1630" s="18" t="s">
        <v>86</v>
      </c>
      <c r="I1630" s="18"/>
      <c r="J1630" s="16">
        <v>2025</v>
      </c>
      <c r="K1630" s="18" t="s">
        <v>5431</v>
      </c>
      <c r="L1630" s="16">
        <v>9785961437188</v>
      </c>
      <c r="M1630" s="18" t="s">
        <v>5432</v>
      </c>
      <c r="N1630" s="16">
        <v>112</v>
      </c>
      <c r="O1630" s="19">
        <v>0.18</v>
      </c>
      <c r="P1630" s="16">
        <v>130</v>
      </c>
      <c r="Q1630" s="16">
        <v>206</v>
      </c>
      <c r="R1630" s="16">
        <v>20</v>
      </c>
      <c r="S1630" s="18" t="s">
        <v>90</v>
      </c>
      <c r="T1630" s="18"/>
      <c r="U1630" s="17">
        <v>1000</v>
      </c>
      <c r="V1630" s="18" t="s">
        <v>77</v>
      </c>
      <c r="W1630" s="18" t="s">
        <v>69</v>
      </c>
      <c r="X1630" s="16">
        <v>10</v>
      </c>
      <c r="Y1630" s="43" t="str">
        <f>HYPERLINK("https://api-enni.alpina.ru/FilePrivilegesApproval/106","https://api-enni.alpina.ru/FilePrivilegesApproval/106")</f>
        <v>https://api-enni.alpina.ru/FilePrivilegesApproval/106</v>
      </c>
      <c r="Z1630" s="18"/>
      <c r="AS1630" s="1">
        <f>IF($A1630&lt;&gt;0,1,0)</f>
        <v>0</v>
      </c>
      <c r="AT1630" s="1">
        <f>$A1630*$B1630</f>
        <v>0</v>
      </c>
      <c r="AU1630" s="1">
        <f>$A1630*$O1630</f>
        <v>0</v>
      </c>
      <c r="AV1630" s="1">
        <f>IF($R1630=0,0,INT($A1630/$R1630))</f>
        <v>0</v>
      </c>
      <c r="AW1630" s="1">
        <f>$A1630-$AV1630*$R1630</f>
        <v>0</v>
      </c>
    </row>
    <row r="1631" ht="24.95" customHeight="1" outlineLevel="3" s="1" customFormat="1">
      <c r="A1631" s="15"/>
      <c r="B1631" s="16">
        <v>640</v>
      </c>
      <c r="C1631" s="16">
        <v>960</v>
      </c>
      <c r="D1631" s="16">
        <v>24055</v>
      </c>
      <c r="E1631" s="18"/>
      <c r="F1631" s="18" t="s">
        <v>5433</v>
      </c>
      <c r="G1631" s="18" t="s">
        <v>5434</v>
      </c>
      <c r="H1631" s="18" t="s">
        <v>95</v>
      </c>
      <c r="I1631" s="18"/>
      <c r="J1631" s="16">
        <v>2022</v>
      </c>
      <c r="K1631" s="18" t="s">
        <v>5435</v>
      </c>
      <c r="L1631" s="16">
        <v>9785907470965</v>
      </c>
      <c r="M1631" s="18" t="s">
        <v>5436</v>
      </c>
      <c r="N1631" s="16">
        <v>184</v>
      </c>
      <c r="O1631" s="19">
        <v>0.34</v>
      </c>
      <c r="P1631" s="16">
        <v>146</v>
      </c>
      <c r="Q1631" s="16">
        <v>216</v>
      </c>
      <c r="R1631" s="16">
        <v>14</v>
      </c>
      <c r="S1631" s="18" t="s">
        <v>43</v>
      </c>
      <c r="T1631" s="18"/>
      <c r="U1631" s="17">
        <v>2000</v>
      </c>
      <c r="V1631" s="18" t="s">
        <v>77</v>
      </c>
      <c r="W1631" s="18" t="s">
        <v>91</v>
      </c>
      <c r="X1631" s="16">
        <v>10</v>
      </c>
      <c r="Y1631" s="43" t="str">
        <f>HYPERLINK("https://api-enni.alpina.ru/FilePrivilegesApproval/129","https://api-enni.alpina.ru/FilePrivilegesApproval/129")</f>
        <v>https://api-enni.alpina.ru/FilePrivilegesApproval/129</v>
      </c>
      <c r="Z1631" s="18"/>
      <c r="AS1631" s="1">
        <f>IF($A1631&lt;&gt;0,1,0)</f>
        <v>0</v>
      </c>
      <c r="AT1631" s="1">
        <f>$A1631*$B1631</f>
        <v>0</v>
      </c>
      <c r="AU1631" s="1">
        <f>$A1631*$O1631</f>
        <v>0</v>
      </c>
      <c r="AV1631" s="1">
        <f>IF($R1631=0,0,INT($A1631/$R1631))</f>
        <v>0</v>
      </c>
      <c r="AW1631" s="1">
        <f>$A1631-$AV1631*$R1631</f>
        <v>0</v>
      </c>
    </row>
    <row r="1632" ht="24.95" customHeight="1" outlineLevel="3" s="1" customFormat="1">
      <c r="A1632" s="15"/>
      <c r="B1632" s="16">
        <v>740</v>
      </c>
      <c r="C1632" s="17">
        <v>1073</v>
      </c>
      <c r="D1632" s="16">
        <v>24088</v>
      </c>
      <c r="E1632" s="18"/>
      <c r="F1632" s="18" t="s">
        <v>5437</v>
      </c>
      <c r="G1632" s="18" t="s">
        <v>5438</v>
      </c>
      <c r="H1632" s="18" t="s">
        <v>95</v>
      </c>
      <c r="I1632" s="18"/>
      <c r="J1632" s="16">
        <v>2024</v>
      </c>
      <c r="K1632" s="18" t="s">
        <v>5439</v>
      </c>
      <c r="L1632" s="16">
        <v>9785907470170</v>
      </c>
      <c r="M1632" s="18" t="s">
        <v>5440</v>
      </c>
      <c r="N1632" s="16">
        <v>208</v>
      </c>
      <c r="O1632" s="19">
        <v>0.36</v>
      </c>
      <c r="P1632" s="16">
        <v>160</v>
      </c>
      <c r="Q1632" s="16">
        <v>220</v>
      </c>
      <c r="R1632" s="16">
        <v>7</v>
      </c>
      <c r="S1632" s="18" t="s">
        <v>43</v>
      </c>
      <c r="T1632" s="18"/>
      <c r="U1632" s="17">
        <v>1500</v>
      </c>
      <c r="V1632" s="18" t="s">
        <v>77</v>
      </c>
      <c r="W1632" s="18" t="s">
        <v>91</v>
      </c>
      <c r="X1632" s="16">
        <v>10</v>
      </c>
      <c r="Y1632" s="43" t="str">
        <f>HYPERLINK("https://api-enni.alpina.ru/FilePrivilegesApproval/401","https://api-enni.alpina.ru/FilePrivilegesApproval/401")</f>
        <v>https://api-enni.alpina.ru/FilePrivilegesApproval/401</v>
      </c>
      <c r="Z1632" s="18"/>
      <c r="AS1632" s="1">
        <f>IF($A1632&lt;&gt;0,1,0)</f>
        <v>0</v>
      </c>
      <c r="AT1632" s="1">
        <f>$A1632*$B1632</f>
        <v>0</v>
      </c>
      <c r="AU1632" s="1">
        <f>$A1632*$O1632</f>
        <v>0</v>
      </c>
      <c r="AV1632" s="1">
        <f>IF($R1632=0,0,INT($A1632/$R1632))</f>
        <v>0</v>
      </c>
      <c r="AW1632" s="1">
        <f>$A1632-$AV1632*$R1632</f>
        <v>0</v>
      </c>
    </row>
    <row r="1633" ht="24.95" customHeight="1" outlineLevel="3" s="1" customFormat="1">
      <c r="A1633" s="15"/>
      <c r="B1633" s="16">
        <v>990</v>
      </c>
      <c r="C1633" s="17">
        <v>1386</v>
      </c>
      <c r="D1633" s="16">
        <v>32088</v>
      </c>
      <c r="E1633" s="18"/>
      <c r="F1633" s="18" t="s">
        <v>5441</v>
      </c>
      <c r="G1633" s="18" t="s">
        <v>5442</v>
      </c>
      <c r="H1633" s="18" t="s">
        <v>95</v>
      </c>
      <c r="I1633" s="18"/>
      <c r="J1633" s="16">
        <v>2025</v>
      </c>
      <c r="K1633" s="18" t="s">
        <v>5443</v>
      </c>
      <c r="L1633" s="16">
        <v>9785206004090</v>
      </c>
      <c r="M1633" s="18" t="s">
        <v>5444</v>
      </c>
      <c r="N1633" s="16">
        <v>208</v>
      </c>
      <c r="O1633" s="19">
        <v>0.42</v>
      </c>
      <c r="P1633" s="16">
        <v>150</v>
      </c>
      <c r="Q1633" s="16">
        <v>220</v>
      </c>
      <c r="R1633" s="16">
        <v>6</v>
      </c>
      <c r="S1633" s="18" t="s">
        <v>43</v>
      </c>
      <c r="T1633" s="18"/>
      <c r="U1633" s="17">
        <v>1005</v>
      </c>
      <c r="V1633" s="18" t="s">
        <v>77</v>
      </c>
      <c r="W1633" s="18" t="s">
        <v>69</v>
      </c>
      <c r="X1633" s="16">
        <v>10</v>
      </c>
      <c r="Y1633" s="43" t="str">
        <f>HYPERLINK("https://api-enni.alpina.ru/FilePrivilegesApproval/735","https://api-enni.alpina.ru/FilePrivilegesApproval/735")</f>
        <v>https://api-enni.alpina.ru/FilePrivilegesApproval/735</v>
      </c>
      <c r="Z1633" s="18"/>
      <c r="AS1633" s="1">
        <f>IF($A1633&lt;&gt;0,1,0)</f>
        <v>0</v>
      </c>
      <c r="AT1633" s="1">
        <f>$A1633*$B1633</f>
        <v>0</v>
      </c>
      <c r="AU1633" s="1">
        <f>$A1633*$O1633</f>
        <v>0</v>
      </c>
      <c r="AV1633" s="1">
        <f>IF($R1633=0,0,INT($A1633/$R1633))</f>
        <v>0</v>
      </c>
      <c r="AW1633" s="1">
        <f>$A1633-$AV1633*$R1633</f>
        <v>0</v>
      </c>
    </row>
    <row r="1634" ht="24.95" customHeight="1" outlineLevel="3" s="1" customFormat="1">
      <c r="A1634" s="15"/>
      <c r="B1634" s="16">
        <v>790</v>
      </c>
      <c r="C1634" s="17">
        <v>1146</v>
      </c>
      <c r="D1634" s="16">
        <v>25770</v>
      </c>
      <c r="E1634" s="18"/>
      <c r="F1634" s="18" t="s">
        <v>5445</v>
      </c>
      <c r="G1634" s="18" t="s">
        <v>5446</v>
      </c>
      <c r="H1634" s="18" t="s">
        <v>95</v>
      </c>
      <c r="I1634" s="18"/>
      <c r="J1634" s="16">
        <v>2023</v>
      </c>
      <c r="K1634" s="18" t="s">
        <v>5447</v>
      </c>
      <c r="L1634" s="16">
        <v>9785206000184</v>
      </c>
      <c r="M1634" s="18" t="s">
        <v>5448</v>
      </c>
      <c r="N1634" s="16">
        <v>424</v>
      </c>
      <c r="O1634" s="19">
        <v>0.5</v>
      </c>
      <c r="P1634" s="16">
        <v>150</v>
      </c>
      <c r="Q1634" s="16">
        <v>220</v>
      </c>
      <c r="R1634" s="16">
        <v>8</v>
      </c>
      <c r="S1634" s="18" t="s">
        <v>43</v>
      </c>
      <c r="T1634" s="18"/>
      <c r="U1634" s="17">
        <v>1005</v>
      </c>
      <c r="V1634" s="18" t="s">
        <v>77</v>
      </c>
      <c r="W1634" s="18" t="s">
        <v>91</v>
      </c>
      <c r="X1634" s="16">
        <v>10</v>
      </c>
      <c r="Y1634" s="43" t="str">
        <f>HYPERLINK("https://api-enni.alpina.ru/FilePrivilegesApproval/199","https://api-enni.alpina.ru/FilePrivilegesApproval/199")</f>
        <v>https://api-enni.alpina.ru/FilePrivilegesApproval/199</v>
      </c>
      <c r="Z1634" s="18"/>
      <c r="AS1634" s="1">
        <f>IF($A1634&lt;&gt;0,1,0)</f>
        <v>0</v>
      </c>
      <c r="AT1634" s="1">
        <f>$A1634*$B1634</f>
        <v>0</v>
      </c>
      <c r="AU1634" s="1">
        <f>$A1634*$O1634</f>
        <v>0</v>
      </c>
      <c r="AV1634" s="1">
        <f>IF($R1634=0,0,INT($A1634/$R1634))</f>
        <v>0</v>
      </c>
      <c r="AW1634" s="1">
        <f>$A1634-$AV1634*$R1634</f>
        <v>0</v>
      </c>
    </row>
    <row r="1635" ht="24.95" customHeight="1" outlineLevel="3" s="1" customFormat="1">
      <c r="A1635" s="15"/>
      <c r="B1635" s="16">
        <v>590</v>
      </c>
      <c r="C1635" s="16">
        <v>885</v>
      </c>
      <c r="D1635" s="16">
        <v>19148</v>
      </c>
      <c r="E1635" s="18"/>
      <c r="F1635" s="18" t="s">
        <v>5449</v>
      </c>
      <c r="G1635" s="18" t="s">
        <v>5450</v>
      </c>
      <c r="H1635" s="18" t="s">
        <v>86</v>
      </c>
      <c r="I1635" s="18"/>
      <c r="J1635" s="16">
        <v>2024</v>
      </c>
      <c r="K1635" s="18" t="s">
        <v>5451</v>
      </c>
      <c r="L1635" s="16">
        <v>9785961483512</v>
      </c>
      <c r="M1635" s="18" t="s">
        <v>5452</v>
      </c>
      <c r="N1635" s="16">
        <v>246</v>
      </c>
      <c r="O1635" s="19">
        <v>0.4</v>
      </c>
      <c r="P1635" s="16">
        <v>150</v>
      </c>
      <c r="Q1635" s="16">
        <v>220</v>
      </c>
      <c r="R1635" s="16">
        <v>5</v>
      </c>
      <c r="S1635" s="18" t="s">
        <v>43</v>
      </c>
      <c r="T1635" s="18"/>
      <c r="U1635" s="17">
        <v>1000</v>
      </c>
      <c r="V1635" s="18" t="s">
        <v>77</v>
      </c>
      <c r="W1635" s="18" t="s">
        <v>91</v>
      </c>
      <c r="X1635" s="16">
        <v>10</v>
      </c>
      <c r="Y1635" s="43" t="str">
        <f>HYPERLINK("https://api-enni.alpina.ru/FilePrivilegesApproval/210","https://api-enni.alpina.ru/FilePrivilegesApproval/210")</f>
        <v>https://api-enni.alpina.ru/FilePrivilegesApproval/210</v>
      </c>
      <c r="Z1635" s="18"/>
      <c r="AS1635" s="1">
        <f>IF($A1635&lt;&gt;0,1,0)</f>
        <v>0</v>
      </c>
      <c r="AT1635" s="1">
        <f>$A1635*$B1635</f>
        <v>0</v>
      </c>
      <c r="AU1635" s="1">
        <f>$A1635*$O1635</f>
        <v>0</v>
      </c>
      <c r="AV1635" s="1">
        <f>IF($R1635=0,0,INT($A1635/$R1635))</f>
        <v>0</v>
      </c>
      <c r="AW1635" s="1">
        <f>$A1635-$AV1635*$R1635</f>
        <v>0</v>
      </c>
    </row>
    <row r="1636" ht="24.95" customHeight="1" outlineLevel="3" s="1" customFormat="1">
      <c r="A1636" s="15"/>
      <c r="B1636" s="16">
        <v>790</v>
      </c>
      <c r="C1636" s="17">
        <v>1146</v>
      </c>
      <c r="D1636" s="16">
        <v>139</v>
      </c>
      <c r="E1636" s="18"/>
      <c r="F1636" s="18" t="s">
        <v>654</v>
      </c>
      <c r="G1636" s="18" t="s">
        <v>5453</v>
      </c>
      <c r="H1636" s="18" t="s">
        <v>86</v>
      </c>
      <c r="I1636" s="18"/>
      <c r="J1636" s="16">
        <v>2025</v>
      </c>
      <c r="K1636" s="18" t="s">
        <v>5454</v>
      </c>
      <c r="L1636" s="16">
        <v>9785961471007</v>
      </c>
      <c r="M1636" s="18" t="s">
        <v>5455</v>
      </c>
      <c r="N1636" s="16">
        <v>313</v>
      </c>
      <c r="O1636" s="19">
        <v>0.4</v>
      </c>
      <c r="P1636" s="16">
        <v>163</v>
      </c>
      <c r="Q1636" s="16">
        <v>215</v>
      </c>
      <c r="R1636" s="16">
        <v>6</v>
      </c>
      <c r="S1636" s="18" t="s">
        <v>52</v>
      </c>
      <c r="T1636" s="18"/>
      <c r="U1636" s="17">
        <v>2000</v>
      </c>
      <c r="V1636" s="18" t="s">
        <v>44</v>
      </c>
      <c r="W1636" s="18" t="s">
        <v>184</v>
      </c>
      <c r="X1636" s="16">
        <v>10</v>
      </c>
      <c r="Y1636" s="43" t="str">
        <f>HYPERLINK("https://api-enni.alpina.ru/FilePrivilegesApproval/2","https://api-enni.alpina.ru/FilePrivilegesApproval/2")</f>
        <v>https://api-enni.alpina.ru/FilePrivilegesApproval/2</v>
      </c>
      <c r="Z1636" s="18"/>
      <c r="AS1636" s="1">
        <f>IF($A1636&lt;&gt;0,1,0)</f>
        <v>0</v>
      </c>
      <c r="AT1636" s="1">
        <f>$A1636*$B1636</f>
        <v>0</v>
      </c>
      <c r="AU1636" s="1">
        <f>$A1636*$O1636</f>
        <v>0</v>
      </c>
      <c r="AV1636" s="1">
        <f>IF($R1636=0,0,INT($A1636/$R1636))</f>
        <v>0</v>
      </c>
      <c r="AW1636" s="1">
        <f>$A1636-$AV1636*$R1636</f>
        <v>0</v>
      </c>
    </row>
    <row r="1637" ht="24.95" customHeight="1" outlineLevel="3" s="1" customFormat="1">
      <c r="A1637" s="15"/>
      <c r="B1637" s="16">
        <v>690</v>
      </c>
      <c r="C1637" s="17">
        <v>1035</v>
      </c>
      <c r="D1637" s="16">
        <v>17910</v>
      </c>
      <c r="E1637" s="18"/>
      <c r="F1637" s="18" t="s">
        <v>654</v>
      </c>
      <c r="G1637" s="18" t="s">
        <v>655</v>
      </c>
      <c r="H1637" s="18" t="s">
        <v>86</v>
      </c>
      <c r="I1637" s="18"/>
      <c r="J1637" s="16">
        <v>2026</v>
      </c>
      <c r="K1637" s="18" t="s">
        <v>656</v>
      </c>
      <c r="L1637" s="16">
        <v>9785961434187</v>
      </c>
      <c r="M1637" s="18" t="s">
        <v>657</v>
      </c>
      <c r="N1637" s="16">
        <v>185</v>
      </c>
      <c r="O1637" s="19">
        <v>0.32</v>
      </c>
      <c r="P1637" s="16">
        <v>146</v>
      </c>
      <c r="Q1637" s="16">
        <v>216</v>
      </c>
      <c r="R1637" s="16">
        <v>10</v>
      </c>
      <c r="S1637" s="18" t="s">
        <v>43</v>
      </c>
      <c r="T1637" s="18"/>
      <c r="U1637" s="17">
        <v>1000</v>
      </c>
      <c r="V1637" s="18" t="s">
        <v>77</v>
      </c>
      <c r="W1637" s="18" t="s">
        <v>55</v>
      </c>
      <c r="X1637" s="16">
        <v>10</v>
      </c>
      <c r="Y1637" s="43" t="str">
        <f>HYPERLINK("https://api-enni.alpina.ru/FilePrivilegesApproval/68","https://api-enni.alpina.ru/FilePrivilegesApproval/68")</f>
        <v>https://api-enni.alpina.ru/FilePrivilegesApproval/68</v>
      </c>
      <c r="Z1637" s="18" t="s">
        <v>46</v>
      </c>
      <c r="AS1637" s="1">
        <f>IF($A1637&lt;&gt;0,1,0)</f>
        <v>0</v>
      </c>
      <c r="AT1637" s="1">
        <f>$A1637*$B1637</f>
        <v>0</v>
      </c>
      <c r="AU1637" s="1">
        <f>$A1637*$O1637</f>
        <v>0</v>
      </c>
      <c r="AV1637" s="1">
        <f>IF($R1637=0,0,INT($A1637/$R1637))</f>
        <v>0</v>
      </c>
      <c r="AW1637" s="1">
        <f>$A1637-$AV1637*$R1637</f>
        <v>0</v>
      </c>
    </row>
    <row r="1638" ht="24.95" customHeight="1" outlineLevel="3" s="1" customFormat="1">
      <c r="A1638" s="15"/>
      <c r="B1638" s="16">
        <v>905</v>
      </c>
      <c r="C1638" s="17">
        <v>1267</v>
      </c>
      <c r="D1638" s="16">
        <v>27970</v>
      </c>
      <c r="E1638" s="18"/>
      <c r="F1638" s="18" t="s">
        <v>5456</v>
      </c>
      <c r="G1638" s="18" t="s">
        <v>5457</v>
      </c>
      <c r="H1638" s="18" t="s">
        <v>95</v>
      </c>
      <c r="I1638" s="18"/>
      <c r="J1638" s="16">
        <v>2023</v>
      </c>
      <c r="K1638" s="18" t="s">
        <v>5458</v>
      </c>
      <c r="L1638" s="16">
        <v>9785206001884</v>
      </c>
      <c r="M1638" s="18" t="s">
        <v>5459</v>
      </c>
      <c r="N1638" s="16">
        <v>50</v>
      </c>
      <c r="O1638" s="19">
        <v>0.14</v>
      </c>
      <c r="P1638" s="16">
        <v>80</v>
      </c>
      <c r="Q1638" s="16">
        <v>140</v>
      </c>
      <c r="R1638" s="16">
        <v>29</v>
      </c>
      <c r="S1638" s="18" t="s">
        <v>43</v>
      </c>
      <c r="T1638" s="18"/>
      <c r="U1638" s="17">
        <v>1005</v>
      </c>
      <c r="V1638" s="18" t="s">
        <v>44</v>
      </c>
      <c r="W1638" s="18" t="s">
        <v>91</v>
      </c>
      <c r="X1638" s="16">
        <v>22</v>
      </c>
      <c r="Y1638" s="43" t="str">
        <f>HYPERLINK("https://api-enni.alpina.ru/FilePrivilegesApproval/237","https://api-enni.alpina.ru/FilePrivilegesApproval/237")</f>
        <v>https://api-enni.alpina.ru/FilePrivilegesApproval/237</v>
      </c>
      <c r="Z1638" s="18"/>
      <c r="AS1638" s="1">
        <f>IF($A1638&lt;&gt;0,1,0)</f>
        <v>0</v>
      </c>
      <c r="AT1638" s="1">
        <f>$A1638*$B1638</f>
        <v>0</v>
      </c>
      <c r="AU1638" s="1">
        <f>$A1638*$O1638</f>
        <v>0</v>
      </c>
      <c r="AV1638" s="1">
        <f>IF($R1638=0,0,INT($A1638/$R1638))</f>
        <v>0</v>
      </c>
      <c r="AW1638" s="1">
        <f>$A1638-$AV1638*$R1638</f>
        <v>0</v>
      </c>
    </row>
    <row r="1639" ht="24.95" customHeight="1" outlineLevel="3" s="1" customFormat="1">
      <c r="A1639" s="15"/>
      <c r="B1639" s="16">
        <v>740</v>
      </c>
      <c r="C1639" s="17">
        <v>1073</v>
      </c>
      <c r="D1639" s="16">
        <v>8207</v>
      </c>
      <c r="E1639" s="18"/>
      <c r="F1639" s="18" t="s">
        <v>5460</v>
      </c>
      <c r="G1639" s="18" t="s">
        <v>5461</v>
      </c>
      <c r="H1639" s="18" t="s">
        <v>95</v>
      </c>
      <c r="I1639" s="18" t="s">
        <v>74</v>
      </c>
      <c r="J1639" s="16">
        <v>2023</v>
      </c>
      <c r="K1639" s="18" t="s">
        <v>5462</v>
      </c>
      <c r="L1639" s="16">
        <v>9785961415094</v>
      </c>
      <c r="M1639" s="18" t="s">
        <v>5463</v>
      </c>
      <c r="N1639" s="16">
        <v>376</v>
      </c>
      <c r="O1639" s="19">
        <v>0.45</v>
      </c>
      <c r="P1639" s="16">
        <v>148</v>
      </c>
      <c r="Q1639" s="16">
        <v>210</v>
      </c>
      <c r="R1639" s="16">
        <v>6</v>
      </c>
      <c r="S1639" s="18" t="s">
        <v>43</v>
      </c>
      <c r="T1639" s="18"/>
      <c r="U1639" s="17">
        <v>1000</v>
      </c>
      <c r="V1639" s="18" t="s">
        <v>44</v>
      </c>
      <c r="W1639" s="18" t="s">
        <v>184</v>
      </c>
      <c r="X1639" s="16">
        <v>10</v>
      </c>
      <c r="Y1639" s="43" t="str">
        <f>HYPERLINK("https://api-enni.alpina.ru/FilePrivilegesApproval/2","https://api-enni.alpina.ru/FilePrivilegesApproval/2")</f>
        <v>https://api-enni.alpina.ru/FilePrivilegesApproval/2</v>
      </c>
      <c r="Z1639" s="18"/>
      <c r="AS1639" s="1">
        <f>IF($A1639&lt;&gt;0,1,0)</f>
        <v>0</v>
      </c>
      <c r="AT1639" s="1">
        <f>$A1639*$B1639</f>
        <v>0</v>
      </c>
      <c r="AU1639" s="1">
        <f>$A1639*$O1639</f>
        <v>0</v>
      </c>
      <c r="AV1639" s="1">
        <f>IF($R1639=0,0,INT($A1639/$R1639))</f>
        <v>0</v>
      </c>
      <c r="AW1639" s="1">
        <f>$A1639-$AV1639*$R1639</f>
        <v>0</v>
      </c>
    </row>
    <row r="1640" ht="24.95" customHeight="1" outlineLevel="3" s="1" customFormat="1">
      <c r="A1640" s="15"/>
      <c r="B1640" s="16">
        <v>590</v>
      </c>
      <c r="C1640" s="16">
        <v>885</v>
      </c>
      <c r="D1640" s="16">
        <v>27889</v>
      </c>
      <c r="E1640" s="18"/>
      <c r="F1640" s="18" t="s">
        <v>5437</v>
      </c>
      <c r="G1640" s="18" t="s">
        <v>5464</v>
      </c>
      <c r="H1640" s="18" t="s">
        <v>95</v>
      </c>
      <c r="I1640" s="18"/>
      <c r="J1640" s="16">
        <v>2023</v>
      </c>
      <c r="K1640" s="18" t="s">
        <v>5465</v>
      </c>
      <c r="L1640" s="16">
        <v>9785961486674</v>
      </c>
      <c r="M1640" s="18" t="s">
        <v>5466</v>
      </c>
      <c r="N1640" s="16">
        <v>132</v>
      </c>
      <c r="O1640" s="19">
        <v>0.16</v>
      </c>
      <c r="P1640" s="16">
        <v>130</v>
      </c>
      <c r="Q1640" s="16">
        <v>200</v>
      </c>
      <c r="R1640" s="16">
        <v>20</v>
      </c>
      <c r="S1640" s="18" t="s">
        <v>90</v>
      </c>
      <c r="T1640" s="18"/>
      <c r="U1640" s="17">
        <v>1000</v>
      </c>
      <c r="V1640" s="18" t="s">
        <v>44</v>
      </c>
      <c r="W1640" s="18" t="s">
        <v>184</v>
      </c>
      <c r="X1640" s="16">
        <v>10</v>
      </c>
      <c r="Y1640" s="43" t="str">
        <f>HYPERLINK("https://api-enni.alpina.ru/FilePrivilegesApproval/229","https://api-enni.alpina.ru/FilePrivilegesApproval/229")</f>
        <v>https://api-enni.alpina.ru/FilePrivilegesApproval/229</v>
      </c>
      <c r="Z1640" s="18"/>
      <c r="AS1640" s="1">
        <f>IF($A1640&lt;&gt;0,1,0)</f>
        <v>0</v>
      </c>
      <c r="AT1640" s="1">
        <f>$A1640*$B1640</f>
        <v>0</v>
      </c>
      <c r="AU1640" s="1">
        <f>$A1640*$O1640</f>
        <v>0</v>
      </c>
      <c r="AV1640" s="1">
        <f>IF($R1640=0,0,INT($A1640/$R1640))</f>
        <v>0</v>
      </c>
      <c r="AW1640" s="1">
        <f>$A1640-$AV1640*$R1640</f>
        <v>0</v>
      </c>
    </row>
    <row r="1641" ht="24.95" customHeight="1" outlineLevel="3" s="1" customFormat="1">
      <c r="A1641" s="15"/>
      <c r="B1641" s="16">
        <v>430</v>
      </c>
      <c r="C1641" s="16">
        <v>666</v>
      </c>
      <c r="D1641" s="16">
        <v>12267</v>
      </c>
      <c r="E1641" s="18"/>
      <c r="F1641" s="18" t="s">
        <v>5467</v>
      </c>
      <c r="G1641" s="18" t="s">
        <v>5468</v>
      </c>
      <c r="H1641" s="18" t="s">
        <v>95</v>
      </c>
      <c r="I1641" s="18"/>
      <c r="J1641" s="16">
        <v>2025</v>
      </c>
      <c r="K1641" s="18" t="s">
        <v>5469</v>
      </c>
      <c r="L1641" s="16">
        <v>9785604232057</v>
      </c>
      <c r="M1641" s="18" t="s">
        <v>5470</v>
      </c>
      <c r="N1641" s="16">
        <v>130</v>
      </c>
      <c r="O1641" s="19">
        <v>0.26</v>
      </c>
      <c r="P1641" s="16">
        <v>153</v>
      </c>
      <c r="Q1641" s="16">
        <v>216</v>
      </c>
      <c r="R1641" s="16">
        <v>10</v>
      </c>
      <c r="S1641" s="18" t="s">
        <v>43</v>
      </c>
      <c r="T1641" s="18"/>
      <c r="U1641" s="17">
        <v>1000</v>
      </c>
      <c r="V1641" s="18" t="s">
        <v>77</v>
      </c>
      <c r="W1641" s="18" t="s">
        <v>91</v>
      </c>
      <c r="X1641" s="16">
        <v>10</v>
      </c>
      <c r="Y1641" s="43" t="str">
        <f>HYPERLINK("https://api-enni.alpina.ru/FilePrivilegesApproval/120","https://api-enni.alpina.ru/FilePrivilegesApproval/120")</f>
        <v>https://api-enni.alpina.ru/FilePrivilegesApproval/120</v>
      </c>
      <c r="Z1641" s="18"/>
      <c r="AS1641" s="1">
        <f>IF($A1641&lt;&gt;0,1,0)</f>
        <v>0</v>
      </c>
      <c r="AT1641" s="1">
        <f>$A1641*$B1641</f>
        <v>0</v>
      </c>
      <c r="AU1641" s="1">
        <f>$A1641*$O1641</f>
        <v>0</v>
      </c>
      <c r="AV1641" s="1">
        <f>IF($R1641=0,0,INT($A1641/$R1641))</f>
        <v>0</v>
      </c>
      <c r="AW1641" s="1">
        <f>$A1641-$AV1641*$R1641</f>
        <v>0</v>
      </c>
    </row>
    <row r="1642" ht="24.95" customHeight="1" outlineLevel="3" s="1" customFormat="1">
      <c r="A1642" s="25"/>
      <c r="B1642" s="26">
        <v>690</v>
      </c>
      <c r="C1642" s="29">
        <v>1035</v>
      </c>
      <c r="D1642" s="26">
        <v>9017</v>
      </c>
      <c r="E1642" s="27"/>
      <c r="F1642" s="27" t="s">
        <v>654</v>
      </c>
      <c r="G1642" s="27" t="s">
        <v>5471</v>
      </c>
      <c r="H1642" s="27" t="s">
        <v>86</v>
      </c>
      <c r="I1642" s="27"/>
      <c r="J1642" s="26">
        <v>2025</v>
      </c>
      <c r="K1642" s="27" t="s">
        <v>5472</v>
      </c>
      <c r="L1642" s="26">
        <v>9785961421415</v>
      </c>
      <c r="M1642" s="27" t="s">
        <v>5473</v>
      </c>
      <c r="N1642" s="26">
        <v>242</v>
      </c>
      <c r="O1642" s="28">
        <v>0.42</v>
      </c>
      <c r="P1642" s="26">
        <v>153</v>
      </c>
      <c r="Q1642" s="26">
        <v>216</v>
      </c>
      <c r="R1642" s="26">
        <v>5</v>
      </c>
      <c r="S1642" s="27" t="s">
        <v>43</v>
      </c>
      <c r="T1642" s="27"/>
      <c r="U1642" s="29">
        <v>1000</v>
      </c>
      <c r="V1642" s="27" t="s">
        <v>77</v>
      </c>
      <c r="W1642" s="27" t="s">
        <v>91</v>
      </c>
      <c r="X1642" s="26">
        <v>10</v>
      </c>
      <c r="Y1642" s="45" t="str">
        <f>HYPERLINK("https://api-enni.alpina.ru/FilePrivilegesApproval/156","https://api-enni.alpina.ru/FilePrivilegesApproval/156")</f>
        <v>https://api-enni.alpina.ru/FilePrivilegesApproval/156</v>
      </c>
      <c r="Z1642" s="27"/>
      <c r="AS1642" s="1">
        <f>IF($A1642&lt;&gt;0,1,0)</f>
        <v>0</v>
      </c>
      <c r="AT1642" s="1">
        <f>$A1642*$B1642</f>
        <v>0</v>
      </c>
      <c r="AU1642" s="1">
        <f>$A1642*$O1642</f>
        <v>0</v>
      </c>
      <c r="AV1642" s="1">
        <f>IF($R1642=0,0,INT($A1642/$R1642))</f>
        <v>0</v>
      </c>
      <c r="AW1642" s="1">
        <f>$A1642-$AV1642*$R1642</f>
        <v>0</v>
      </c>
    </row>
    <row r="1643" ht="24.95" customHeight="1" outlineLevel="3" s="1" customFormat="1">
      <c r="A1643" s="15"/>
      <c r="B1643" s="16">
        <v>740</v>
      </c>
      <c r="C1643" s="17">
        <v>1073</v>
      </c>
      <c r="D1643" s="16">
        <v>34503</v>
      </c>
      <c r="E1643" s="18"/>
      <c r="F1643" s="18" t="s">
        <v>5474</v>
      </c>
      <c r="G1643" s="18" t="s">
        <v>5475</v>
      </c>
      <c r="H1643" s="18" t="s">
        <v>95</v>
      </c>
      <c r="I1643" s="18"/>
      <c r="J1643" s="16">
        <v>2025</v>
      </c>
      <c r="K1643" s="18" t="s">
        <v>5476</v>
      </c>
      <c r="L1643" s="16">
        <v>9785206005035</v>
      </c>
      <c r="M1643" s="18" t="s">
        <v>5477</v>
      </c>
      <c r="N1643" s="16">
        <v>160</v>
      </c>
      <c r="O1643" s="19">
        <v>0.31</v>
      </c>
      <c r="P1643" s="16">
        <v>150</v>
      </c>
      <c r="Q1643" s="16">
        <v>220</v>
      </c>
      <c r="R1643" s="16">
        <v>12</v>
      </c>
      <c r="S1643" s="18" t="s">
        <v>43</v>
      </c>
      <c r="T1643" s="18"/>
      <c r="U1643" s="17">
        <v>1005</v>
      </c>
      <c r="V1643" s="18" t="s">
        <v>77</v>
      </c>
      <c r="W1643" s="18" t="s">
        <v>91</v>
      </c>
      <c r="X1643" s="16">
        <v>10</v>
      </c>
      <c r="Y1643" s="43" t="str">
        <f>HYPERLINK("https://api-enni.alpina.ru/FilePrivilegesApproval/1077","https://api-enni.alpina.ru/FilePrivilegesApproval/1077")</f>
        <v>https://api-enni.alpina.ru/FilePrivilegesApproval/1077</v>
      </c>
      <c r="Z1643" s="18"/>
      <c r="AS1643" s="1">
        <f>IF($A1643&lt;&gt;0,1,0)</f>
        <v>0</v>
      </c>
      <c r="AT1643" s="1">
        <f>$A1643*$B1643</f>
        <v>0</v>
      </c>
      <c r="AU1643" s="1">
        <f>$A1643*$O1643</f>
        <v>0</v>
      </c>
      <c r="AV1643" s="1">
        <f>IF($R1643=0,0,INT($A1643/$R1643))</f>
        <v>0</v>
      </c>
      <c r="AW1643" s="1">
        <f>$A1643-$AV1643*$R1643</f>
        <v>0</v>
      </c>
    </row>
    <row r="1644" ht="24.95" customHeight="1" outlineLevel="3" s="1" customFormat="1">
      <c r="A1644" s="15"/>
      <c r="B1644" s="16">
        <v>690</v>
      </c>
      <c r="C1644" s="17">
        <v>1035</v>
      </c>
      <c r="D1644" s="16">
        <v>24520</v>
      </c>
      <c r="E1644" s="18"/>
      <c r="F1644" s="18" t="s">
        <v>654</v>
      </c>
      <c r="G1644" s="18" t="s">
        <v>5478</v>
      </c>
      <c r="H1644" s="18" t="s">
        <v>86</v>
      </c>
      <c r="I1644" s="18"/>
      <c r="J1644" s="16">
        <v>2025</v>
      </c>
      <c r="K1644" s="18" t="s">
        <v>5479</v>
      </c>
      <c r="L1644" s="16">
        <v>9785961475753</v>
      </c>
      <c r="M1644" s="18" t="s">
        <v>5480</v>
      </c>
      <c r="N1644" s="16">
        <v>288</v>
      </c>
      <c r="O1644" s="19">
        <v>0.43</v>
      </c>
      <c r="P1644" s="16">
        <v>160</v>
      </c>
      <c r="Q1644" s="16">
        <v>220</v>
      </c>
      <c r="R1644" s="16">
        <v>12</v>
      </c>
      <c r="S1644" s="18" t="s">
        <v>43</v>
      </c>
      <c r="T1644" s="18"/>
      <c r="U1644" s="17">
        <v>1500</v>
      </c>
      <c r="V1644" s="18" t="s">
        <v>77</v>
      </c>
      <c r="W1644" s="18" t="s">
        <v>184</v>
      </c>
      <c r="X1644" s="16">
        <v>10</v>
      </c>
      <c r="Y1644" s="43" t="str">
        <f>HYPERLINK("https://api-enni.alpina.ru/FilePrivilegesApproval/153","https://api-enni.alpina.ru/FilePrivilegesApproval/153")</f>
        <v>https://api-enni.alpina.ru/FilePrivilegesApproval/153</v>
      </c>
      <c r="Z1644" s="18"/>
      <c r="AS1644" s="1">
        <f>IF($A1644&lt;&gt;0,1,0)</f>
        <v>0</v>
      </c>
      <c r="AT1644" s="1">
        <f>$A1644*$B1644</f>
        <v>0</v>
      </c>
      <c r="AU1644" s="1">
        <f>$A1644*$O1644</f>
        <v>0</v>
      </c>
      <c r="AV1644" s="1">
        <f>IF($R1644=0,0,INT($A1644/$R1644))</f>
        <v>0</v>
      </c>
      <c r="AW1644" s="1">
        <f>$A1644-$AV1644*$R1644</f>
        <v>0</v>
      </c>
    </row>
    <row r="1645" ht="24.95" customHeight="1" outlineLevel="3" s="1" customFormat="1">
      <c r="A1645" s="15"/>
      <c r="B1645" s="16">
        <v>890</v>
      </c>
      <c r="C1645" s="17">
        <v>1246</v>
      </c>
      <c r="D1645" s="16">
        <v>30382</v>
      </c>
      <c r="E1645" s="18"/>
      <c r="F1645" s="18" t="s">
        <v>5481</v>
      </c>
      <c r="G1645" s="18" t="s">
        <v>5482</v>
      </c>
      <c r="H1645" s="18" t="s">
        <v>95</v>
      </c>
      <c r="I1645" s="18"/>
      <c r="J1645" s="16">
        <v>2025</v>
      </c>
      <c r="K1645" s="18" t="s">
        <v>5483</v>
      </c>
      <c r="L1645" s="16">
        <v>9785206003178</v>
      </c>
      <c r="M1645" s="18" t="s">
        <v>5484</v>
      </c>
      <c r="N1645" s="16">
        <v>336</v>
      </c>
      <c r="O1645" s="19">
        <v>0.5</v>
      </c>
      <c r="P1645" s="16">
        <v>170</v>
      </c>
      <c r="Q1645" s="16">
        <v>220</v>
      </c>
      <c r="R1645" s="16">
        <v>12</v>
      </c>
      <c r="S1645" s="18" t="s">
        <v>52</v>
      </c>
      <c r="T1645" s="18"/>
      <c r="U1645" s="17">
        <v>1500</v>
      </c>
      <c r="V1645" s="18" t="s">
        <v>44</v>
      </c>
      <c r="W1645" s="18" t="s">
        <v>91</v>
      </c>
      <c r="X1645" s="16">
        <v>10</v>
      </c>
      <c r="Y1645" s="43" t="str">
        <f>HYPERLINK("https://api-enni.alpina.ru/FilePrivilegesApproval/541","https://api-enni.alpina.ru/FilePrivilegesApproval/541")</f>
        <v>https://api-enni.alpina.ru/FilePrivilegesApproval/541</v>
      </c>
      <c r="Z1645" s="18"/>
      <c r="AS1645" s="1">
        <f>IF($A1645&lt;&gt;0,1,0)</f>
        <v>0</v>
      </c>
      <c r="AT1645" s="1">
        <f>$A1645*$B1645</f>
        <v>0</v>
      </c>
      <c r="AU1645" s="1">
        <f>$A1645*$O1645</f>
        <v>0</v>
      </c>
      <c r="AV1645" s="1">
        <f>IF($R1645=0,0,INT($A1645/$R1645))</f>
        <v>0</v>
      </c>
      <c r="AW1645" s="1">
        <f>$A1645-$AV1645*$R1645</f>
        <v>0</v>
      </c>
    </row>
    <row r="1646" ht="24.95" customHeight="1" outlineLevel="3" s="1" customFormat="1">
      <c r="A1646" s="25"/>
      <c r="B1646" s="26">
        <v>530</v>
      </c>
      <c r="C1646" s="26">
        <v>822</v>
      </c>
      <c r="D1646" s="26">
        <v>27543</v>
      </c>
      <c r="E1646" s="27"/>
      <c r="F1646" s="27" t="s">
        <v>654</v>
      </c>
      <c r="G1646" s="27" t="s">
        <v>5485</v>
      </c>
      <c r="H1646" s="27" t="s">
        <v>86</v>
      </c>
      <c r="I1646" s="27"/>
      <c r="J1646" s="26">
        <v>2025</v>
      </c>
      <c r="K1646" s="27" t="s">
        <v>5486</v>
      </c>
      <c r="L1646" s="26">
        <v>9785961485684</v>
      </c>
      <c r="M1646" s="27" t="s">
        <v>5487</v>
      </c>
      <c r="N1646" s="26">
        <v>148</v>
      </c>
      <c r="O1646" s="28">
        <v>0.2</v>
      </c>
      <c r="P1646" s="26">
        <v>150</v>
      </c>
      <c r="Q1646" s="26">
        <v>210</v>
      </c>
      <c r="R1646" s="26">
        <v>20</v>
      </c>
      <c r="S1646" s="27" t="s">
        <v>43</v>
      </c>
      <c r="T1646" s="27"/>
      <c r="U1646" s="29">
        <v>1000</v>
      </c>
      <c r="V1646" s="27" t="s">
        <v>44</v>
      </c>
      <c r="W1646" s="27" t="s">
        <v>184</v>
      </c>
      <c r="X1646" s="26">
        <v>10</v>
      </c>
      <c r="Y1646" s="45" t="str">
        <f>HYPERLINK("https://api-enni.alpina.ru/FilePrivilegesApproval/202","https://api-enni.alpina.ru/FilePrivilegesApproval/202")</f>
        <v>https://api-enni.alpina.ru/FilePrivilegesApproval/202</v>
      </c>
      <c r="Z1646" s="27"/>
      <c r="AS1646" s="1">
        <f>IF($A1646&lt;&gt;0,1,0)</f>
        <v>0</v>
      </c>
      <c r="AT1646" s="1">
        <f>$A1646*$B1646</f>
        <v>0</v>
      </c>
      <c r="AU1646" s="1">
        <f>$A1646*$O1646</f>
        <v>0</v>
      </c>
      <c r="AV1646" s="1">
        <f>IF($R1646=0,0,INT($A1646/$R1646))</f>
        <v>0</v>
      </c>
      <c r="AW1646" s="1">
        <f>$A1646-$AV1646*$R1646</f>
        <v>0</v>
      </c>
    </row>
    <row r="1647" ht="24.95" customHeight="1" outlineLevel="3" s="1" customFormat="1">
      <c r="A1647" s="15"/>
      <c r="B1647" s="16">
        <v>840</v>
      </c>
      <c r="C1647" s="17">
        <v>1218</v>
      </c>
      <c r="D1647" s="16">
        <v>24182</v>
      </c>
      <c r="E1647" s="18"/>
      <c r="F1647" s="18" t="s">
        <v>5488</v>
      </c>
      <c r="G1647" s="18" t="s">
        <v>5489</v>
      </c>
      <c r="H1647" s="18" t="s">
        <v>86</v>
      </c>
      <c r="I1647" s="18" t="s">
        <v>74</v>
      </c>
      <c r="J1647" s="16">
        <v>2026</v>
      </c>
      <c r="K1647" s="18" t="s">
        <v>5490</v>
      </c>
      <c r="L1647" s="16">
        <v>9785961478624</v>
      </c>
      <c r="M1647" s="18" t="s">
        <v>5491</v>
      </c>
      <c r="N1647" s="16">
        <v>492</v>
      </c>
      <c r="O1647" s="19">
        <v>0.7</v>
      </c>
      <c r="P1647" s="16">
        <v>150</v>
      </c>
      <c r="Q1647" s="16">
        <v>220</v>
      </c>
      <c r="R1647" s="16">
        <v>10</v>
      </c>
      <c r="S1647" s="18" t="s">
        <v>43</v>
      </c>
      <c r="T1647" s="18"/>
      <c r="U1647" s="17">
        <v>1000</v>
      </c>
      <c r="V1647" s="18" t="s">
        <v>77</v>
      </c>
      <c r="W1647" s="18" t="s">
        <v>91</v>
      </c>
      <c r="X1647" s="16">
        <v>10</v>
      </c>
      <c r="Y1647" s="43" t="str">
        <f>HYPERLINK("https://api-enni.alpina.ru/FilePrivilegesApproval/177","https://api-enni.alpina.ru/FilePrivilegesApproval/177")</f>
        <v>https://api-enni.alpina.ru/FilePrivilegesApproval/177</v>
      </c>
      <c r="Z1647" s="18"/>
      <c r="AS1647" s="1">
        <f>IF($A1647&lt;&gt;0,1,0)</f>
        <v>0</v>
      </c>
      <c r="AT1647" s="1">
        <f>$A1647*$B1647</f>
        <v>0</v>
      </c>
      <c r="AU1647" s="1">
        <f>$A1647*$O1647</f>
        <v>0</v>
      </c>
      <c r="AV1647" s="1">
        <f>IF($R1647=0,0,INT($A1647/$R1647))</f>
        <v>0</v>
      </c>
      <c r="AW1647" s="1">
        <f>$A1647-$AV1647*$R1647</f>
        <v>0</v>
      </c>
    </row>
    <row r="1648" ht="24.95" customHeight="1" outlineLevel="3" s="1" customFormat="1">
      <c r="A1648" s="15"/>
      <c r="B1648" s="16">
        <v>340</v>
      </c>
      <c r="C1648" s="16">
        <v>544</v>
      </c>
      <c r="D1648" s="16">
        <v>27884</v>
      </c>
      <c r="E1648" s="18"/>
      <c r="F1648" s="18" t="s">
        <v>5492</v>
      </c>
      <c r="G1648" s="18" t="s">
        <v>5493</v>
      </c>
      <c r="H1648" s="18" t="s">
        <v>86</v>
      </c>
      <c r="I1648" s="18"/>
      <c r="J1648" s="16">
        <v>2025</v>
      </c>
      <c r="K1648" s="18" t="s">
        <v>5494</v>
      </c>
      <c r="L1648" s="16">
        <v>9785961486643</v>
      </c>
      <c r="M1648" s="18" t="s">
        <v>5495</v>
      </c>
      <c r="N1648" s="16">
        <v>200</v>
      </c>
      <c r="O1648" s="19">
        <v>0.14</v>
      </c>
      <c r="P1648" s="16">
        <v>120</v>
      </c>
      <c r="Q1648" s="16">
        <v>170</v>
      </c>
      <c r="R1648" s="16">
        <v>28</v>
      </c>
      <c r="S1648" s="18" t="s">
        <v>190</v>
      </c>
      <c r="T1648" s="18" t="s">
        <v>451</v>
      </c>
      <c r="U1648" s="17">
        <v>2000</v>
      </c>
      <c r="V1648" s="18" t="s">
        <v>44</v>
      </c>
      <c r="W1648" s="18" t="s">
        <v>91</v>
      </c>
      <c r="X1648" s="16">
        <v>10</v>
      </c>
      <c r="Y1648" s="43" t="str">
        <f>HYPERLINK("https://api-enni.alpina.ru/FilePrivilegesApproval/221","https://api-enni.alpina.ru/FilePrivilegesApproval/221")</f>
        <v>https://api-enni.alpina.ru/FilePrivilegesApproval/221</v>
      </c>
      <c r="Z1648" s="18"/>
      <c r="AS1648" s="1">
        <f>IF($A1648&lt;&gt;0,1,0)</f>
        <v>0</v>
      </c>
      <c r="AT1648" s="1">
        <f>$A1648*$B1648</f>
        <v>0</v>
      </c>
      <c r="AU1648" s="1">
        <f>$A1648*$O1648</f>
        <v>0</v>
      </c>
      <c r="AV1648" s="1">
        <f>IF($R1648=0,0,INT($A1648/$R1648))</f>
        <v>0</v>
      </c>
      <c r="AW1648" s="1">
        <f>$A1648-$AV1648*$R1648</f>
        <v>0</v>
      </c>
    </row>
    <row r="1649" ht="24.95" customHeight="1" outlineLevel="3" s="1" customFormat="1">
      <c r="A1649" s="25"/>
      <c r="B1649" s="26">
        <v>790</v>
      </c>
      <c r="C1649" s="29">
        <v>1146</v>
      </c>
      <c r="D1649" s="26">
        <v>12491</v>
      </c>
      <c r="E1649" s="27"/>
      <c r="F1649" s="27" t="s">
        <v>417</v>
      </c>
      <c r="G1649" s="27" t="s">
        <v>5496</v>
      </c>
      <c r="H1649" s="27" t="s">
        <v>95</v>
      </c>
      <c r="I1649" s="27" t="s">
        <v>74</v>
      </c>
      <c r="J1649" s="26">
        <v>2023</v>
      </c>
      <c r="K1649" s="27" t="s">
        <v>5497</v>
      </c>
      <c r="L1649" s="26">
        <v>9785907274020</v>
      </c>
      <c r="M1649" s="27" t="s">
        <v>5498</v>
      </c>
      <c r="N1649" s="26">
        <v>204</v>
      </c>
      <c r="O1649" s="28">
        <v>0.45</v>
      </c>
      <c r="P1649" s="26">
        <v>171</v>
      </c>
      <c r="Q1649" s="26">
        <v>241</v>
      </c>
      <c r="R1649" s="26">
        <v>10</v>
      </c>
      <c r="S1649" s="27" t="s">
        <v>123</v>
      </c>
      <c r="T1649" s="27"/>
      <c r="U1649" s="29">
        <v>1000</v>
      </c>
      <c r="V1649" s="27" t="s">
        <v>77</v>
      </c>
      <c r="W1649" s="27" t="s">
        <v>91</v>
      </c>
      <c r="X1649" s="26">
        <v>10</v>
      </c>
      <c r="Y1649" s="45" t="str">
        <f>HYPERLINK("https://api-enni.alpina.ru/FilePrivilegesApproval/114","https://api-enni.alpina.ru/FilePrivilegesApproval/114")</f>
        <v>https://api-enni.alpina.ru/FilePrivilegesApproval/114</v>
      </c>
      <c r="Z1649" s="27"/>
      <c r="AS1649" s="1">
        <f>IF($A1649&lt;&gt;0,1,0)</f>
        <v>0</v>
      </c>
      <c r="AT1649" s="1">
        <f>$A1649*$B1649</f>
        <v>0</v>
      </c>
      <c r="AU1649" s="1">
        <f>$A1649*$O1649</f>
        <v>0</v>
      </c>
      <c r="AV1649" s="1">
        <f>IF($R1649=0,0,INT($A1649/$R1649))</f>
        <v>0</v>
      </c>
      <c r="AW1649" s="1">
        <f>$A1649-$AV1649*$R1649</f>
        <v>0</v>
      </c>
    </row>
    <row r="1650" ht="24.95" customHeight="1" outlineLevel="3" s="1" customFormat="1">
      <c r="A1650" s="15"/>
      <c r="B1650" s="17">
        <v>1690</v>
      </c>
      <c r="C1650" s="17">
        <v>2197</v>
      </c>
      <c r="D1650" s="16">
        <v>8111</v>
      </c>
      <c r="E1650" s="18"/>
      <c r="F1650" s="18" t="s">
        <v>5499</v>
      </c>
      <c r="G1650" s="18" t="s">
        <v>5500</v>
      </c>
      <c r="H1650" s="18" t="s">
        <v>86</v>
      </c>
      <c r="I1650" s="18" t="s">
        <v>74</v>
      </c>
      <c r="J1650" s="16">
        <v>2025</v>
      </c>
      <c r="K1650" s="18" t="s">
        <v>5501</v>
      </c>
      <c r="L1650" s="16">
        <v>9785961465860</v>
      </c>
      <c r="M1650" s="18" t="s">
        <v>5502</v>
      </c>
      <c r="N1650" s="16">
        <v>516</v>
      </c>
      <c r="O1650" s="19">
        <v>0.95</v>
      </c>
      <c r="P1650" s="16">
        <v>171</v>
      </c>
      <c r="Q1650" s="16">
        <v>242</v>
      </c>
      <c r="R1650" s="16">
        <v>5</v>
      </c>
      <c r="S1650" s="18" t="s">
        <v>123</v>
      </c>
      <c r="T1650" s="18"/>
      <c r="U1650" s="17">
        <v>2000</v>
      </c>
      <c r="V1650" s="18" t="s">
        <v>77</v>
      </c>
      <c r="W1650" s="18" t="s">
        <v>184</v>
      </c>
      <c r="X1650" s="16">
        <v>10</v>
      </c>
      <c r="Y1650" s="43" t="str">
        <f>HYPERLINK("https://api-enni.alpina.ru/FilePrivilegesApproval/152","https://api-enni.alpina.ru/FilePrivilegesApproval/152")</f>
        <v>https://api-enni.alpina.ru/FilePrivilegesApproval/152</v>
      </c>
      <c r="Z1650" s="18"/>
      <c r="AS1650" s="1">
        <f>IF($A1650&lt;&gt;0,1,0)</f>
        <v>0</v>
      </c>
      <c r="AT1650" s="1">
        <f>$A1650*$B1650</f>
        <v>0</v>
      </c>
      <c r="AU1650" s="1">
        <f>$A1650*$O1650</f>
        <v>0</v>
      </c>
      <c r="AV1650" s="1">
        <f>IF($R1650=0,0,INT($A1650/$R1650))</f>
        <v>0</v>
      </c>
      <c r="AW1650" s="1">
        <f>$A1650-$AV1650*$R1650</f>
        <v>0</v>
      </c>
    </row>
    <row r="1651" ht="24.95" customHeight="1" outlineLevel="3" s="1" customFormat="1">
      <c r="A1651" s="15"/>
      <c r="B1651" s="16">
        <v>640</v>
      </c>
      <c r="C1651" s="16">
        <v>960</v>
      </c>
      <c r="D1651" s="16">
        <v>4700</v>
      </c>
      <c r="E1651" s="18"/>
      <c r="F1651" s="18" t="s">
        <v>865</v>
      </c>
      <c r="G1651" s="18" t="s">
        <v>866</v>
      </c>
      <c r="H1651" s="18" t="s">
        <v>86</v>
      </c>
      <c r="I1651" s="18"/>
      <c r="J1651" s="16">
        <v>2026</v>
      </c>
      <c r="K1651" s="18" t="s">
        <v>867</v>
      </c>
      <c r="L1651" s="16">
        <v>9785961469059</v>
      </c>
      <c r="M1651" s="18" t="s">
        <v>868</v>
      </c>
      <c r="N1651" s="16">
        <v>218</v>
      </c>
      <c r="O1651" s="19">
        <v>0.39</v>
      </c>
      <c r="P1651" s="16">
        <v>150</v>
      </c>
      <c r="Q1651" s="16">
        <v>220</v>
      </c>
      <c r="R1651" s="16">
        <v>10</v>
      </c>
      <c r="S1651" s="18" t="s">
        <v>43</v>
      </c>
      <c r="T1651" s="18"/>
      <c r="U1651" s="17">
        <v>1000</v>
      </c>
      <c r="V1651" s="18" t="s">
        <v>77</v>
      </c>
      <c r="W1651" s="18" t="s">
        <v>184</v>
      </c>
      <c r="X1651" s="16">
        <v>10</v>
      </c>
      <c r="Y1651" s="43" t="str">
        <f>HYPERLINK("https://api-enni.alpina.ru/FilePrivilegesApproval/2","https://api-enni.alpina.ru/FilePrivilegesApproval/2")</f>
        <v>https://api-enni.alpina.ru/FilePrivilegesApproval/2</v>
      </c>
      <c r="Z1651" s="18" t="s">
        <v>46</v>
      </c>
      <c r="AS1651" s="1">
        <f>IF($A1651&lt;&gt;0,1,0)</f>
        <v>0</v>
      </c>
      <c r="AT1651" s="1">
        <f>$A1651*$B1651</f>
        <v>0</v>
      </c>
      <c r="AU1651" s="1">
        <f>$A1651*$O1651</f>
        <v>0</v>
      </c>
      <c r="AV1651" s="1">
        <f>IF($R1651=0,0,INT($A1651/$R1651))</f>
        <v>0</v>
      </c>
      <c r="AW1651" s="1">
        <f>$A1651-$AV1651*$R1651</f>
        <v>0</v>
      </c>
    </row>
    <row r="1652" ht="24.95" customHeight="1" outlineLevel="3" s="1" customFormat="1">
      <c r="A1652" s="15"/>
      <c r="B1652" s="16">
        <v>840</v>
      </c>
      <c r="C1652" s="17">
        <v>1218</v>
      </c>
      <c r="D1652" s="16">
        <v>29465</v>
      </c>
      <c r="E1652" s="18"/>
      <c r="F1652" s="18" t="s">
        <v>5474</v>
      </c>
      <c r="G1652" s="18" t="s">
        <v>5503</v>
      </c>
      <c r="H1652" s="18" t="s">
        <v>95</v>
      </c>
      <c r="I1652" s="18"/>
      <c r="J1652" s="16">
        <v>2024</v>
      </c>
      <c r="K1652" s="18" t="s">
        <v>5504</v>
      </c>
      <c r="L1652" s="16">
        <v>9785206002751</v>
      </c>
      <c r="M1652" s="18" t="s">
        <v>5505</v>
      </c>
      <c r="N1652" s="16">
        <v>180</v>
      </c>
      <c r="O1652" s="19">
        <v>0.32</v>
      </c>
      <c r="P1652" s="16">
        <v>150</v>
      </c>
      <c r="Q1652" s="16">
        <v>220</v>
      </c>
      <c r="R1652" s="16">
        <v>8</v>
      </c>
      <c r="S1652" s="18" t="s">
        <v>43</v>
      </c>
      <c r="T1652" s="18"/>
      <c r="U1652" s="17">
        <v>1005</v>
      </c>
      <c r="V1652" s="18" t="s">
        <v>77</v>
      </c>
      <c r="W1652" s="18" t="s">
        <v>69</v>
      </c>
      <c r="X1652" s="16">
        <v>10</v>
      </c>
      <c r="Y1652" s="43" t="str">
        <f>HYPERLINK("https://api-enni.alpina.ru/FilePrivilegesApproval/372","https://api-enni.alpina.ru/FilePrivilegesApproval/372")</f>
        <v>https://api-enni.alpina.ru/FilePrivilegesApproval/372</v>
      </c>
      <c r="Z1652" s="18"/>
      <c r="AS1652" s="1">
        <f>IF($A1652&lt;&gt;0,1,0)</f>
        <v>0</v>
      </c>
      <c r="AT1652" s="1">
        <f>$A1652*$B1652</f>
        <v>0</v>
      </c>
      <c r="AU1652" s="1">
        <f>$A1652*$O1652</f>
        <v>0</v>
      </c>
      <c r="AV1652" s="1">
        <f>IF($R1652=0,0,INT($A1652/$R1652))</f>
        <v>0</v>
      </c>
      <c r="AW1652" s="1">
        <f>$A1652-$AV1652*$R1652</f>
        <v>0</v>
      </c>
    </row>
    <row r="1653" ht="24.95" customHeight="1" outlineLevel="3" s="1" customFormat="1">
      <c r="A1653" s="15"/>
      <c r="B1653" s="16">
        <v>690</v>
      </c>
      <c r="C1653" s="17">
        <v>1035</v>
      </c>
      <c r="D1653" s="16">
        <v>30713</v>
      </c>
      <c r="E1653" s="18"/>
      <c r="F1653" s="18" t="s">
        <v>5506</v>
      </c>
      <c r="G1653" s="18" t="s">
        <v>5507</v>
      </c>
      <c r="H1653" s="18" t="s">
        <v>95</v>
      </c>
      <c r="I1653" s="18"/>
      <c r="J1653" s="16">
        <v>2024</v>
      </c>
      <c r="K1653" s="18" t="s">
        <v>5508</v>
      </c>
      <c r="L1653" s="16">
        <v>9785206003352</v>
      </c>
      <c r="M1653" s="18" t="s">
        <v>5509</v>
      </c>
      <c r="N1653" s="16">
        <v>288</v>
      </c>
      <c r="O1653" s="19">
        <v>0.58</v>
      </c>
      <c r="P1653" s="16">
        <v>170</v>
      </c>
      <c r="Q1653" s="16">
        <v>240</v>
      </c>
      <c r="R1653" s="16">
        <v>6</v>
      </c>
      <c r="S1653" s="18" t="s">
        <v>123</v>
      </c>
      <c r="T1653" s="18"/>
      <c r="U1653" s="17">
        <v>2005</v>
      </c>
      <c r="V1653" s="18" t="s">
        <v>77</v>
      </c>
      <c r="W1653" s="18" t="s">
        <v>69</v>
      </c>
      <c r="X1653" s="16">
        <v>10</v>
      </c>
      <c r="Y1653" s="43" t="str">
        <f>HYPERLINK("https://api-enni.alpina.ru/FilePrivilegesApproval/529","https://api-enni.alpina.ru/FilePrivilegesApproval/529")</f>
        <v>https://api-enni.alpina.ru/FilePrivilegesApproval/529</v>
      </c>
      <c r="Z1653" s="18"/>
      <c r="AS1653" s="1">
        <f>IF($A1653&lt;&gt;0,1,0)</f>
        <v>0</v>
      </c>
      <c r="AT1653" s="1">
        <f>$A1653*$B1653</f>
        <v>0</v>
      </c>
      <c r="AU1653" s="1">
        <f>$A1653*$O1653</f>
        <v>0</v>
      </c>
      <c r="AV1653" s="1">
        <f>IF($R1653=0,0,INT($A1653/$R1653))</f>
        <v>0</v>
      </c>
      <c r="AW1653" s="1">
        <f>$A1653-$AV1653*$R1653</f>
        <v>0</v>
      </c>
    </row>
    <row r="1654" ht="24.95" customHeight="1" outlineLevel="3" s="1" customFormat="1">
      <c r="A1654" s="25"/>
      <c r="B1654" s="26">
        <v>540</v>
      </c>
      <c r="C1654" s="26">
        <v>837</v>
      </c>
      <c r="D1654" s="26">
        <v>4929</v>
      </c>
      <c r="E1654" s="27"/>
      <c r="F1654" s="27" t="s">
        <v>5008</v>
      </c>
      <c r="G1654" s="27" t="s">
        <v>5510</v>
      </c>
      <c r="H1654" s="27" t="s">
        <v>95</v>
      </c>
      <c r="I1654" s="27"/>
      <c r="J1654" s="26">
        <v>2025</v>
      </c>
      <c r="K1654" s="27" t="s">
        <v>5511</v>
      </c>
      <c r="L1654" s="26">
        <v>9785907394094</v>
      </c>
      <c r="M1654" s="27" t="s">
        <v>5512</v>
      </c>
      <c r="N1654" s="26">
        <v>250</v>
      </c>
      <c r="O1654" s="28">
        <v>0.42</v>
      </c>
      <c r="P1654" s="26">
        <v>153</v>
      </c>
      <c r="Q1654" s="26">
        <v>216</v>
      </c>
      <c r="R1654" s="26">
        <v>8</v>
      </c>
      <c r="S1654" s="27" t="s">
        <v>43</v>
      </c>
      <c r="T1654" s="27"/>
      <c r="U1654" s="29">
        <v>1000</v>
      </c>
      <c r="V1654" s="27" t="s">
        <v>77</v>
      </c>
      <c r="W1654" s="27" t="s">
        <v>184</v>
      </c>
      <c r="X1654" s="26">
        <v>10</v>
      </c>
      <c r="Y1654" s="45" t="str">
        <f>HYPERLINK("https://api-enni.alpina.ru/FilePrivilegesApproval/129","https://api-enni.alpina.ru/FilePrivilegesApproval/129")</f>
        <v>https://api-enni.alpina.ru/FilePrivilegesApproval/129</v>
      </c>
      <c r="Z1654" s="27"/>
      <c r="AS1654" s="1">
        <f>IF($A1654&lt;&gt;0,1,0)</f>
        <v>0</v>
      </c>
      <c r="AT1654" s="1">
        <f>$A1654*$B1654</f>
        <v>0</v>
      </c>
      <c r="AU1654" s="1">
        <f>$A1654*$O1654</f>
        <v>0</v>
      </c>
      <c r="AV1654" s="1">
        <f>IF($R1654=0,0,INT($A1654/$R1654))</f>
        <v>0</v>
      </c>
      <c r="AW1654" s="1">
        <f>$A1654-$AV1654*$R1654</f>
        <v>0</v>
      </c>
    </row>
    <row r="1655" ht="24.95" customHeight="1" outlineLevel="3" s="1" customFormat="1">
      <c r="A1655" s="15"/>
      <c r="B1655" s="17">
        <v>1090</v>
      </c>
      <c r="C1655" s="17">
        <v>1472</v>
      </c>
      <c r="D1655" s="16">
        <v>23717</v>
      </c>
      <c r="E1655" s="18"/>
      <c r="F1655" s="18" t="s">
        <v>5513</v>
      </c>
      <c r="G1655" s="18" t="s">
        <v>5514</v>
      </c>
      <c r="H1655" s="18" t="s">
        <v>95</v>
      </c>
      <c r="I1655" s="18" t="s">
        <v>74</v>
      </c>
      <c r="J1655" s="16">
        <v>2022</v>
      </c>
      <c r="K1655" s="18" t="s">
        <v>5515</v>
      </c>
      <c r="L1655" s="16">
        <v>9785604784235</v>
      </c>
      <c r="M1655" s="18" t="s">
        <v>5516</v>
      </c>
      <c r="N1655" s="16">
        <v>376</v>
      </c>
      <c r="O1655" s="19">
        <v>0.71</v>
      </c>
      <c r="P1655" s="16">
        <v>168</v>
      </c>
      <c r="Q1655" s="16">
        <v>241</v>
      </c>
      <c r="R1655" s="16">
        <v>6</v>
      </c>
      <c r="S1655" s="18" t="s">
        <v>123</v>
      </c>
      <c r="T1655" s="18"/>
      <c r="U1655" s="17">
        <v>2700</v>
      </c>
      <c r="V1655" s="18" t="s">
        <v>77</v>
      </c>
      <c r="W1655" s="18" t="s">
        <v>91</v>
      </c>
      <c r="X1655" s="16">
        <v>10</v>
      </c>
      <c r="Y1655" s="43" t="str">
        <f>HYPERLINK("https://api-enni.alpina.ru/FilePrivilegesApproval/237","https://api-enni.alpina.ru/FilePrivilegesApproval/237")</f>
        <v>https://api-enni.alpina.ru/FilePrivilegesApproval/237</v>
      </c>
      <c r="Z1655" s="18"/>
      <c r="AS1655" s="1">
        <f>IF($A1655&lt;&gt;0,1,0)</f>
        <v>0</v>
      </c>
      <c r="AT1655" s="1">
        <f>$A1655*$B1655</f>
        <v>0</v>
      </c>
      <c r="AU1655" s="1">
        <f>$A1655*$O1655</f>
        <v>0</v>
      </c>
      <c r="AV1655" s="1">
        <f>IF($R1655=0,0,INT($A1655/$R1655))</f>
        <v>0</v>
      </c>
      <c r="AW1655" s="1">
        <f>$A1655-$AV1655*$R1655</f>
        <v>0</v>
      </c>
    </row>
    <row r="1656" ht="24.95" customHeight="1" outlineLevel="3" s="1" customFormat="1">
      <c r="A1656" s="15"/>
      <c r="B1656" s="17">
        <v>1210</v>
      </c>
      <c r="C1656" s="17">
        <v>1634</v>
      </c>
      <c r="D1656" s="16">
        <v>29157</v>
      </c>
      <c r="E1656" s="18"/>
      <c r="F1656" s="18" t="s">
        <v>5517</v>
      </c>
      <c r="G1656" s="18" t="s">
        <v>5518</v>
      </c>
      <c r="H1656" s="18" t="s">
        <v>95</v>
      </c>
      <c r="I1656" s="18"/>
      <c r="J1656" s="16">
        <v>2024</v>
      </c>
      <c r="K1656" s="18" t="s">
        <v>5519</v>
      </c>
      <c r="L1656" s="16">
        <v>9785206002577</v>
      </c>
      <c r="M1656" s="18" t="s">
        <v>5520</v>
      </c>
      <c r="N1656" s="16">
        <v>464</v>
      </c>
      <c r="O1656" s="19">
        <v>0.65</v>
      </c>
      <c r="P1656" s="16">
        <v>150</v>
      </c>
      <c r="Q1656" s="16">
        <v>220</v>
      </c>
      <c r="R1656" s="16">
        <v>6</v>
      </c>
      <c r="S1656" s="18" t="s">
        <v>43</v>
      </c>
      <c r="T1656" s="18"/>
      <c r="U1656" s="17">
        <v>1000</v>
      </c>
      <c r="V1656" s="18" t="s">
        <v>77</v>
      </c>
      <c r="W1656" s="18" t="s">
        <v>91</v>
      </c>
      <c r="X1656" s="16">
        <v>22</v>
      </c>
      <c r="Y1656" s="43" t="str">
        <f>HYPERLINK("https://api-enni.alpina.ru/FilePrivilegesApproval/394","https://api-enni.alpina.ru/FilePrivilegesApproval/394")</f>
        <v>https://api-enni.alpina.ru/FilePrivilegesApproval/394</v>
      </c>
      <c r="Z1656" s="18"/>
      <c r="AS1656" s="1">
        <f>IF($A1656&lt;&gt;0,1,0)</f>
        <v>0</v>
      </c>
      <c r="AT1656" s="1">
        <f>$A1656*$B1656</f>
        <v>0</v>
      </c>
      <c r="AU1656" s="1">
        <f>$A1656*$O1656</f>
        <v>0</v>
      </c>
      <c r="AV1656" s="1">
        <f>IF($R1656=0,0,INT($A1656/$R1656))</f>
        <v>0</v>
      </c>
      <c r="AW1656" s="1">
        <f>$A1656-$AV1656*$R1656</f>
        <v>0</v>
      </c>
    </row>
    <row r="1657" ht="21.95" customHeight="1" outlineLevel="3" s="1" customFormat="1">
      <c r="A1657" s="25"/>
      <c r="B1657" s="26">
        <v>790</v>
      </c>
      <c r="C1657" s="29">
        <v>1146</v>
      </c>
      <c r="D1657" s="26">
        <v>5511</v>
      </c>
      <c r="E1657" s="27"/>
      <c r="F1657" s="27" t="s">
        <v>919</v>
      </c>
      <c r="G1657" s="27" t="s">
        <v>920</v>
      </c>
      <c r="H1657" s="27" t="s">
        <v>95</v>
      </c>
      <c r="I1657" s="27" t="s">
        <v>74</v>
      </c>
      <c r="J1657" s="26">
        <v>2024</v>
      </c>
      <c r="K1657" s="27" t="s">
        <v>921</v>
      </c>
      <c r="L1657" s="26">
        <v>9785907274624</v>
      </c>
      <c r="M1657" s="27" t="s">
        <v>922</v>
      </c>
      <c r="N1657" s="26">
        <v>316</v>
      </c>
      <c r="O1657" s="28">
        <v>0.63</v>
      </c>
      <c r="P1657" s="26">
        <v>171</v>
      </c>
      <c r="Q1657" s="26">
        <v>241</v>
      </c>
      <c r="R1657" s="26">
        <v>10</v>
      </c>
      <c r="S1657" s="27" t="s">
        <v>123</v>
      </c>
      <c r="T1657" s="27"/>
      <c r="U1657" s="29">
        <v>1000</v>
      </c>
      <c r="V1657" s="27" t="s">
        <v>77</v>
      </c>
      <c r="W1657" s="27" t="s">
        <v>184</v>
      </c>
      <c r="X1657" s="26">
        <v>10</v>
      </c>
      <c r="Y1657" s="45" t="str">
        <f>HYPERLINK("","")</f>
      </c>
      <c r="Z1657" s="27" t="s">
        <v>46</v>
      </c>
      <c r="AS1657" s="1">
        <f>IF($A1657&lt;&gt;0,1,0)</f>
        <v>0</v>
      </c>
      <c r="AT1657" s="1">
        <f>$A1657*$B1657</f>
        <v>0</v>
      </c>
      <c r="AU1657" s="1">
        <f>$A1657*$O1657</f>
        <v>0</v>
      </c>
      <c r="AV1657" s="1">
        <f>IF($R1657=0,0,INT($A1657/$R1657))</f>
        <v>0</v>
      </c>
      <c r="AW1657" s="1">
        <f>$A1657-$AV1657*$R1657</f>
        <v>0</v>
      </c>
    </row>
    <row r="1658" ht="24.95" customHeight="1" outlineLevel="3" s="1" customFormat="1">
      <c r="A1658" s="15"/>
      <c r="B1658" s="16">
        <v>690</v>
      </c>
      <c r="C1658" s="17">
        <v>1035</v>
      </c>
      <c r="D1658" s="16">
        <v>12244</v>
      </c>
      <c r="E1658" s="18"/>
      <c r="F1658" s="18" t="s">
        <v>654</v>
      </c>
      <c r="G1658" s="18" t="s">
        <v>5521</v>
      </c>
      <c r="H1658" s="18" t="s">
        <v>86</v>
      </c>
      <c r="I1658" s="18"/>
      <c r="J1658" s="16">
        <v>2026</v>
      </c>
      <c r="K1658" s="18" t="s">
        <v>5522</v>
      </c>
      <c r="L1658" s="16">
        <v>9785961424645</v>
      </c>
      <c r="M1658" s="18" t="s">
        <v>5523</v>
      </c>
      <c r="N1658" s="16">
        <v>166</v>
      </c>
      <c r="O1658" s="19">
        <v>0.35</v>
      </c>
      <c r="P1658" s="16">
        <v>150</v>
      </c>
      <c r="Q1658" s="16">
        <v>220</v>
      </c>
      <c r="R1658" s="16">
        <v>10</v>
      </c>
      <c r="S1658" s="18" t="s">
        <v>43</v>
      </c>
      <c r="T1658" s="18"/>
      <c r="U1658" s="17">
        <v>1000</v>
      </c>
      <c r="V1658" s="18" t="s">
        <v>77</v>
      </c>
      <c r="W1658" s="18" t="s">
        <v>91</v>
      </c>
      <c r="X1658" s="16">
        <v>10</v>
      </c>
      <c r="Y1658" s="43" t="str">
        <f>HYPERLINK("https://api-enni.alpina.ru/FilePrivilegesApproval/33","https://api-enni.alpina.ru/FilePrivilegesApproval/33")</f>
        <v>https://api-enni.alpina.ru/FilePrivilegesApproval/33</v>
      </c>
      <c r="Z1658" s="18"/>
      <c r="AS1658" s="1">
        <f>IF($A1658&lt;&gt;0,1,0)</f>
        <v>0</v>
      </c>
      <c r="AT1658" s="1">
        <f>$A1658*$B1658</f>
        <v>0</v>
      </c>
      <c r="AU1658" s="1">
        <f>$A1658*$O1658</f>
        <v>0</v>
      </c>
      <c r="AV1658" s="1">
        <f>IF($R1658=0,0,INT($A1658/$R1658))</f>
        <v>0</v>
      </c>
      <c r="AW1658" s="1">
        <f>$A1658-$AV1658*$R1658</f>
        <v>0</v>
      </c>
    </row>
    <row r="1659" ht="24.95" customHeight="1" outlineLevel="3" s="1" customFormat="1">
      <c r="A1659" s="15"/>
      <c r="B1659" s="16">
        <v>690</v>
      </c>
      <c r="C1659" s="17">
        <v>1035</v>
      </c>
      <c r="D1659" s="16">
        <v>30013</v>
      </c>
      <c r="E1659" s="18"/>
      <c r="F1659" s="18" t="s">
        <v>5524</v>
      </c>
      <c r="G1659" s="18" t="s">
        <v>5525</v>
      </c>
      <c r="H1659" s="18" t="s">
        <v>95</v>
      </c>
      <c r="I1659" s="18"/>
      <c r="J1659" s="16">
        <v>2024</v>
      </c>
      <c r="K1659" s="18" t="s">
        <v>5526</v>
      </c>
      <c r="L1659" s="16">
        <v>9785206003017</v>
      </c>
      <c r="M1659" s="18" t="s">
        <v>5527</v>
      </c>
      <c r="N1659" s="16">
        <v>232</v>
      </c>
      <c r="O1659" s="19">
        <v>0.29</v>
      </c>
      <c r="P1659" s="16">
        <v>140</v>
      </c>
      <c r="Q1659" s="16">
        <v>210</v>
      </c>
      <c r="R1659" s="16">
        <v>10</v>
      </c>
      <c r="S1659" s="18" t="s">
        <v>43</v>
      </c>
      <c r="T1659" s="18"/>
      <c r="U1659" s="17">
        <v>1000</v>
      </c>
      <c r="V1659" s="18" t="s">
        <v>44</v>
      </c>
      <c r="W1659" s="18" t="s">
        <v>69</v>
      </c>
      <c r="X1659" s="16">
        <v>10</v>
      </c>
      <c r="Y1659" s="43" t="str">
        <f>HYPERLINK("https://api-enni.alpina.ru/FilePrivilegesApproval/570","https://api-enni.alpina.ru/FilePrivilegesApproval/570")</f>
        <v>https://api-enni.alpina.ru/FilePrivilegesApproval/570</v>
      </c>
      <c r="Z1659" s="18"/>
      <c r="AS1659" s="1">
        <f>IF($A1659&lt;&gt;0,1,0)</f>
        <v>0</v>
      </c>
      <c r="AT1659" s="1">
        <f>$A1659*$B1659</f>
        <v>0</v>
      </c>
      <c r="AU1659" s="1">
        <f>$A1659*$O1659</f>
        <v>0</v>
      </c>
      <c r="AV1659" s="1">
        <f>IF($R1659=0,0,INT($A1659/$R1659))</f>
        <v>0</v>
      </c>
      <c r="AW1659" s="1">
        <f>$A1659-$AV1659*$R1659</f>
        <v>0</v>
      </c>
    </row>
    <row r="1660" ht="11.1" customHeight="1" outlineLevel="2">
      <c r="A1660" s="41" t="s">
        <v>5528</v>
      </c>
      <c r="B1660" s="41"/>
      <c r="C1660" s="41"/>
      <c r="D1660" s="41"/>
      <c r="E1660" s="41"/>
      <c r="F1660" s="41"/>
      <c r="G1660" s="41"/>
      <c r="H1660" s="41"/>
      <c r="I1660" s="41"/>
      <c r="J1660" s="41"/>
      <c r="K1660" s="41"/>
      <c r="L1660" s="41"/>
      <c r="M1660" s="41"/>
      <c r="N1660" s="41"/>
      <c r="O1660" s="41"/>
      <c r="P1660" s="41"/>
      <c r="Q1660" s="41"/>
      <c r="R1660" s="41"/>
      <c r="S1660" s="41"/>
      <c r="T1660" s="41"/>
      <c r="U1660" s="41"/>
      <c r="V1660" s="41"/>
      <c r="W1660" s="41"/>
      <c r="X1660" s="41"/>
      <c r="Y1660" s="41"/>
      <c r="Z1660" s="24"/>
    </row>
    <row r="1661" ht="24.95" customHeight="1" outlineLevel="3" s="1" customFormat="1">
      <c r="A1661" s="15"/>
      <c r="B1661" s="16">
        <v>430</v>
      </c>
      <c r="C1661" s="16">
        <v>666</v>
      </c>
      <c r="D1661" s="16">
        <v>11289</v>
      </c>
      <c r="E1661" s="18"/>
      <c r="F1661" s="18" t="s">
        <v>5529</v>
      </c>
      <c r="G1661" s="18" t="s">
        <v>5530</v>
      </c>
      <c r="H1661" s="18" t="s">
        <v>86</v>
      </c>
      <c r="I1661" s="18"/>
      <c r="J1661" s="16">
        <v>2019</v>
      </c>
      <c r="K1661" s="18" t="s">
        <v>5531</v>
      </c>
      <c r="L1661" s="16">
        <v>9785961419733</v>
      </c>
      <c r="M1661" s="18" t="s">
        <v>5532</v>
      </c>
      <c r="N1661" s="16">
        <v>136</v>
      </c>
      <c r="O1661" s="19">
        <v>0.27</v>
      </c>
      <c r="P1661" s="16">
        <v>146</v>
      </c>
      <c r="Q1661" s="16">
        <v>216</v>
      </c>
      <c r="R1661" s="16">
        <v>22</v>
      </c>
      <c r="S1661" s="18" t="s">
        <v>43</v>
      </c>
      <c r="T1661" s="18"/>
      <c r="U1661" s="17">
        <v>2000</v>
      </c>
      <c r="V1661" s="18" t="s">
        <v>77</v>
      </c>
      <c r="W1661" s="18" t="s">
        <v>69</v>
      </c>
      <c r="X1661" s="16">
        <v>10</v>
      </c>
      <c r="Y1661" s="43" t="str">
        <f>HYPERLINK("https://api-enni.alpina.ru/FilePrivilegesApproval/2","https://api-enni.alpina.ru/FilePrivilegesApproval/2")</f>
        <v>https://api-enni.alpina.ru/FilePrivilegesApproval/2</v>
      </c>
      <c r="Z1661" s="18"/>
      <c r="AS1661" s="1">
        <f>IF($A1661&lt;&gt;0,1,0)</f>
        <v>0</v>
      </c>
      <c r="AT1661" s="1">
        <f>$A1661*$B1661</f>
        <v>0</v>
      </c>
      <c r="AU1661" s="1">
        <f>$A1661*$O1661</f>
        <v>0</v>
      </c>
      <c r="AV1661" s="1">
        <f>IF($R1661=0,0,INT($A1661/$R1661))</f>
        <v>0</v>
      </c>
      <c r="AW1661" s="1">
        <f>$A1661-$AV1661*$R1661</f>
        <v>0</v>
      </c>
    </row>
    <row r="1662" ht="24.95" customHeight="1" outlineLevel="3" s="1" customFormat="1">
      <c r="A1662" s="15"/>
      <c r="B1662" s="16">
        <v>790</v>
      </c>
      <c r="C1662" s="17">
        <v>1146</v>
      </c>
      <c r="D1662" s="16">
        <v>26417</v>
      </c>
      <c r="E1662" s="18"/>
      <c r="F1662" s="18" t="s">
        <v>174</v>
      </c>
      <c r="G1662" s="18" t="s">
        <v>5533</v>
      </c>
      <c r="H1662" s="18" t="s">
        <v>95</v>
      </c>
      <c r="I1662" s="18"/>
      <c r="J1662" s="16">
        <v>2024</v>
      </c>
      <c r="K1662" s="18" t="s">
        <v>5534</v>
      </c>
      <c r="L1662" s="16">
        <v>9785206000788</v>
      </c>
      <c r="M1662" s="18" t="s">
        <v>5535</v>
      </c>
      <c r="N1662" s="16">
        <v>349</v>
      </c>
      <c r="O1662" s="19">
        <v>0.54</v>
      </c>
      <c r="P1662" s="16">
        <v>150</v>
      </c>
      <c r="Q1662" s="16">
        <v>220</v>
      </c>
      <c r="R1662" s="16">
        <v>10</v>
      </c>
      <c r="S1662" s="18" t="s">
        <v>43</v>
      </c>
      <c r="T1662" s="18"/>
      <c r="U1662" s="17">
        <v>1000</v>
      </c>
      <c r="V1662" s="18" t="s">
        <v>77</v>
      </c>
      <c r="W1662" s="18" t="s">
        <v>91</v>
      </c>
      <c r="X1662" s="16">
        <v>10</v>
      </c>
      <c r="Y1662" s="43" t="str">
        <f>HYPERLINK("https://api-enni.alpina.ru/FilePrivilegesApproval/167","https://api-enni.alpina.ru/FilePrivilegesApproval/167")</f>
        <v>https://api-enni.alpina.ru/FilePrivilegesApproval/167</v>
      </c>
      <c r="Z1662" s="18"/>
      <c r="AS1662" s="1">
        <f>IF($A1662&lt;&gt;0,1,0)</f>
        <v>0</v>
      </c>
      <c r="AT1662" s="1">
        <f>$A1662*$B1662</f>
        <v>0</v>
      </c>
      <c r="AU1662" s="1">
        <f>$A1662*$O1662</f>
        <v>0</v>
      </c>
      <c r="AV1662" s="1">
        <f>IF($R1662=0,0,INT($A1662/$R1662))</f>
        <v>0</v>
      </c>
      <c r="AW1662" s="1">
        <f>$A1662-$AV1662*$R1662</f>
        <v>0</v>
      </c>
    </row>
    <row r="1663" ht="24.95" customHeight="1" outlineLevel="3" s="1" customFormat="1">
      <c r="A1663" s="25"/>
      <c r="B1663" s="26">
        <v>590</v>
      </c>
      <c r="C1663" s="26">
        <v>885</v>
      </c>
      <c r="D1663" s="26">
        <v>5960</v>
      </c>
      <c r="E1663" s="27"/>
      <c r="F1663" s="27" t="s">
        <v>476</v>
      </c>
      <c r="G1663" s="27" t="s">
        <v>477</v>
      </c>
      <c r="H1663" s="27" t="s">
        <v>95</v>
      </c>
      <c r="I1663" s="27"/>
      <c r="J1663" s="26">
        <v>2025</v>
      </c>
      <c r="K1663" s="27" t="s">
        <v>478</v>
      </c>
      <c r="L1663" s="26">
        <v>9785907274525</v>
      </c>
      <c r="M1663" s="27" t="s">
        <v>479</v>
      </c>
      <c r="N1663" s="26">
        <v>182</v>
      </c>
      <c r="O1663" s="28">
        <v>0.3</v>
      </c>
      <c r="P1663" s="26">
        <v>170</v>
      </c>
      <c r="Q1663" s="26">
        <v>240</v>
      </c>
      <c r="R1663" s="26">
        <v>20</v>
      </c>
      <c r="S1663" s="27" t="s">
        <v>123</v>
      </c>
      <c r="T1663" s="27"/>
      <c r="U1663" s="29">
        <v>1000</v>
      </c>
      <c r="V1663" s="27" t="s">
        <v>44</v>
      </c>
      <c r="W1663" s="27" t="s">
        <v>184</v>
      </c>
      <c r="X1663" s="26">
        <v>10</v>
      </c>
      <c r="Y1663" s="45" t="str">
        <f>HYPERLINK("https://api-enni.alpina.ru/FilePrivilegesApproval/142","https://api-enni.alpina.ru/FilePrivilegesApproval/142")</f>
        <v>https://api-enni.alpina.ru/FilePrivilegesApproval/142</v>
      </c>
      <c r="Z1663" s="27" t="s">
        <v>46</v>
      </c>
      <c r="AS1663" s="1">
        <f>IF($A1663&lt;&gt;0,1,0)</f>
        <v>0</v>
      </c>
      <c r="AT1663" s="1">
        <f>$A1663*$B1663</f>
        <v>0</v>
      </c>
      <c r="AU1663" s="1">
        <f>$A1663*$O1663</f>
        <v>0</v>
      </c>
      <c r="AV1663" s="1">
        <f>IF($R1663=0,0,INT($A1663/$R1663))</f>
        <v>0</v>
      </c>
      <c r="AW1663" s="1">
        <f>$A1663-$AV1663*$R1663</f>
        <v>0</v>
      </c>
    </row>
    <row r="1664" ht="24.95" customHeight="1" outlineLevel="3" s="1" customFormat="1">
      <c r="A1664" s="25"/>
      <c r="B1664" s="26">
        <v>790</v>
      </c>
      <c r="C1664" s="29">
        <v>1146</v>
      </c>
      <c r="D1664" s="26">
        <v>7727</v>
      </c>
      <c r="E1664" s="27"/>
      <c r="F1664" s="27" t="s">
        <v>5536</v>
      </c>
      <c r="G1664" s="27" t="s">
        <v>5537</v>
      </c>
      <c r="H1664" s="27" t="s">
        <v>86</v>
      </c>
      <c r="I1664" s="27"/>
      <c r="J1664" s="26">
        <v>2025</v>
      </c>
      <c r="K1664" s="27" t="s">
        <v>5538</v>
      </c>
      <c r="L1664" s="26">
        <v>9785961465617</v>
      </c>
      <c r="M1664" s="27" t="s">
        <v>5539</v>
      </c>
      <c r="N1664" s="26">
        <v>280</v>
      </c>
      <c r="O1664" s="28">
        <v>0.35</v>
      </c>
      <c r="P1664" s="26">
        <v>141</v>
      </c>
      <c r="Q1664" s="26">
        <v>210</v>
      </c>
      <c r="R1664" s="26">
        <v>10</v>
      </c>
      <c r="S1664" s="27" t="s">
        <v>43</v>
      </c>
      <c r="T1664" s="27"/>
      <c r="U1664" s="29">
        <v>1000</v>
      </c>
      <c r="V1664" s="27" t="s">
        <v>44</v>
      </c>
      <c r="W1664" s="27" t="s">
        <v>184</v>
      </c>
      <c r="X1664" s="26">
        <v>10</v>
      </c>
      <c r="Y1664" s="45" t="str">
        <f>HYPERLINK("https://api-enni.alpina.ru/FilePrivilegesApproval/2","https://api-enni.alpina.ru/FilePrivilegesApproval/2")</f>
        <v>https://api-enni.alpina.ru/FilePrivilegesApproval/2</v>
      </c>
      <c r="Z1664" s="27"/>
      <c r="AS1664" s="1">
        <f>IF($A1664&lt;&gt;0,1,0)</f>
        <v>0</v>
      </c>
      <c r="AT1664" s="1">
        <f>$A1664*$B1664</f>
        <v>0</v>
      </c>
      <c r="AU1664" s="1">
        <f>$A1664*$O1664</f>
        <v>0</v>
      </c>
      <c r="AV1664" s="1">
        <f>IF($R1664=0,0,INT($A1664/$R1664))</f>
        <v>0</v>
      </c>
      <c r="AW1664" s="1">
        <f>$A1664-$AV1664*$R1664</f>
        <v>0</v>
      </c>
    </row>
    <row r="1665" ht="24.95" customHeight="1" outlineLevel="3" s="1" customFormat="1">
      <c r="A1665" s="15"/>
      <c r="B1665" s="16">
        <v>790</v>
      </c>
      <c r="C1665" s="17">
        <v>1146</v>
      </c>
      <c r="D1665" s="16">
        <v>29462</v>
      </c>
      <c r="E1665" s="18"/>
      <c r="F1665" s="18" t="s">
        <v>5540</v>
      </c>
      <c r="G1665" s="18" t="s">
        <v>5541</v>
      </c>
      <c r="H1665" s="18" t="s">
        <v>95</v>
      </c>
      <c r="I1665" s="18"/>
      <c r="J1665" s="16">
        <v>2024</v>
      </c>
      <c r="K1665" s="18" t="s">
        <v>5542</v>
      </c>
      <c r="L1665" s="16">
        <v>9785206002744</v>
      </c>
      <c r="M1665" s="18" t="s">
        <v>5543</v>
      </c>
      <c r="N1665" s="16">
        <v>152</v>
      </c>
      <c r="O1665" s="19">
        <v>0.29</v>
      </c>
      <c r="P1665" s="16">
        <v>150</v>
      </c>
      <c r="Q1665" s="16">
        <v>220</v>
      </c>
      <c r="R1665" s="16">
        <v>10</v>
      </c>
      <c r="S1665" s="18" t="s">
        <v>43</v>
      </c>
      <c r="T1665" s="18"/>
      <c r="U1665" s="17">
        <v>1005</v>
      </c>
      <c r="V1665" s="18" t="s">
        <v>77</v>
      </c>
      <c r="W1665" s="18" t="s">
        <v>69</v>
      </c>
      <c r="X1665" s="16">
        <v>10</v>
      </c>
      <c r="Y1665" s="43" t="str">
        <f>HYPERLINK("https://api-enni.alpina.ru/FilePrivilegesApproval/357","https://api-enni.alpina.ru/FilePrivilegesApproval/357")</f>
        <v>https://api-enni.alpina.ru/FilePrivilegesApproval/357</v>
      </c>
      <c r="Z1665" s="18"/>
      <c r="AS1665" s="1">
        <f>IF($A1665&lt;&gt;0,1,0)</f>
        <v>0</v>
      </c>
      <c r="AT1665" s="1">
        <f>$A1665*$B1665</f>
        <v>0</v>
      </c>
      <c r="AU1665" s="1">
        <f>$A1665*$O1665</f>
        <v>0</v>
      </c>
      <c r="AV1665" s="1">
        <f>IF($R1665=0,0,INT($A1665/$R1665))</f>
        <v>0</v>
      </c>
      <c r="AW1665" s="1">
        <f>$A1665-$AV1665*$R1665</f>
        <v>0</v>
      </c>
    </row>
    <row r="1666" ht="24.95" customHeight="1" outlineLevel="3" s="1" customFormat="1">
      <c r="A1666" s="15"/>
      <c r="B1666" s="16">
        <v>740</v>
      </c>
      <c r="C1666" s="17">
        <v>1073</v>
      </c>
      <c r="D1666" s="16">
        <v>24555</v>
      </c>
      <c r="E1666" s="18"/>
      <c r="F1666" s="18" t="s">
        <v>1325</v>
      </c>
      <c r="G1666" s="18" t="s">
        <v>5544</v>
      </c>
      <c r="H1666" s="18" t="s">
        <v>86</v>
      </c>
      <c r="I1666" s="18" t="s">
        <v>74</v>
      </c>
      <c r="J1666" s="16">
        <v>2025</v>
      </c>
      <c r="K1666" s="18" t="s">
        <v>5545</v>
      </c>
      <c r="L1666" s="16">
        <v>9785961475777</v>
      </c>
      <c r="M1666" s="18" t="s">
        <v>5546</v>
      </c>
      <c r="N1666" s="16">
        <v>296</v>
      </c>
      <c r="O1666" s="19">
        <v>0.48</v>
      </c>
      <c r="P1666" s="16">
        <v>164</v>
      </c>
      <c r="Q1666" s="16">
        <v>235</v>
      </c>
      <c r="R1666" s="16">
        <v>8</v>
      </c>
      <c r="S1666" s="18" t="s">
        <v>123</v>
      </c>
      <c r="T1666" s="18"/>
      <c r="U1666" s="17">
        <v>3000</v>
      </c>
      <c r="V1666" s="18" t="s">
        <v>44</v>
      </c>
      <c r="W1666" s="18" t="s">
        <v>69</v>
      </c>
      <c r="X1666" s="16">
        <v>10</v>
      </c>
      <c r="Y1666" s="43" t="str">
        <f>HYPERLINK("https://api-enni.alpina.ru/FilePrivilegesApproval/128","https://api-enni.alpina.ru/FilePrivilegesApproval/128")</f>
        <v>https://api-enni.alpina.ru/FilePrivilegesApproval/128</v>
      </c>
      <c r="Z1666" s="18"/>
      <c r="AS1666" s="1">
        <f>IF($A1666&lt;&gt;0,1,0)</f>
        <v>0</v>
      </c>
      <c r="AT1666" s="1">
        <f>$A1666*$B1666</f>
        <v>0</v>
      </c>
      <c r="AU1666" s="1">
        <f>$A1666*$O1666</f>
        <v>0</v>
      </c>
      <c r="AV1666" s="1">
        <f>IF($R1666=0,0,INT($A1666/$R1666))</f>
        <v>0</v>
      </c>
      <c r="AW1666" s="1">
        <f>$A1666-$AV1666*$R1666</f>
        <v>0</v>
      </c>
    </row>
    <row r="1667" ht="24.95" customHeight="1" outlineLevel="3" s="1" customFormat="1">
      <c r="A1667" s="25"/>
      <c r="B1667" s="26">
        <v>490</v>
      </c>
      <c r="C1667" s="26">
        <v>760</v>
      </c>
      <c r="D1667" s="26">
        <v>7642</v>
      </c>
      <c r="E1667" s="27"/>
      <c r="F1667" s="27" t="s">
        <v>5547</v>
      </c>
      <c r="G1667" s="27" t="s">
        <v>5548</v>
      </c>
      <c r="H1667" s="27" t="s">
        <v>86</v>
      </c>
      <c r="I1667" s="27" t="s">
        <v>74</v>
      </c>
      <c r="J1667" s="26">
        <v>2025</v>
      </c>
      <c r="K1667" s="27" t="s">
        <v>5549</v>
      </c>
      <c r="L1667" s="26">
        <v>9785961471564</v>
      </c>
      <c r="M1667" s="27" t="s">
        <v>5550</v>
      </c>
      <c r="N1667" s="26">
        <v>122</v>
      </c>
      <c r="O1667" s="28">
        <v>0.26</v>
      </c>
      <c r="P1667" s="26">
        <v>153</v>
      </c>
      <c r="Q1667" s="26">
        <v>216</v>
      </c>
      <c r="R1667" s="26">
        <v>10</v>
      </c>
      <c r="S1667" s="27" t="s">
        <v>43</v>
      </c>
      <c r="T1667" s="27"/>
      <c r="U1667" s="29">
        <v>1000</v>
      </c>
      <c r="V1667" s="27" t="s">
        <v>77</v>
      </c>
      <c r="W1667" s="27" t="s">
        <v>184</v>
      </c>
      <c r="X1667" s="26">
        <v>10</v>
      </c>
      <c r="Y1667" s="45" t="str">
        <f>HYPERLINK("https://api-enni.alpina.ru/FilePrivilegesApproval/152","https://api-enni.alpina.ru/FilePrivilegesApproval/152")</f>
        <v>https://api-enni.alpina.ru/FilePrivilegesApproval/152</v>
      </c>
      <c r="Z1667" s="27"/>
      <c r="AS1667" s="1">
        <f>IF($A1667&lt;&gt;0,1,0)</f>
        <v>0</v>
      </c>
      <c r="AT1667" s="1">
        <f>$A1667*$B1667</f>
        <v>0</v>
      </c>
      <c r="AU1667" s="1">
        <f>$A1667*$O1667</f>
        <v>0</v>
      </c>
      <c r="AV1667" s="1">
        <f>IF($R1667=0,0,INT($A1667/$R1667))</f>
        <v>0</v>
      </c>
      <c r="AW1667" s="1">
        <f>$A1667-$AV1667*$R1667</f>
        <v>0</v>
      </c>
    </row>
    <row r="1668" ht="24.95" customHeight="1" outlineLevel="3" s="1" customFormat="1">
      <c r="A1668" s="15"/>
      <c r="B1668" s="16">
        <v>990</v>
      </c>
      <c r="C1668" s="17">
        <v>1386</v>
      </c>
      <c r="D1668" s="16">
        <v>27727</v>
      </c>
      <c r="E1668" s="18"/>
      <c r="F1668" s="18" t="s">
        <v>4353</v>
      </c>
      <c r="G1668" s="18" t="s">
        <v>5551</v>
      </c>
      <c r="H1668" s="18" t="s">
        <v>86</v>
      </c>
      <c r="I1668" s="18"/>
      <c r="J1668" s="16">
        <v>2026</v>
      </c>
      <c r="K1668" s="18" t="s">
        <v>5552</v>
      </c>
      <c r="L1668" s="16">
        <v>9785961486131</v>
      </c>
      <c r="M1668" s="18" t="s">
        <v>5553</v>
      </c>
      <c r="N1668" s="16">
        <v>484</v>
      </c>
      <c r="O1668" s="19">
        <v>0.67</v>
      </c>
      <c r="P1668" s="16">
        <v>150</v>
      </c>
      <c r="Q1668" s="16">
        <v>220</v>
      </c>
      <c r="R1668" s="16">
        <v>10</v>
      </c>
      <c r="S1668" s="18" t="s">
        <v>43</v>
      </c>
      <c r="T1668" s="18"/>
      <c r="U1668" s="17">
        <v>1000</v>
      </c>
      <c r="V1668" s="18" t="s">
        <v>77</v>
      </c>
      <c r="W1668" s="18" t="s">
        <v>91</v>
      </c>
      <c r="X1668" s="16">
        <v>10</v>
      </c>
      <c r="Y1668" s="43" t="str">
        <f>HYPERLINK("https://api-enni.alpina.ru/FilePrivilegesApproval/284","https://api-enni.alpina.ru/FilePrivilegesApproval/284")</f>
        <v>https://api-enni.alpina.ru/FilePrivilegesApproval/284</v>
      </c>
      <c r="Z1668" s="18"/>
      <c r="AS1668" s="1">
        <f>IF($A1668&lt;&gt;0,1,0)</f>
        <v>0</v>
      </c>
      <c r="AT1668" s="1">
        <f>$A1668*$B1668</f>
        <v>0</v>
      </c>
      <c r="AU1668" s="1">
        <f>$A1668*$O1668</f>
        <v>0</v>
      </c>
      <c r="AV1668" s="1">
        <f>IF($R1668=0,0,INT($A1668/$R1668))</f>
        <v>0</v>
      </c>
      <c r="AW1668" s="1">
        <f>$A1668-$AV1668*$R1668</f>
        <v>0</v>
      </c>
    </row>
    <row r="1669" ht="24.95" customHeight="1" outlineLevel="3" s="1" customFormat="1">
      <c r="A1669" s="15"/>
      <c r="B1669" s="16">
        <v>790</v>
      </c>
      <c r="C1669" s="17">
        <v>1146</v>
      </c>
      <c r="D1669" s="16">
        <v>12332</v>
      </c>
      <c r="E1669" s="18"/>
      <c r="F1669" s="18" t="s">
        <v>5554</v>
      </c>
      <c r="G1669" s="18" t="s">
        <v>5555</v>
      </c>
      <c r="H1669" s="18" t="s">
        <v>86</v>
      </c>
      <c r="I1669" s="18" t="s">
        <v>74</v>
      </c>
      <c r="J1669" s="16">
        <v>2025</v>
      </c>
      <c r="K1669" s="18" t="s">
        <v>5556</v>
      </c>
      <c r="L1669" s="16">
        <v>9785961436907</v>
      </c>
      <c r="M1669" s="18" t="s">
        <v>5557</v>
      </c>
      <c r="N1669" s="16">
        <v>190</v>
      </c>
      <c r="O1669" s="19">
        <v>0.33</v>
      </c>
      <c r="P1669" s="16">
        <v>150</v>
      </c>
      <c r="Q1669" s="16">
        <v>220</v>
      </c>
      <c r="R1669" s="16">
        <v>10</v>
      </c>
      <c r="S1669" s="18" t="s">
        <v>43</v>
      </c>
      <c r="T1669" s="18"/>
      <c r="U1669" s="17">
        <v>1000</v>
      </c>
      <c r="V1669" s="18" t="s">
        <v>77</v>
      </c>
      <c r="W1669" s="18" t="s">
        <v>184</v>
      </c>
      <c r="X1669" s="16">
        <v>10</v>
      </c>
      <c r="Y1669" s="43" t="str">
        <f>HYPERLINK("https://api-enni.alpina.ru/FilePrivilegesApproval/72","https://api-enni.alpina.ru/FilePrivilegesApproval/72")</f>
        <v>https://api-enni.alpina.ru/FilePrivilegesApproval/72</v>
      </c>
      <c r="Z1669" s="18"/>
      <c r="AS1669" s="1">
        <f>IF($A1669&lt;&gt;0,1,0)</f>
        <v>0</v>
      </c>
      <c r="AT1669" s="1">
        <f>$A1669*$B1669</f>
        <v>0</v>
      </c>
      <c r="AU1669" s="1">
        <f>$A1669*$O1669</f>
        <v>0</v>
      </c>
      <c r="AV1669" s="1">
        <f>IF($R1669=0,0,INT($A1669/$R1669))</f>
        <v>0</v>
      </c>
      <c r="AW1669" s="1">
        <f>$A1669-$AV1669*$R1669</f>
        <v>0</v>
      </c>
    </row>
    <row r="1670" ht="24.95" customHeight="1" outlineLevel="3" s="1" customFormat="1">
      <c r="A1670" s="15"/>
      <c r="B1670" s="16">
        <v>790</v>
      </c>
      <c r="C1670" s="17">
        <v>1146</v>
      </c>
      <c r="D1670" s="16">
        <v>7634</v>
      </c>
      <c r="E1670" s="18"/>
      <c r="F1670" s="18" t="s">
        <v>5558</v>
      </c>
      <c r="G1670" s="18" t="s">
        <v>5559</v>
      </c>
      <c r="H1670" s="18" t="s">
        <v>86</v>
      </c>
      <c r="I1670" s="18" t="s">
        <v>74</v>
      </c>
      <c r="J1670" s="16">
        <v>2025</v>
      </c>
      <c r="K1670" s="18" t="s">
        <v>5560</v>
      </c>
      <c r="L1670" s="16">
        <v>9785961469417</v>
      </c>
      <c r="M1670" s="18" t="s">
        <v>5561</v>
      </c>
      <c r="N1670" s="16">
        <v>288</v>
      </c>
      <c r="O1670" s="19">
        <v>0.45</v>
      </c>
      <c r="P1670" s="16">
        <v>150</v>
      </c>
      <c r="Q1670" s="16">
        <v>220</v>
      </c>
      <c r="R1670" s="16">
        <v>12</v>
      </c>
      <c r="S1670" s="18" t="s">
        <v>43</v>
      </c>
      <c r="T1670" s="18"/>
      <c r="U1670" s="17">
        <v>5000</v>
      </c>
      <c r="V1670" s="18" t="s">
        <v>77</v>
      </c>
      <c r="W1670" s="18" t="s">
        <v>69</v>
      </c>
      <c r="X1670" s="16">
        <v>10</v>
      </c>
      <c r="Y1670" s="43" t="str">
        <f>HYPERLINK("https://api-enni.alpina.ru/FilePrivilegesApproval/2","https://api-enni.alpina.ru/FilePrivilegesApproval/2")</f>
        <v>https://api-enni.alpina.ru/FilePrivilegesApproval/2</v>
      </c>
      <c r="Z1670" s="18"/>
      <c r="AS1670" s="1">
        <f>IF($A1670&lt;&gt;0,1,0)</f>
        <v>0</v>
      </c>
      <c r="AT1670" s="1">
        <f>$A1670*$B1670</f>
        <v>0</v>
      </c>
      <c r="AU1670" s="1">
        <f>$A1670*$O1670</f>
        <v>0</v>
      </c>
      <c r="AV1670" s="1">
        <f>IF($R1670=0,0,INT($A1670/$R1670))</f>
        <v>0</v>
      </c>
      <c r="AW1670" s="1">
        <f>$A1670-$AV1670*$R1670</f>
        <v>0</v>
      </c>
    </row>
    <row r="1671" ht="24.95" customHeight="1" outlineLevel="3" s="1" customFormat="1">
      <c r="A1671" s="15"/>
      <c r="B1671" s="16">
        <v>890</v>
      </c>
      <c r="C1671" s="17">
        <v>1246</v>
      </c>
      <c r="D1671" s="16">
        <v>34297</v>
      </c>
      <c r="E1671" s="18"/>
      <c r="F1671" s="18" t="s">
        <v>5449</v>
      </c>
      <c r="G1671" s="18" t="s">
        <v>5562</v>
      </c>
      <c r="H1671" s="18" t="s">
        <v>86</v>
      </c>
      <c r="I1671" s="18"/>
      <c r="J1671" s="16">
        <v>2026</v>
      </c>
      <c r="K1671" s="18" t="s">
        <v>5563</v>
      </c>
      <c r="L1671" s="16">
        <v>9785006307117</v>
      </c>
      <c r="M1671" s="18" t="s">
        <v>5564</v>
      </c>
      <c r="N1671" s="16">
        <v>512</v>
      </c>
      <c r="O1671" s="19">
        <v>0.71</v>
      </c>
      <c r="P1671" s="16">
        <v>150</v>
      </c>
      <c r="Q1671" s="16">
        <v>220</v>
      </c>
      <c r="R1671" s="16">
        <v>8</v>
      </c>
      <c r="S1671" s="18" t="s">
        <v>43</v>
      </c>
      <c r="T1671" s="18"/>
      <c r="U1671" s="17">
        <v>1500</v>
      </c>
      <c r="V1671" s="18" t="s">
        <v>77</v>
      </c>
      <c r="W1671" s="18" t="s">
        <v>91</v>
      </c>
      <c r="X1671" s="16">
        <v>10</v>
      </c>
      <c r="Y1671" s="43" t="str">
        <f>HYPERLINK("https://api-enni.alpina.ru/FilePrivilegesApproval/986","https://api-enni.alpina.ru/FilePrivilegesApproval/986")</f>
        <v>https://api-enni.alpina.ru/FilePrivilegesApproval/986</v>
      </c>
      <c r="Z1671" s="18"/>
      <c r="AS1671" s="1">
        <f>IF($A1671&lt;&gt;0,1,0)</f>
        <v>0</v>
      </c>
      <c r="AT1671" s="1">
        <f>$A1671*$B1671</f>
        <v>0</v>
      </c>
      <c r="AU1671" s="1">
        <f>$A1671*$O1671</f>
        <v>0</v>
      </c>
      <c r="AV1671" s="1">
        <f>IF($R1671=0,0,INT($A1671/$R1671))</f>
        <v>0</v>
      </c>
      <c r="AW1671" s="1">
        <f>$A1671-$AV1671*$R1671</f>
        <v>0</v>
      </c>
    </row>
    <row r="1672" ht="24.95" customHeight="1" outlineLevel="3" s="1" customFormat="1">
      <c r="A1672" s="15"/>
      <c r="B1672" s="16">
        <v>490</v>
      </c>
      <c r="C1672" s="16">
        <v>760</v>
      </c>
      <c r="D1672" s="16">
        <v>37279</v>
      </c>
      <c r="E1672" s="18"/>
      <c r="F1672" s="18" t="s">
        <v>256</v>
      </c>
      <c r="G1672" s="18" t="s">
        <v>264</v>
      </c>
      <c r="H1672" s="18" t="s">
        <v>86</v>
      </c>
      <c r="I1672" s="18"/>
      <c r="J1672" s="16">
        <v>2026</v>
      </c>
      <c r="K1672" s="18" t="s">
        <v>265</v>
      </c>
      <c r="L1672" s="16">
        <v>9785006319714</v>
      </c>
      <c r="M1672" s="18" t="s">
        <v>266</v>
      </c>
      <c r="N1672" s="16">
        <v>256</v>
      </c>
      <c r="O1672" s="19">
        <v>0.27</v>
      </c>
      <c r="P1672" s="16">
        <v>130</v>
      </c>
      <c r="Q1672" s="16">
        <v>200</v>
      </c>
      <c r="R1672" s="16">
        <v>18</v>
      </c>
      <c r="S1672" s="18" t="s">
        <v>90</v>
      </c>
      <c r="T1672" s="18" t="s">
        <v>260</v>
      </c>
      <c r="U1672" s="17">
        <v>5000</v>
      </c>
      <c r="V1672" s="18" t="s">
        <v>44</v>
      </c>
      <c r="W1672" s="18" t="s">
        <v>91</v>
      </c>
      <c r="X1672" s="16">
        <v>10</v>
      </c>
      <c r="Y1672" s="43" t="str">
        <f>HYPERLINK("https://api-enni.alpina.ru/FilePrivilegesApproval/1189","https://api-enni.alpina.ru/FilePrivilegesApproval/1189")</f>
        <v>https://api-enni.alpina.ru/FilePrivilegesApproval/1189</v>
      </c>
      <c r="Z1672" s="18" t="s">
        <v>267</v>
      </c>
      <c r="AS1672" s="1">
        <f>IF($A1672&lt;&gt;0,1,0)</f>
        <v>0</v>
      </c>
      <c r="AT1672" s="1">
        <f>$A1672*$B1672</f>
        <v>0</v>
      </c>
      <c r="AU1672" s="1">
        <f>$A1672*$O1672</f>
        <v>0</v>
      </c>
      <c r="AV1672" s="1">
        <f>IF($R1672=0,0,INT($A1672/$R1672))</f>
        <v>0</v>
      </c>
      <c r="AW1672" s="1">
        <f>$A1672-$AV1672*$R1672</f>
        <v>0</v>
      </c>
    </row>
    <row r="1673" ht="24.95" customHeight="1" outlineLevel="3" s="1" customFormat="1">
      <c r="A1673" s="15"/>
      <c r="B1673" s="16">
        <v>590</v>
      </c>
      <c r="C1673" s="16">
        <v>885</v>
      </c>
      <c r="D1673" s="16">
        <v>22963</v>
      </c>
      <c r="E1673" s="18"/>
      <c r="F1673" s="18" t="s">
        <v>5565</v>
      </c>
      <c r="G1673" s="18" t="s">
        <v>5566</v>
      </c>
      <c r="H1673" s="18" t="s">
        <v>86</v>
      </c>
      <c r="I1673" s="18"/>
      <c r="J1673" s="16">
        <v>2025</v>
      </c>
      <c r="K1673" s="18" t="s">
        <v>5567</v>
      </c>
      <c r="L1673" s="16">
        <v>9785961467918</v>
      </c>
      <c r="M1673" s="18" t="s">
        <v>5568</v>
      </c>
      <c r="N1673" s="16">
        <v>228</v>
      </c>
      <c r="O1673" s="19">
        <v>0.38</v>
      </c>
      <c r="P1673" s="16">
        <v>153</v>
      </c>
      <c r="Q1673" s="16">
        <v>216</v>
      </c>
      <c r="R1673" s="16">
        <v>10</v>
      </c>
      <c r="S1673" s="18" t="s">
        <v>43</v>
      </c>
      <c r="T1673" s="18"/>
      <c r="U1673" s="17">
        <v>1000</v>
      </c>
      <c r="V1673" s="18" t="s">
        <v>77</v>
      </c>
      <c r="W1673" s="18" t="s">
        <v>184</v>
      </c>
      <c r="X1673" s="16">
        <v>10</v>
      </c>
      <c r="Y1673" s="43" t="str">
        <f>HYPERLINK("https://api-enni.alpina.ru/FilePrivilegesApproval/135","https://api-enni.alpina.ru/FilePrivilegesApproval/135")</f>
        <v>https://api-enni.alpina.ru/FilePrivilegesApproval/135</v>
      </c>
      <c r="Z1673" s="18"/>
      <c r="AS1673" s="1">
        <f>IF($A1673&lt;&gt;0,1,0)</f>
        <v>0</v>
      </c>
      <c r="AT1673" s="1">
        <f>$A1673*$B1673</f>
        <v>0</v>
      </c>
      <c r="AU1673" s="1">
        <f>$A1673*$O1673</f>
        <v>0</v>
      </c>
      <c r="AV1673" s="1">
        <f>IF($R1673=0,0,INT($A1673/$R1673))</f>
        <v>0</v>
      </c>
      <c r="AW1673" s="1">
        <f>$A1673-$AV1673*$R1673</f>
        <v>0</v>
      </c>
    </row>
    <row r="1674" ht="24.95" customHeight="1" outlineLevel="3" s="1" customFormat="1">
      <c r="A1674" s="15"/>
      <c r="B1674" s="16">
        <v>690</v>
      </c>
      <c r="C1674" s="17">
        <v>1035</v>
      </c>
      <c r="D1674" s="16">
        <v>27855</v>
      </c>
      <c r="E1674" s="18"/>
      <c r="F1674" s="18" t="s">
        <v>5569</v>
      </c>
      <c r="G1674" s="18" t="s">
        <v>5570</v>
      </c>
      <c r="H1674" s="18" t="s">
        <v>86</v>
      </c>
      <c r="I1674" s="18"/>
      <c r="J1674" s="16">
        <v>2025</v>
      </c>
      <c r="K1674" s="18" t="s">
        <v>5571</v>
      </c>
      <c r="L1674" s="16">
        <v>9785961486582</v>
      </c>
      <c r="M1674" s="18" t="s">
        <v>5572</v>
      </c>
      <c r="N1674" s="16">
        <v>354</v>
      </c>
      <c r="O1674" s="19">
        <v>0.43</v>
      </c>
      <c r="P1674" s="16">
        <v>140</v>
      </c>
      <c r="Q1674" s="16">
        <v>210</v>
      </c>
      <c r="R1674" s="16">
        <v>12</v>
      </c>
      <c r="S1674" s="18" t="s">
        <v>43</v>
      </c>
      <c r="T1674" s="18"/>
      <c r="U1674" s="17">
        <v>3000</v>
      </c>
      <c r="V1674" s="18" t="s">
        <v>44</v>
      </c>
      <c r="W1674" s="18" t="s">
        <v>69</v>
      </c>
      <c r="X1674" s="16">
        <v>10</v>
      </c>
      <c r="Y1674" s="43" t="str">
        <f>HYPERLINK("https://api-enni.alpina.ru/FilePrivilegesApproval/284","https://api-enni.alpina.ru/FilePrivilegesApproval/284")</f>
        <v>https://api-enni.alpina.ru/FilePrivilegesApproval/284</v>
      </c>
      <c r="Z1674" s="18"/>
      <c r="AS1674" s="1">
        <f>IF($A1674&lt;&gt;0,1,0)</f>
        <v>0</v>
      </c>
      <c r="AT1674" s="1">
        <f>$A1674*$B1674</f>
        <v>0</v>
      </c>
      <c r="AU1674" s="1">
        <f>$A1674*$O1674</f>
        <v>0</v>
      </c>
      <c r="AV1674" s="1">
        <f>IF($R1674=0,0,INT($A1674/$R1674))</f>
        <v>0</v>
      </c>
      <c r="AW1674" s="1">
        <f>$A1674-$AV1674*$R1674</f>
        <v>0</v>
      </c>
    </row>
    <row r="1675" ht="24.95" customHeight="1" outlineLevel="3" s="1" customFormat="1">
      <c r="A1675" s="15"/>
      <c r="B1675" s="16">
        <v>790</v>
      </c>
      <c r="C1675" s="17">
        <v>1146</v>
      </c>
      <c r="D1675" s="16">
        <v>36129</v>
      </c>
      <c r="E1675" s="18"/>
      <c r="F1675" s="18" t="s">
        <v>5573</v>
      </c>
      <c r="G1675" s="18" t="s">
        <v>5574</v>
      </c>
      <c r="H1675" s="18" t="s">
        <v>95</v>
      </c>
      <c r="I1675" s="18"/>
      <c r="J1675" s="16">
        <v>2026</v>
      </c>
      <c r="K1675" s="18" t="s">
        <v>5575</v>
      </c>
      <c r="L1675" s="16">
        <v>9785206006353</v>
      </c>
      <c r="M1675" s="18" t="s">
        <v>5576</v>
      </c>
      <c r="N1675" s="16">
        <v>176</v>
      </c>
      <c r="O1675" s="19">
        <v>0.31</v>
      </c>
      <c r="P1675" s="16">
        <v>150</v>
      </c>
      <c r="Q1675" s="16">
        <v>220</v>
      </c>
      <c r="R1675" s="16">
        <v>10</v>
      </c>
      <c r="S1675" s="18" t="s">
        <v>43</v>
      </c>
      <c r="T1675" s="18"/>
      <c r="U1675" s="17">
        <v>1000</v>
      </c>
      <c r="V1675" s="18" t="s">
        <v>77</v>
      </c>
      <c r="W1675" s="18" t="s">
        <v>69</v>
      </c>
      <c r="X1675" s="16">
        <v>10</v>
      </c>
      <c r="Y1675" s="43" t="str">
        <f>HYPERLINK("https://api-enni.alpina.ru/FilePrivilegesApproval/1181","https://api-enni.alpina.ru/FilePrivilegesApproval/1181")</f>
        <v>https://api-enni.alpina.ru/FilePrivilegesApproval/1181</v>
      </c>
      <c r="Z1675" s="18"/>
      <c r="AS1675" s="1">
        <f>IF($A1675&lt;&gt;0,1,0)</f>
        <v>0</v>
      </c>
      <c r="AT1675" s="1">
        <f>$A1675*$B1675</f>
        <v>0</v>
      </c>
      <c r="AU1675" s="1">
        <f>$A1675*$O1675</f>
        <v>0</v>
      </c>
      <c r="AV1675" s="1">
        <f>IF($R1675=0,0,INT($A1675/$R1675))</f>
        <v>0</v>
      </c>
      <c r="AW1675" s="1">
        <f>$A1675-$AV1675*$R1675</f>
        <v>0</v>
      </c>
    </row>
    <row r="1676" ht="24.95" customHeight="1" outlineLevel="3" s="1" customFormat="1">
      <c r="A1676" s="15"/>
      <c r="B1676" s="16">
        <v>690</v>
      </c>
      <c r="C1676" s="17">
        <v>1035</v>
      </c>
      <c r="D1676" s="16">
        <v>23769</v>
      </c>
      <c r="E1676" s="18"/>
      <c r="F1676" s="18" t="s">
        <v>5577</v>
      </c>
      <c r="G1676" s="18" t="s">
        <v>5578</v>
      </c>
      <c r="H1676" s="18" t="s">
        <v>95</v>
      </c>
      <c r="I1676" s="18"/>
      <c r="J1676" s="16">
        <v>2024</v>
      </c>
      <c r="K1676" s="18" t="s">
        <v>5579</v>
      </c>
      <c r="L1676" s="16">
        <v>9785206000030</v>
      </c>
      <c r="M1676" s="18" t="s">
        <v>5580</v>
      </c>
      <c r="N1676" s="16">
        <v>159</v>
      </c>
      <c r="O1676" s="19">
        <v>0.35</v>
      </c>
      <c r="P1676" s="16">
        <v>150</v>
      </c>
      <c r="Q1676" s="16">
        <v>220</v>
      </c>
      <c r="R1676" s="16">
        <v>10</v>
      </c>
      <c r="S1676" s="18" t="s">
        <v>43</v>
      </c>
      <c r="T1676" s="18"/>
      <c r="U1676" s="17">
        <v>1000</v>
      </c>
      <c r="V1676" s="18" t="s">
        <v>77</v>
      </c>
      <c r="W1676" s="18" t="s">
        <v>91</v>
      </c>
      <c r="X1676" s="16">
        <v>10</v>
      </c>
      <c r="Y1676" s="43" t="str">
        <f>HYPERLINK("https://api-enni.alpina.ru/FilePrivilegesApproval/155","https://api-enni.alpina.ru/FilePrivilegesApproval/155")</f>
        <v>https://api-enni.alpina.ru/FilePrivilegesApproval/155</v>
      </c>
      <c r="Z1676" s="18" t="s">
        <v>744</v>
      </c>
      <c r="AS1676" s="1">
        <f>IF($A1676&lt;&gt;0,1,0)</f>
        <v>0</v>
      </c>
      <c r="AT1676" s="1">
        <f>$A1676*$B1676</f>
        <v>0</v>
      </c>
      <c r="AU1676" s="1">
        <f>$A1676*$O1676</f>
        <v>0</v>
      </c>
      <c r="AV1676" s="1">
        <f>IF($R1676=0,0,INT($A1676/$R1676))</f>
        <v>0</v>
      </c>
      <c r="AW1676" s="1">
        <f>$A1676-$AV1676*$R1676</f>
        <v>0</v>
      </c>
    </row>
    <row r="1677" ht="24.95" customHeight="1" outlineLevel="3" s="1" customFormat="1">
      <c r="A1677" s="25"/>
      <c r="B1677" s="26">
        <v>790</v>
      </c>
      <c r="C1677" s="29">
        <v>1146</v>
      </c>
      <c r="D1677" s="26">
        <v>29538</v>
      </c>
      <c r="E1677" s="27"/>
      <c r="F1677" s="27" t="s">
        <v>654</v>
      </c>
      <c r="G1677" s="27" t="s">
        <v>5581</v>
      </c>
      <c r="H1677" s="27" t="s">
        <v>86</v>
      </c>
      <c r="I1677" s="27"/>
      <c r="J1677" s="26">
        <v>2025</v>
      </c>
      <c r="K1677" s="27" t="s">
        <v>5582</v>
      </c>
      <c r="L1677" s="26">
        <v>9785961493719</v>
      </c>
      <c r="M1677" s="27" t="s">
        <v>5583</v>
      </c>
      <c r="N1677" s="26">
        <v>278</v>
      </c>
      <c r="O1677" s="28">
        <v>0.43</v>
      </c>
      <c r="P1677" s="26">
        <v>150</v>
      </c>
      <c r="Q1677" s="26">
        <v>220</v>
      </c>
      <c r="R1677" s="26">
        <v>5</v>
      </c>
      <c r="S1677" s="27" t="s">
        <v>43</v>
      </c>
      <c r="T1677" s="27"/>
      <c r="U1677" s="29">
        <v>1000</v>
      </c>
      <c r="V1677" s="27" t="s">
        <v>77</v>
      </c>
      <c r="W1677" s="27" t="s">
        <v>184</v>
      </c>
      <c r="X1677" s="26">
        <v>10</v>
      </c>
      <c r="Y1677" s="45" t="str">
        <f>HYPERLINK("https://api-enni.alpina.ru/FilePrivilegesApproval/121","https://api-enni.alpina.ru/FilePrivilegesApproval/121")</f>
        <v>https://api-enni.alpina.ru/FilePrivilegesApproval/121</v>
      </c>
      <c r="Z1677" s="27"/>
      <c r="AS1677" s="1">
        <f>IF($A1677&lt;&gt;0,1,0)</f>
        <v>0</v>
      </c>
      <c r="AT1677" s="1">
        <f>$A1677*$B1677</f>
        <v>0</v>
      </c>
      <c r="AU1677" s="1">
        <f>$A1677*$O1677</f>
        <v>0</v>
      </c>
      <c r="AV1677" s="1">
        <f>IF($R1677=0,0,INT($A1677/$R1677))</f>
        <v>0</v>
      </c>
      <c r="AW1677" s="1">
        <f>$A1677-$AV1677*$R1677</f>
        <v>0</v>
      </c>
    </row>
    <row r="1678" ht="24.95" customHeight="1" outlineLevel="3" s="1" customFormat="1">
      <c r="A1678" s="15"/>
      <c r="B1678" s="16">
        <v>740</v>
      </c>
      <c r="C1678" s="17">
        <v>1073</v>
      </c>
      <c r="D1678" s="16">
        <v>21217</v>
      </c>
      <c r="E1678" s="18"/>
      <c r="F1678" s="18" t="s">
        <v>5584</v>
      </c>
      <c r="G1678" s="18" t="s">
        <v>5585</v>
      </c>
      <c r="H1678" s="18" t="s">
        <v>86</v>
      </c>
      <c r="I1678" s="18" t="s">
        <v>74</v>
      </c>
      <c r="J1678" s="16">
        <v>2025</v>
      </c>
      <c r="K1678" s="18" t="s">
        <v>5586</v>
      </c>
      <c r="L1678" s="16">
        <v>9785907394650</v>
      </c>
      <c r="M1678" s="18" t="s">
        <v>5587</v>
      </c>
      <c r="N1678" s="16">
        <v>300</v>
      </c>
      <c r="O1678" s="19">
        <v>0.47</v>
      </c>
      <c r="P1678" s="16">
        <v>170</v>
      </c>
      <c r="Q1678" s="16">
        <v>240</v>
      </c>
      <c r="R1678" s="16">
        <v>7</v>
      </c>
      <c r="S1678" s="18" t="s">
        <v>43</v>
      </c>
      <c r="T1678" s="18"/>
      <c r="U1678" s="17">
        <v>1000</v>
      </c>
      <c r="V1678" s="18" t="s">
        <v>77</v>
      </c>
      <c r="W1678" s="18" t="s">
        <v>91</v>
      </c>
      <c r="X1678" s="16">
        <v>10</v>
      </c>
      <c r="Y1678" s="43" t="str">
        <f>HYPERLINK("https://api-enni.alpina.ru/FilePrivilegesApproval/155","https://api-enni.alpina.ru/FilePrivilegesApproval/155")</f>
        <v>https://api-enni.alpina.ru/FilePrivilegesApproval/155</v>
      </c>
      <c r="Z1678" s="18"/>
      <c r="AS1678" s="1">
        <f>IF($A1678&lt;&gt;0,1,0)</f>
        <v>0</v>
      </c>
      <c r="AT1678" s="1">
        <f>$A1678*$B1678</f>
        <v>0</v>
      </c>
      <c r="AU1678" s="1">
        <f>$A1678*$O1678</f>
        <v>0</v>
      </c>
      <c r="AV1678" s="1">
        <f>IF($R1678=0,0,INT($A1678/$R1678))</f>
        <v>0</v>
      </c>
      <c r="AW1678" s="1">
        <f>$A1678-$AV1678*$R1678</f>
        <v>0</v>
      </c>
    </row>
    <row r="1679" ht="24.95" customHeight="1" outlineLevel="3" s="1" customFormat="1">
      <c r="A1679" s="15"/>
      <c r="B1679" s="16">
        <v>790</v>
      </c>
      <c r="C1679" s="17">
        <v>1146</v>
      </c>
      <c r="D1679" s="16">
        <v>31928</v>
      </c>
      <c r="E1679" s="18"/>
      <c r="F1679" s="18" t="s">
        <v>5569</v>
      </c>
      <c r="G1679" s="18" t="s">
        <v>5588</v>
      </c>
      <c r="H1679" s="18" t="s">
        <v>86</v>
      </c>
      <c r="I1679" s="18"/>
      <c r="J1679" s="16">
        <v>2026</v>
      </c>
      <c r="K1679" s="18" t="s">
        <v>5589</v>
      </c>
      <c r="L1679" s="16">
        <v>9785006300613</v>
      </c>
      <c r="M1679" s="18" t="s">
        <v>5590</v>
      </c>
      <c r="N1679" s="16">
        <v>402</v>
      </c>
      <c r="O1679" s="19">
        <v>0.49</v>
      </c>
      <c r="P1679" s="16">
        <v>150</v>
      </c>
      <c r="Q1679" s="16">
        <v>210</v>
      </c>
      <c r="R1679" s="16">
        <v>10</v>
      </c>
      <c r="S1679" s="18" t="s">
        <v>43</v>
      </c>
      <c r="T1679" s="18"/>
      <c r="U1679" s="17">
        <v>3000</v>
      </c>
      <c r="V1679" s="18" t="s">
        <v>44</v>
      </c>
      <c r="W1679" s="18" t="s">
        <v>69</v>
      </c>
      <c r="X1679" s="16">
        <v>10</v>
      </c>
      <c r="Y1679" s="43" t="str">
        <f>HYPERLINK("https://api-enni.alpina.ru/FilePrivilegesApproval/724","https://api-enni.alpina.ru/FilePrivilegesApproval/724")</f>
        <v>https://api-enni.alpina.ru/FilePrivilegesApproval/724</v>
      </c>
      <c r="Z1679" s="18" t="s">
        <v>144</v>
      </c>
      <c r="AS1679" s="1">
        <f>IF($A1679&lt;&gt;0,1,0)</f>
        <v>0</v>
      </c>
      <c r="AT1679" s="1">
        <f>$A1679*$B1679</f>
        <v>0</v>
      </c>
      <c r="AU1679" s="1">
        <f>$A1679*$O1679</f>
        <v>0</v>
      </c>
      <c r="AV1679" s="1">
        <f>IF($R1679=0,0,INT($A1679/$R1679))</f>
        <v>0</v>
      </c>
      <c r="AW1679" s="1">
        <f>$A1679-$AV1679*$R1679</f>
        <v>0</v>
      </c>
    </row>
    <row r="1680" ht="24.95" customHeight="1" outlineLevel="3" s="1" customFormat="1">
      <c r="A1680" s="25"/>
      <c r="B1680" s="26">
        <v>740</v>
      </c>
      <c r="C1680" s="29">
        <v>1073</v>
      </c>
      <c r="D1680" s="26">
        <v>24601</v>
      </c>
      <c r="E1680" s="27"/>
      <c r="F1680" s="27" t="s">
        <v>5591</v>
      </c>
      <c r="G1680" s="27" t="s">
        <v>5592</v>
      </c>
      <c r="H1680" s="27" t="s">
        <v>95</v>
      </c>
      <c r="I1680" s="27"/>
      <c r="J1680" s="26">
        <v>2025</v>
      </c>
      <c r="K1680" s="27" t="s">
        <v>5593</v>
      </c>
      <c r="L1680" s="26">
        <v>9785907534117</v>
      </c>
      <c r="M1680" s="27" t="s">
        <v>5594</v>
      </c>
      <c r="N1680" s="26">
        <v>188</v>
      </c>
      <c r="O1680" s="28">
        <v>0.43</v>
      </c>
      <c r="P1680" s="26">
        <v>180</v>
      </c>
      <c r="Q1680" s="26">
        <v>250</v>
      </c>
      <c r="R1680" s="26">
        <v>20</v>
      </c>
      <c r="S1680" s="27" t="s">
        <v>123</v>
      </c>
      <c r="T1680" s="27"/>
      <c r="U1680" s="29">
        <v>1000</v>
      </c>
      <c r="V1680" s="27" t="s">
        <v>77</v>
      </c>
      <c r="W1680" s="27" t="s">
        <v>91</v>
      </c>
      <c r="X1680" s="26">
        <v>10</v>
      </c>
      <c r="Y1680" s="45" t="str">
        <f>HYPERLINK("https://api-enni.alpina.ru/FilePrivilegesApproval/129","https://api-enni.alpina.ru/FilePrivilegesApproval/129")</f>
        <v>https://api-enni.alpina.ru/FilePrivilegesApproval/129</v>
      </c>
      <c r="Z1680" s="27" t="s">
        <v>5595</v>
      </c>
      <c r="AS1680" s="1">
        <f>IF($A1680&lt;&gt;0,1,0)</f>
        <v>0</v>
      </c>
      <c r="AT1680" s="1">
        <f>$A1680*$B1680</f>
        <v>0</v>
      </c>
      <c r="AU1680" s="1">
        <f>$A1680*$O1680</f>
        <v>0</v>
      </c>
      <c r="AV1680" s="1">
        <f>IF($R1680=0,0,INT($A1680/$R1680))</f>
        <v>0</v>
      </c>
      <c r="AW1680" s="1">
        <f>$A1680-$AV1680*$R1680</f>
        <v>0</v>
      </c>
    </row>
    <row r="1681" ht="21.95" customHeight="1" outlineLevel="3" s="1" customFormat="1">
      <c r="A1681" s="15"/>
      <c r="B1681" s="16">
        <v>390</v>
      </c>
      <c r="C1681" s="16">
        <v>624</v>
      </c>
      <c r="D1681" s="16">
        <v>11148</v>
      </c>
      <c r="E1681" s="18"/>
      <c r="F1681" s="18" t="s">
        <v>5596</v>
      </c>
      <c r="G1681" s="18" t="s">
        <v>5597</v>
      </c>
      <c r="H1681" s="18" t="s">
        <v>95</v>
      </c>
      <c r="I1681" s="18"/>
      <c r="J1681" s="16">
        <v>2018</v>
      </c>
      <c r="K1681" s="18" t="s">
        <v>5598</v>
      </c>
      <c r="L1681" s="16">
        <v>9785950096280</v>
      </c>
      <c r="M1681" s="18" t="s">
        <v>5599</v>
      </c>
      <c r="N1681" s="16">
        <v>56</v>
      </c>
      <c r="O1681" s="19">
        <v>0.12</v>
      </c>
      <c r="P1681" s="16">
        <v>163</v>
      </c>
      <c r="Q1681" s="16">
        <v>235</v>
      </c>
      <c r="R1681" s="16">
        <v>20</v>
      </c>
      <c r="S1681" s="18" t="s">
        <v>123</v>
      </c>
      <c r="T1681" s="18"/>
      <c r="U1681" s="17">
        <v>1500</v>
      </c>
      <c r="V1681" s="18" t="s">
        <v>44</v>
      </c>
      <c r="W1681" s="18" t="s">
        <v>184</v>
      </c>
      <c r="X1681" s="16">
        <v>10</v>
      </c>
      <c r="Y1681" s="43" t="str">
        <f>HYPERLINK("","")</f>
      </c>
      <c r="Z1681" s="18"/>
      <c r="AS1681" s="1">
        <f>IF($A1681&lt;&gt;0,1,0)</f>
        <v>0</v>
      </c>
      <c r="AT1681" s="1">
        <f>$A1681*$B1681</f>
        <v>0</v>
      </c>
      <c r="AU1681" s="1">
        <f>$A1681*$O1681</f>
        <v>0</v>
      </c>
      <c r="AV1681" s="1">
        <f>IF($R1681=0,0,INT($A1681/$R1681))</f>
        <v>0</v>
      </c>
      <c r="AW1681" s="1">
        <f>$A1681-$AV1681*$R1681</f>
        <v>0</v>
      </c>
    </row>
    <row r="1682" ht="24.95" customHeight="1" outlineLevel="3" s="1" customFormat="1">
      <c r="A1682" s="15"/>
      <c r="B1682" s="16">
        <v>690</v>
      </c>
      <c r="C1682" s="17">
        <v>1035</v>
      </c>
      <c r="D1682" s="16">
        <v>5653</v>
      </c>
      <c r="E1682" s="18"/>
      <c r="F1682" s="18" t="s">
        <v>5569</v>
      </c>
      <c r="G1682" s="18" t="s">
        <v>5600</v>
      </c>
      <c r="H1682" s="18" t="s">
        <v>86</v>
      </c>
      <c r="I1682" s="18"/>
      <c r="J1682" s="16">
        <v>2026</v>
      </c>
      <c r="K1682" s="18" t="s">
        <v>5601</v>
      </c>
      <c r="L1682" s="16">
        <v>9785961469226</v>
      </c>
      <c r="M1682" s="18" t="s">
        <v>5602</v>
      </c>
      <c r="N1682" s="16">
        <v>230</v>
      </c>
      <c r="O1682" s="19">
        <v>0.49</v>
      </c>
      <c r="P1682" s="16">
        <v>160</v>
      </c>
      <c r="Q1682" s="16">
        <v>220</v>
      </c>
      <c r="R1682" s="16">
        <v>10</v>
      </c>
      <c r="S1682" s="18" t="s">
        <v>43</v>
      </c>
      <c r="T1682" s="18"/>
      <c r="U1682" s="17">
        <v>1000</v>
      </c>
      <c r="V1682" s="18" t="s">
        <v>77</v>
      </c>
      <c r="W1682" s="18" t="s">
        <v>184</v>
      </c>
      <c r="X1682" s="16">
        <v>10</v>
      </c>
      <c r="Y1682" s="43" t="str">
        <f>HYPERLINK("https://api-enni.alpina.ru/FilePrivilegesApproval/152","https://api-enni.alpina.ru/FilePrivilegesApproval/152")</f>
        <v>https://api-enni.alpina.ru/FilePrivilegesApproval/152</v>
      </c>
      <c r="Z1682" s="18"/>
      <c r="AS1682" s="1">
        <f>IF($A1682&lt;&gt;0,1,0)</f>
        <v>0</v>
      </c>
      <c r="AT1682" s="1">
        <f>$A1682*$B1682</f>
        <v>0</v>
      </c>
      <c r="AU1682" s="1">
        <f>$A1682*$O1682</f>
        <v>0</v>
      </c>
      <c r="AV1682" s="1">
        <f>IF($R1682=0,0,INT($A1682/$R1682))</f>
        <v>0</v>
      </c>
      <c r="AW1682" s="1">
        <f>$A1682-$AV1682*$R1682</f>
        <v>0</v>
      </c>
    </row>
    <row r="1683" ht="24.95" customHeight="1" outlineLevel="3" s="1" customFormat="1">
      <c r="A1683" s="25"/>
      <c r="B1683" s="26">
        <v>840</v>
      </c>
      <c r="C1683" s="29">
        <v>1218</v>
      </c>
      <c r="D1683" s="26">
        <v>23456</v>
      </c>
      <c r="E1683" s="27"/>
      <c r="F1683" s="27" t="s">
        <v>5603</v>
      </c>
      <c r="G1683" s="27" t="s">
        <v>5604</v>
      </c>
      <c r="H1683" s="27" t="s">
        <v>86</v>
      </c>
      <c r="I1683" s="27" t="s">
        <v>74</v>
      </c>
      <c r="J1683" s="26">
        <v>2024</v>
      </c>
      <c r="K1683" s="27" t="s">
        <v>5605</v>
      </c>
      <c r="L1683" s="26">
        <v>9785206000269</v>
      </c>
      <c r="M1683" s="27" t="s">
        <v>5606</v>
      </c>
      <c r="N1683" s="26">
        <v>389</v>
      </c>
      <c r="O1683" s="28">
        <v>0.75</v>
      </c>
      <c r="P1683" s="26">
        <v>170</v>
      </c>
      <c r="Q1683" s="26">
        <v>250</v>
      </c>
      <c r="R1683" s="26">
        <v>5</v>
      </c>
      <c r="S1683" s="27" t="s">
        <v>123</v>
      </c>
      <c r="T1683" s="27"/>
      <c r="U1683" s="29">
        <v>1000</v>
      </c>
      <c r="V1683" s="27" t="s">
        <v>77</v>
      </c>
      <c r="W1683" s="27" t="s">
        <v>184</v>
      </c>
      <c r="X1683" s="26">
        <v>10</v>
      </c>
      <c r="Y1683" s="45" t="str">
        <f>HYPERLINK("https://api-enni.alpina.ru/FilePrivilegesApproval/168","https://api-enni.alpina.ru/FilePrivilegesApproval/168")</f>
        <v>https://api-enni.alpina.ru/FilePrivilegesApproval/168</v>
      </c>
      <c r="Z1683" s="27"/>
      <c r="AS1683" s="1">
        <f>IF($A1683&lt;&gt;0,1,0)</f>
        <v>0</v>
      </c>
      <c r="AT1683" s="1">
        <f>$A1683*$B1683</f>
        <v>0</v>
      </c>
      <c r="AU1683" s="1">
        <f>$A1683*$O1683</f>
        <v>0</v>
      </c>
      <c r="AV1683" s="1">
        <f>IF($R1683=0,0,INT($A1683/$R1683))</f>
        <v>0</v>
      </c>
      <c r="AW1683" s="1">
        <f>$A1683-$AV1683*$R1683</f>
        <v>0</v>
      </c>
    </row>
    <row r="1684" ht="24.95" customHeight="1" outlineLevel="3" s="1" customFormat="1">
      <c r="A1684" s="15"/>
      <c r="B1684" s="16">
        <v>940</v>
      </c>
      <c r="C1684" s="17">
        <v>1316</v>
      </c>
      <c r="D1684" s="16">
        <v>31308</v>
      </c>
      <c r="E1684" s="18"/>
      <c r="F1684" s="18" t="s">
        <v>5607</v>
      </c>
      <c r="G1684" s="18" t="s">
        <v>5608</v>
      </c>
      <c r="H1684" s="18" t="s">
        <v>95</v>
      </c>
      <c r="I1684" s="18"/>
      <c r="J1684" s="16">
        <v>2024</v>
      </c>
      <c r="K1684" s="18" t="s">
        <v>5609</v>
      </c>
      <c r="L1684" s="16">
        <v>9785206003635</v>
      </c>
      <c r="M1684" s="18" t="s">
        <v>5610</v>
      </c>
      <c r="N1684" s="16">
        <v>352</v>
      </c>
      <c r="O1684" s="19">
        <v>0.52</v>
      </c>
      <c r="P1684" s="16">
        <v>150</v>
      </c>
      <c r="Q1684" s="16">
        <v>220</v>
      </c>
      <c r="R1684" s="16">
        <v>5</v>
      </c>
      <c r="S1684" s="18" t="s">
        <v>43</v>
      </c>
      <c r="T1684" s="18"/>
      <c r="U1684" s="17">
        <v>2005</v>
      </c>
      <c r="V1684" s="18" t="s">
        <v>77</v>
      </c>
      <c r="W1684" s="18" t="s">
        <v>69</v>
      </c>
      <c r="X1684" s="16">
        <v>10</v>
      </c>
      <c r="Y1684" s="43" t="str">
        <f>HYPERLINK("https://api-enni.alpina.ru/FilePrivilegesApproval/708","https://api-enni.alpina.ru/FilePrivilegesApproval/708")</f>
        <v>https://api-enni.alpina.ru/FilePrivilegesApproval/708</v>
      </c>
      <c r="Z1684" s="18"/>
      <c r="AS1684" s="1">
        <f>IF($A1684&lt;&gt;0,1,0)</f>
        <v>0</v>
      </c>
      <c r="AT1684" s="1">
        <f>$A1684*$B1684</f>
        <v>0</v>
      </c>
      <c r="AU1684" s="1">
        <f>$A1684*$O1684</f>
        <v>0</v>
      </c>
      <c r="AV1684" s="1">
        <f>IF($R1684=0,0,INT($A1684/$R1684))</f>
        <v>0</v>
      </c>
      <c r="AW1684" s="1">
        <f>$A1684-$AV1684*$R1684</f>
        <v>0</v>
      </c>
    </row>
    <row r="1685" ht="24.95" customHeight="1" outlineLevel="3" s="1" customFormat="1">
      <c r="A1685" s="15"/>
      <c r="B1685" s="16">
        <v>990</v>
      </c>
      <c r="C1685" s="17">
        <v>1386</v>
      </c>
      <c r="D1685" s="16">
        <v>32924</v>
      </c>
      <c r="E1685" s="18"/>
      <c r="F1685" s="18" t="s">
        <v>174</v>
      </c>
      <c r="G1685" s="18" t="s">
        <v>5611</v>
      </c>
      <c r="H1685" s="18" t="s">
        <v>95</v>
      </c>
      <c r="I1685" s="18"/>
      <c r="J1685" s="16">
        <v>2025</v>
      </c>
      <c r="K1685" s="18" t="s">
        <v>5612</v>
      </c>
      <c r="L1685" s="16">
        <v>9785206004441</v>
      </c>
      <c r="M1685" s="18" t="s">
        <v>5613</v>
      </c>
      <c r="N1685" s="16">
        <v>342</v>
      </c>
      <c r="O1685" s="19">
        <v>0.51</v>
      </c>
      <c r="P1685" s="16">
        <v>150</v>
      </c>
      <c r="Q1685" s="16">
        <v>220</v>
      </c>
      <c r="R1685" s="16">
        <v>5</v>
      </c>
      <c r="S1685" s="18" t="s">
        <v>43</v>
      </c>
      <c r="T1685" s="18"/>
      <c r="U1685" s="17">
        <v>1500</v>
      </c>
      <c r="V1685" s="18" t="s">
        <v>77</v>
      </c>
      <c r="W1685" s="18" t="s">
        <v>91</v>
      </c>
      <c r="X1685" s="16">
        <v>10</v>
      </c>
      <c r="Y1685" s="43" t="str">
        <f>HYPERLINK("https://api-enni.alpina.ru/FilePrivilegesApproval/863","https://api-enni.alpina.ru/FilePrivilegesApproval/863")</f>
        <v>https://api-enni.alpina.ru/FilePrivilegesApproval/863</v>
      </c>
      <c r="Z1685" s="18"/>
      <c r="AS1685" s="1">
        <f>IF($A1685&lt;&gt;0,1,0)</f>
        <v>0</v>
      </c>
      <c r="AT1685" s="1">
        <f>$A1685*$B1685</f>
        <v>0</v>
      </c>
      <c r="AU1685" s="1">
        <f>$A1685*$O1685</f>
        <v>0</v>
      </c>
      <c r="AV1685" s="1">
        <f>IF($R1685=0,0,INT($A1685/$R1685))</f>
        <v>0</v>
      </c>
      <c r="AW1685" s="1">
        <f>$A1685-$AV1685*$R1685</f>
        <v>0</v>
      </c>
    </row>
    <row r="1686" ht="24.95" customHeight="1" outlineLevel="3" s="1" customFormat="1">
      <c r="A1686" s="25"/>
      <c r="B1686" s="26">
        <v>690</v>
      </c>
      <c r="C1686" s="29">
        <v>1035</v>
      </c>
      <c r="D1686" s="26">
        <v>20849</v>
      </c>
      <c r="E1686" s="27"/>
      <c r="F1686" s="27" t="s">
        <v>5614</v>
      </c>
      <c r="G1686" s="27" t="s">
        <v>5615</v>
      </c>
      <c r="H1686" s="27" t="s">
        <v>95</v>
      </c>
      <c r="I1686" s="27"/>
      <c r="J1686" s="26">
        <v>2024</v>
      </c>
      <c r="K1686" s="27" t="s">
        <v>5616</v>
      </c>
      <c r="L1686" s="26">
        <v>9785907470132</v>
      </c>
      <c r="M1686" s="27" t="s">
        <v>5617</v>
      </c>
      <c r="N1686" s="26">
        <v>240</v>
      </c>
      <c r="O1686" s="28">
        <v>0.4</v>
      </c>
      <c r="P1686" s="26">
        <v>150</v>
      </c>
      <c r="Q1686" s="26">
        <v>220</v>
      </c>
      <c r="R1686" s="26">
        <v>10</v>
      </c>
      <c r="S1686" s="27" t="s">
        <v>43</v>
      </c>
      <c r="T1686" s="27"/>
      <c r="U1686" s="29">
        <v>1000</v>
      </c>
      <c r="V1686" s="27" t="s">
        <v>77</v>
      </c>
      <c r="W1686" s="27" t="s">
        <v>91</v>
      </c>
      <c r="X1686" s="26">
        <v>10</v>
      </c>
      <c r="Y1686" s="45" t="str">
        <f>HYPERLINK("https://api-enni.alpina.ru/FilePrivilegesApproval/120","https://api-enni.alpina.ru/FilePrivilegesApproval/120")</f>
        <v>https://api-enni.alpina.ru/FilePrivilegesApproval/120</v>
      </c>
      <c r="Z1686" s="27"/>
      <c r="AS1686" s="1">
        <f>IF($A1686&lt;&gt;0,1,0)</f>
        <v>0</v>
      </c>
      <c r="AT1686" s="1">
        <f>$A1686*$B1686</f>
        <v>0</v>
      </c>
      <c r="AU1686" s="1">
        <f>$A1686*$O1686</f>
        <v>0</v>
      </c>
      <c r="AV1686" s="1">
        <f>IF($R1686=0,0,INT($A1686/$R1686))</f>
        <v>0</v>
      </c>
      <c r="AW1686" s="1">
        <f>$A1686-$AV1686*$R1686</f>
        <v>0</v>
      </c>
    </row>
    <row r="1687" ht="24.95" customHeight="1" outlineLevel="3" s="1" customFormat="1">
      <c r="A1687" s="25"/>
      <c r="B1687" s="26">
        <v>790</v>
      </c>
      <c r="C1687" s="29">
        <v>1146</v>
      </c>
      <c r="D1687" s="26">
        <v>28636</v>
      </c>
      <c r="E1687" s="27"/>
      <c r="F1687" s="27" t="s">
        <v>5618</v>
      </c>
      <c r="G1687" s="27" t="s">
        <v>5619</v>
      </c>
      <c r="H1687" s="27" t="s">
        <v>86</v>
      </c>
      <c r="I1687" s="27"/>
      <c r="J1687" s="26">
        <v>2025</v>
      </c>
      <c r="K1687" s="27" t="s">
        <v>5620</v>
      </c>
      <c r="L1687" s="26">
        <v>9785961489569</v>
      </c>
      <c r="M1687" s="27" t="s">
        <v>5621</v>
      </c>
      <c r="N1687" s="26">
        <v>144</v>
      </c>
      <c r="O1687" s="28">
        <v>0.24</v>
      </c>
      <c r="P1687" s="26">
        <v>140</v>
      </c>
      <c r="Q1687" s="26">
        <v>210</v>
      </c>
      <c r="R1687" s="26">
        <v>10</v>
      </c>
      <c r="S1687" s="27" t="s">
        <v>90</v>
      </c>
      <c r="T1687" s="27"/>
      <c r="U1687" s="29">
        <v>1000</v>
      </c>
      <c r="V1687" s="27" t="s">
        <v>77</v>
      </c>
      <c r="W1687" s="27" t="s">
        <v>184</v>
      </c>
      <c r="X1687" s="26">
        <v>10</v>
      </c>
      <c r="Y1687" s="45" t="str">
        <f>HYPERLINK("https://api-enni.alpina.ru/FilePrivilegesApproval/124","https://api-enni.alpina.ru/FilePrivilegesApproval/124")</f>
        <v>https://api-enni.alpina.ru/FilePrivilegesApproval/124</v>
      </c>
      <c r="Z1687" s="27"/>
      <c r="AS1687" s="1">
        <f>IF($A1687&lt;&gt;0,1,0)</f>
        <v>0</v>
      </c>
      <c r="AT1687" s="1">
        <f>$A1687*$B1687</f>
        <v>0</v>
      </c>
      <c r="AU1687" s="1">
        <f>$A1687*$O1687</f>
        <v>0</v>
      </c>
      <c r="AV1687" s="1">
        <f>IF($R1687=0,0,INT($A1687/$R1687))</f>
        <v>0</v>
      </c>
      <c r="AW1687" s="1">
        <f>$A1687-$AV1687*$R1687</f>
        <v>0</v>
      </c>
    </row>
    <row r="1688" ht="24.95" customHeight="1" outlineLevel="3" s="1" customFormat="1">
      <c r="A1688" s="15"/>
      <c r="B1688" s="16">
        <v>940</v>
      </c>
      <c r="C1688" s="17">
        <v>1316</v>
      </c>
      <c r="D1688" s="16">
        <v>25557</v>
      </c>
      <c r="E1688" s="18"/>
      <c r="F1688" s="18" t="s">
        <v>5622</v>
      </c>
      <c r="G1688" s="18" t="s">
        <v>5623</v>
      </c>
      <c r="H1688" s="18" t="s">
        <v>95</v>
      </c>
      <c r="I1688" s="18" t="s">
        <v>74</v>
      </c>
      <c r="J1688" s="16">
        <v>2025</v>
      </c>
      <c r="K1688" s="18" t="s">
        <v>5624</v>
      </c>
      <c r="L1688" s="16">
        <v>9785206000023</v>
      </c>
      <c r="M1688" s="18" t="s">
        <v>5625</v>
      </c>
      <c r="N1688" s="16">
        <v>366</v>
      </c>
      <c r="O1688" s="19">
        <v>0.7</v>
      </c>
      <c r="P1688" s="16">
        <v>170</v>
      </c>
      <c r="Q1688" s="16">
        <v>250</v>
      </c>
      <c r="R1688" s="16">
        <v>5</v>
      </c>
      <c r="S1688" s="18" t="s">
        <v>123</v>
      </c>
      <c r="T1688" s="18"/>
      <c r="U1688" s="17">
        <v>1000</v>
      </c>
      <c r="V1688" s="18" t="s">
        <v>77</v>
      </c>
      <c r="W1688" s="18" t="s">
        <v>91</v>
      </c>
      <c r="X1688" s="16">
        <v>10</v>
      </c>
      <c r="Y1688" s="43" t="str">
        <f>HYPERLINK("https://api-enni.alpina.ru/FilePrivilegesApproval/139","https://api-enni.alpina.ru/FilePrivilegesApproval/139")</f>
        <v>https://api-enni.alpina.ru/FilePrivilegesApproval/139</v>
      </c>
      <c r="Z1688" s="18"/>
      <c r="AS1688" s="1">
        <f>IF($A1688&lt;&gt;0,1,0)</f>
        <v>0</v>
      </c>
      <c r="AT1688" s="1">
        <f>$A1688*$B1688</f>
        <v>0</v>
      </c>
      <c r="AU1688" s="1">
        <f>$A1688*$O1688</f>
        <v>0</v>
      </c>
      <c r="AV1688" s="1">
        <f>IF($R1688=0,0,INT($A1688/$R1688))</f>
        <v>0</v>
      </c>
      <c r="AW1688" s="1">
        <f>$A1688-$AV1688*$R1688</f>
        <v>0</v>
      </c>
    </row>
    <row r="1689" ht="24.95" customHeight="1" outlineLevel="3" s="1" customFormat="1">
      <c r="A1689" s="15"/>
      <c r="B1689" s="16">
        <v>990</v>
      </c>
      <c r="C1689" s="17">
        <v>1386</v>
      </c>
      <c r="D1689" s="16">
        <v>5284</v>
      </c>
      <c r="E1689" s="18"/>
      <c r="F1689" s="18" t="s">
        <v>5591</v>
      </c>
      <c r="G1689" s="18" t="s">
        <v>5626</v>
      </c>
      <c r="H1689" s="18" t="s">
        <v>95</v>
      </c>
      <c r="I1689" s="18"/>
      <c r="J1689" s="16">
        <v>2024</v>
      </c>
      <c r="K1689" s="18" t="s">
        <v>5627</v>
      </c>
      <c r="L1689" s="16">
        <v>9785907394148</v>
      </c>
      <c r="M1689" s="18" t="s">
        <v>5628</v>
      </c>
      <c r="N1689" s="16">
        <v>300</v>
      </c>
      <c r="O1689" s="19">
        <v>0.59</v>
      </c>
      <c r="P1689" s="16">
        <v>171</v>
      </c>
      <c r="Q1689" s="16">
        <v>241</v>
      </c>
      <c r="R1689" s="16">
        <v>10</v>
      </c>
      <c r="S1689" s="18" t="s">
        <v>123</v>
      </c>
      <c r="T1689" s="18"/>
      <c r="U1689" s="17">
        <v>1000</v>
      </c>
      <c r="V1689" s="18" t="s">
        <v>77</v>
      </c>
      <c r="W1689" s="18" t="s">
        <v>184</v>
      </c>
      <c r="X1689" s="16">
        <v>10</v>
      </c>
      <c r="Y1689" s="43" t="str">
        <f>HYPERLINK("https://api-enni.alpina.ru/FilePrivilegesApproval/2","https://api-enni.alpina.ru/FilePrivilegesApproval/2")</f>
        <v>https://api-enni.alpina.ru/FilePrivilegesApproval/2</v>
      </c>
      <c r="Z1689" s="18" t="s">
        <v>5629</v>
      </c>
      <c r="AS1689" s="1">
        <f>IF($A1689&lt;&gt;0,1,0)</f>
        <v>0</v>
      </c>
      <c r="AT1689" s="1">
        <f>$A1689*$B1689</f>
        <v>0</v>
      </c>
      <c r="AU1689" s="1">
        <f>$A1689*$O1689</f>
        <v>0</v>
      </c>
      <c r="AV1689" s="1">
        <f>IF($R1689=0,0,INT($A1689/$R1689))</f>
        <v>0</v>
      </c>
      <c r="AW1689" s="1">
        <f>$A1689-$AV1689*$R1689</f>
        <v>0</v>
      </c>
    </row>
    <row r="1690" ht="24.95" customHeight="1" outlineLevel="3" s="1" customFormat="1">
      <c r="A1690" s="25"/>
      <c r="B1690" s="26">
        <v>990</v>
      </c>
      <c r="C1690" s="29">
        <v>1386</v>
      </c>
      <c r="D1690" s="26">
        <v>32477</v>
      </c>
      <c r="E1690" s="27"/>
      <c r="F1690" s="27" t="s">
        <v>5449</v>
      </c>
      <c r="G1690" s="27" t="s">
        <v>5630</v>
      </c>
      <c r="H1690" s="27" t="s">
        <v>86</v>
      </c>
      <c r="I1690" s="27"/>
      <c r="J1690" s="26">
        <v>2026</v>
      </c>
      <c r="K1690" s="27" t="s">
        <v>5631</v>
      </c>
      <c r="L1690" s="26">
        <v>9785006302334</v>
      </c>
      <c r="M1690" s="27" t="s">
        <v>5632</v>
      </c>
      <c r="N1690" s="26">
        <v>336</v>
      </c>
      <c r="O1690" s="28">
        <v>0.66</v>
      </c>
      <c r="P1690" s="26">
        <v>170</v>
      </c>
      <c r="Q1690" s="26">
        <v>240</v>
      </c>
      <c r="R1690" s="26">
        <v>10</v>
      </c>
      <c r="S1690" s="27" t="s">
        <v>123</v>
      </c>
      <c r="T1690" s="27"/>
      <c r="U1690" s="29">
        <v>1000</v>
      </c>
      <c r="V1690" s="27" t="s">
        <v>77</v>
      </c>
      <c r="W1690" s="27" t="s">
        <v>184</v>
      </c>
      <c r="X1690" s="26">
        <v>10</v>
      </c>
      <c r="Y1690" s="45" t="str">
        <f>HYPERLINK("https://api-enni.alpina.ru/FilePrivilegesApproval/55","https://api-enni.alpina.ru/FilePrivilegesApproval/55")</f>
        <v>https://api-enni.alpina.ru/FilePrivilegesApproval/55</v>
      </c>
      <c r="Z1690" s="27" t="s">
        <v>629</v>
      </c>
      <c r="AS1690" s="1">
        <f>IF($A1690&lt;&gt;0,1,0)</f>
        <v>0</v>
      </c>
      <c r="AT1690" s="1">
        <f>$A1690*$B1690</f>
        <v>0</v>
      </c>
      <c r="AU1690" s="1">
        <f>$A1690*$O1690</f>
        <v>0</v>
      </c>
      <c r="AV1690" s="1">
        <f>IF($R1690=0,0,INT($A1690/$R1690))</f>
        <v>0</v>
      </c>
      <c r="AW1690" s="1">
        <f>$A1690-$AV1690*$R1690</f>
        <v>0</v>
      </c>
    </row>
    <row r="1691" ht="11.1" customHeight="1" outlineLevel="2">
      <c r="A1691" s="41" t="s">
        <v>5633</v>
      </c>
      <c r="B1691" s="41"/>
      <c r="C1691" s="41"/>
      <c r="D1691" s="41"/>
      <c r="E1691" s="41"/>
      <c r="F1691" s="41"/>
      <c r="G1691" s="41"/>
      <c r="H1691" s="41"/>
      <c r="I1691" s="41"/>
      <c r="J1691" s="41"/>
      <c r="K1691" s="41"/>
      <c r="L1691" s="41"/>
      <c r="M1691" s="41"/>
      <c r="N1691" s="41"/>
      <c r="O1691" s="41"/>
      <c r="P1691" s="41"/>
      <c r="Q1691" s="41"/>
      <c r="R1691" s="41"/>
      <c r="S1691" s="41"/>
      <c r="T1691" s="41"/>
      <c r="U1691" s="41"/>
      <c r="V1691" s="41"/>
      <c r="W1691" s="41"/>
      <c r="X1691" s="41"/>
      <c r="Y1691" s="41"/>
      <c r="Z1691" s="24"/>
    </row>
    <row r="1692" ht="24.95" customHeight="1" outlineLevel="3" s="1" customFormat="1">
      <c r="A1692" s="15"/>
      <c r="B1692" s="16">
        <v>530</v>
      </c>
      <c r="C1692" s="16">
        <v>822</v>
      </c>
      <c r="D1692" s="16">
        <v>17210</v>
      </c>
      <c r="E1692" s="18"/>
      <c r="F1692" s="18" t="s">
        <v>4728</v>
      </c>
      <c r="G1692" s="18" t="s">
        <v>5634</v>
      </c>
      <c r="H1692" s="18" t="s">
        <v>95</v>
      </c>
      <c r="I1692" s="18"/>
      <c r="J1692" s="16">
        <v>2020</v>
      </c>
      <c r="K1692" s="18" t="s">
        <v>5635</v>
      </c>
      <c r="L1692" s="16">
        <v>9785907274174</v>
      </c>
      <c r="M1692" s="18" t="s">
        <v>5636</v>
      </c>
      <c r="N1692" s="16">
        <v>472</v>
      </c>
      <c r="O1692" s="19">
        <v>0.57</v>
      </c>
      <c r="P1692" s="16">
        <v>141</v>
      </c>
      <c r="Q1692" s="16">
        <v>210</v>
      </c>
      <c r="R1692" s="16">
        <v>8</v>
      </c>
      <c r="S1692" s="18" t="s">
        <v>43</v>
      </c>
      <c r="T1692" s="18" t="s">
        <v>944</v>
      </c>
      <c r="U1692" s="17">
        <v>2000</v>
      </c>
      <c r="V1692" s="18" t="s">
        <v>44</v>
      </c>
      <c r="W1692" s="18" t="s">
        <v>184</v>
      </c>
      <c r="X1692" s="16">
        <v>10</v>
      </c>
      <c r="Y1692" s="43" t="str">
        <f>HYPERLINK("https://api-enni.alpina.ru/FilePrivilegesApproval/36","https://api-enni.alpina.ru/FilePrivilegesApproval/36")</f>
        <v>https://api-enni.alpina.ru/FilePrivilegesApproval/36</v>
      </c>
      <c r="Z1692" s="18"/>
      <c r="AS1692" s="1">
        <f>IF($A1692&lt;&gt;0,1,0)</f>
        <v>0</v>
      </c>
      <c r="AT1692" s="1">
        <f>$A1692*$B1692</f>
        <v>0</v>
      </c>
      <c r="AU1692" s="1">
        <f>$A1692*$O1692</f>
        <v>0</v>
      </c>
      <c r="AV1692" s="1">
        <f>IF($R1692=0,0,INT($A1692/$R1692))</f>
        <v>0</v>
      </c>
      <c r="AW1692" s="1">
        <f>$A1692-$AV1692*$R1692</f>
        <v>0</v>
      </c>
    </row>
    <row r="1693" ht="24.95" customHeight="1" outlineLevel="3" s="1" customFormat="1">
      <c r="A1693" s="15"/>
      <c r="B1693" s="16">
        <v>590</v>
      </c>
      <c r="C1693" s="16">
        <v>885</v>
      </c>
      <c r="D1693" s="16">
        <v>28799</v>
      </c>
      <c r="E1693" s="18"/>
      <c r="F1693" s="18" t="s">
        <v>5637</v>
      </c>
      <c r="G1693" s="18" t="s">
        <v>5638</v>
      </c>
      <c r="H1693" s="18" t="s">
        <v>86</v>
      </c>
      <c r="I1693" s="18" t="s">
        <v>74</v>
      </c>
      <c r="J1693" s="16">
        <v>2025</v>
      </c>
      <c r="K1693" s="18" t="s">
        <v>5639</v>
      </c>
      <c r="L1693" s="16">
        <v>9785961490107</v>
      </c>
      <c r="M1693" s="18" t="s">
        <v>5640</v>
      </c>
      <c r="N1693" s="16">
        <v>256</v>
      </c>
      <c r="O1693" s="19">
        <v>0.32</v>
      </c>
      <c r="P1693" s="16">
        <v>140</v>
      </c>
      <c r="Q1693" s="16">
        <v>210</v>
      </c>
      <c r="R1693" s="16">
        <v>20</v>
      </c>
      <c r="S1693" s="18" t="s">
        <v>43</v>
      </c>
      <c r="T1693" s="18"/>
      <c r="U1693" s="17">
        <v>1000</v>
      </c>
      <c r="V1693" s="18" t="s">
        <v>44</v>
      </c>
      <c r="W1693" s="18" t="s">
        <v>184</v>
      </c>
      <c r="X1693" s="16">
        <v>10</v>
      </c>
      <c r="Y1693" s="43" t="str">
        <f>HYPERLINK("https://api-enni.alpina.ru/FilePrivilegesApproval/132","https://api-enni.alpina.ru/FilePrivilegesApproval/132")</f>
        <v>https://api-enni.alpina.ru/FilePrivilegesApproval/132</v>
      </c>
      <c r="Z1693" s="18"/>
      <c r="AS1693" s="1">
        <f>IF($A1693&lt;&gt;0,1,0)</f>
        <v>0</v>
      </c>
      <c r="AT1693" s="1">
        <f>$A1693*$B1693</f>
        <v>0</v>
      </c>
      <c r="AU1693" s="1">
        <f>$A1693*$O1693</f>
        <v>0</v>
      </c>
      <c r="AV1693" s="1">
        <f>IF($R1693=0,0,INT($A1693/$R1693))</f>
        <v>0</v>
      </c>
      <c r="AW1693" s="1">
        <f>$A1693-$AV1693*$R1693</f>
        <v>0</v>
      </c>
    </row>
    <row r="1694" ht="24.95" customHeight="1" outlineLevel="3" s="1" customFormat="1">
      <c r="A1694" s="15"/>
      <c r="B1694" s="16">
        <v>540</v>
      </c>
      <c r="C1694" s="16">
        <v>837</v>
      </c>
      <c r="D1694" s="16">
        <v>29975</v>
      </c>
      <c r="E1694" s="18"/>
      <c r="F1694" s="18" t="s">
        <v>5367</v>
      </c>
      <c r="G1694" s="18" t="s">
        <v>5641</v>
      </c>
      <c r="H1694" s="18" t="s">
        <v>86</v>
      </c>
      <c r="I1694" s="18"/>
      <c r="J1694" s="16">
        <v>2025</v>
      </c>
      <c r="K1694" s="18" t="s">
        <v>5642</v>
      </c>
      <c r="L1694" s="16">
        <v>9785961494440</v>
      </c>
      <c r="M1694" s="18" t="s">
        <v>5643</v>
      </c>
      <c r="N1694" s="16">
        <v>272</v>
      </c>
      <c r="O1694" s="19">
        <v>0.29</v>
      </c>
      <c r="P1694" s="16">
        <v>130</v>
      </c>
      <c r="Q1694" s="16">
        <v>200</v>
      </c>
      <c r="R1694" s="16">
        <v>15</v>
      </c>
      <c r="S1694" s="18" t="s">
        <v>90</v>
      </c>
      <c r="T1694" s="18"/>
      <c r="U1694" s="17">
        <v>1000</v>
      </c>
      <c r="V1694" s="18" t="s">
        <v>44</v>
      </c>
      <c r="W1694" s="18" t="s">
        <v>69</v>
      </c>
      <c r="X1694" s="16">
        <v>10</v>
      </c>
      <c r="Y1694" s="43" t="str">
        <f>HYPERLINK("https://api-enni.alpina.ru/FilePrivilegesApproval/25","https://api-enni.alpina.ru/FilePrivilegesApproval/25")</f>
        <v>https://api-enni.alpina.ru/FilePrivilegesApproval/25</v>
      </c>
      <c r="Z1694" s="18"/>
      <c r="AS1694" s="1">
        <f>IF($A1694&lt;&gt;0,1,0)</f>
        <v>0</v>
      </c>
      <c r="AT1694" s="1">
        <f>$A1694*$B1694</f>
        <v>0</v>
      </c>
      <c r="AU1694" s="1">
        <f>$A1694*$O1694</f>
        <v>0</v>
      </c>
      <c r="AV1694" s="1">
        <f>IF($R1694=0,0,INT($A1694/$R1694))</f>
        <v>0</v>
      </c>
      <c r="AW1694" s="1">
        <f>$A1694-$AV1694*$R1694</f>
        <v>0</v>
      </c>
    </row>
    <row r="1695" ht="24.95" customHeight="1" outlineLevel="3" s="1" customFormat="1">
      <c r="A1695" s="15"/>
      <c r="B1695" s="16">
        <v>390</v>
      </c>
      <c r="C1695" s="16">
        <v>624</v>
      </c>
      <c r="D1695" s="16">
        <v>29087</v>
      </c>
      <c r="E1695" s="18"/>
      <c r="F1695" s="18" t="s">
        <v>5189</v>
      </c>
      <c r="G1695" s="18" t="s">
        <v>5644</v>
      </c>
      <c r="H1695" s="18" t="s">
        <v>86</v>
      </c>
      <c r="I1695" s="18" t="s">
        <v>74</v>
      </c>
      <c r="J1695" s="16">
        <v>2025</v>
      </c>
      <c r="K1695" s="18" t="s">
        <v>5645</v>
      </c>
      <c r="L1695" s="16">
        <v>9785961491388</v>
      </c>
      <c r="M1695" s="18" t="s">
        <v>5646</v>
      </c>
      <c r="N1695" s="16">
        <v>336</v>
      </c>
      <c r="O1695" s="19">
        <v>0.22</v>
      </c>
      <c r="P1695" s="16">
        <v>120</v>
      </c>
      <c r="Q1695" s="16">
        <v>170</v>
      </c>
      <c r="R1695" s="16">
        <v>10</v>
      </c>
      <c r="S1695" s="18" t="s">
        <v>190</v>
      </c>
      <c r="T1695" s="18" t="s">
        <v>451</v>
      </c>
      <c r="U1695" s="17">
        <v>2000</v>
      </c>
      <c r="V1695" s="18" t="s">
        <v>44</v>
      </c>
      <c r="W1695" s="18" t="s">
        <v>184</v>
      </c>
      <c r="X1695" s="16">
        <v>10</v>
      </c>
      <c r="Y1695" s="43" t="str">
        <f>HYPERLINK("https://api-enni.alpina.ru/FilePrivilegesApproval/315","https://api-enni.alpina.ru/FilePrivilegesApproval/315")</f>
        <v>https://api-enni.alpina.ru/FilePrivilegesApproval/315</v>
      </c>
      <c r="Z1695" s="18"/>
      <c r="AS1695" s="1">
        <f>IF($A1695&lt;&gt;0,1,0)</f>
        <v>0</v>
      </c>
      <c r="AT1695" s="1">
        <f>$A1695*$B1695</f>
        <v>0</v>
      </c>
      <c r="AU1695" s="1">
        <f>$A1695*$O1695</f>
        <v>0</v>
      </c>
      <c r="AV1695" s="1">
        <f>IF($R1695=0,0,INT($A1695/$R1695))</f>
        <v>0</v>
      </c>
      <c r="AW1695" s="1">
        <f>$A1695-$AV1695*$R1695</f>
        <v>0</v>
      </c>
    </row>
    <row r="1696" ht="24.95" customHeight="1" outlineLevel="3" s="1" customFormat="1">
      <c r="A1696" s="15"/>
      <c r="B1696" s="16">
        <v>540</v>
      </c>
      <c r="C1696" s="16">
        <v>837</v>
      </c>
      <c r="D1696" s="16">
        <v>6976</v>
      </c>
      <c r="E1696" s="18"/>
      <c r="F1696" s="18" t="s">
        <v>5189</v>
      </c>
      <c r="G1696" s="18" t="s">
        <v>5647</v>
      </c>
      <c r="H1696" s="18" t="s">
        <v>86</v>
      </c>
      <c r="I1696" s="18" t="s">
        <v>74</v>
      </c>
      <c r="J1696" s="16">
        <v>2025</v>
      </c>
      <c r="K1696" s="18" t="s">
        <v>5648</v>
      </c>
      <c r="L1696" s="16">
        <v>9785961461046</v>
      </c>
      <c r="M1696" s="18" t="s">
        <v>5649</v>
      </c>
      <c r="N1696" s="16">
        <v>240</v>
      </c>
      <c r="O1696" s="19">
        <v>0.52</v>
      </c>
      <c r="P1696" s="16">
        <v>171</v>
      </c>
      <c r="Q1696" s="16">
        <v>241</v>
      </c>
      <c r="R1696" s="16">
        <v>8</v>
      </c>
      <c r="S1696" s="18" t="s">
        <v>123</v>
      </c>
      <c r="T1696" s="18"/>
      <c r="U1696" s="17">
        <v>3000</v>
      </c>
      <c r="V1696" s="18" t="s">
        <v>77</v>
      </c>
      <c r="W1696" s="18" t="s">
        <v>184</v>
      </c>
      <c r="X1696" s="16">
        <v>10</v>
      </c>
      <c r="Y1696" s="43" t="str">
        <f>HYPERLINK("https://api-enni.alpina.ru/FilePrivilegesApproval/2","https://api-enni.alpina.ru/FilePrivilegesApproval/2")</f>
        <v>https://api-enni.alpina.ru/FilePrivilegesApproval/2</v>
      </c>
      <c r="Z1696" s="18"/>
      <c r="AS1696" s="1">
        <f>IF($A1696&lt;&gt;0,1,0)</f>
        <v>0</v>
      </c>
      <c r="AT1696" s="1">
        <f>$A1696*$B1696</f>
        <v>0</v>
      </c>
      <c r="AU1696" s="1">
        <f>$A1696*$O1696</f>
        <v>0</v>
      </c>
      <c r="AV1696" s="1">
        <f>IF($R1696=0,0,INT($A1696/$R1696))</f>
        <v>0</v>
      </c>
      <c r="AW1696" s="1">
        <f>$A1696-$AV1696*$R1696</f>
        <v>0</v>
      </c>
    </row>
    <row r="1697" ht="24.95" customHeight="1" outlineLevel="3" s="1" customFormat="1">
      <c r="A1697" s="25"/>
      <c r="B1697" s="26">
        <v>390</v>
      </c>
      <c r="C1697" s="26">
        <v>624</v>
      </c>
      <c r="D1697" s="26">
        <v>12755</v>
      </c>
      <c r="E1697" s="27"/>
      <c r="F1697" s="27" t="s">
        <v>5650</v>
      </c>
      <c r="G1697" s="27" t="s">
        <v>5651</v>
      </c>
      <c r="H1697" s="27" t="s">
        <v>86</v>
      </c>
      <c r="I1697" s="27" t="s">
        <v>74</v>
      </c>
      <c r="J1697" s="26">
        <v>2019</v>
      </c>
      <c r="K1697" s="27" t="s">
        <v>5652</v>
      </c>
      <c r="L1697" s="26">
        <v>9785961427127</v>
      </c>
      <c r="M1697" s="27" t="s">
        <v>5653</v>
      </c>
      <c r="N1697" s="26">
        <v>280</v>
      </c>
      <c r="O1697" s="28">
        <v>0.34</v>
      </c>
      <c r="P1697" s="26">
        <v>141</v>
      </c>
      <c r="Q1697" s="26">
        <v>210</v>
      </c>
      <c r="R1697" s="26">
        <v>16</v>
      </c>
      <c r="S1697" s="27" t="s">
        <v>43</v>
      </c>
      <c r="T1697" s="27" t="s">
        <v>944</v>
      </c>
      <c r="U1697" s="29">
        <v>2500</v>
      </c>
      <c r="V1697" s="27" t="s">
        <v>44</v>
      </c>
      <c r="W1697" s="27" t="s">
        <v>184</v>
      </c>
      <c r="X1697" s="26">
        <v>10</v>
      </c>
      <c r="Y1697" s="45" t="str">
        <f>HYPERLINK("https://api-enni.alpina.ru/FilePrivilegesApproval/244","https://api-enni.alpina.ru/FilePrivilegesApproval/244")</f>
        <v>https://api-enni.alpina.ru/FilePrivilegesApproval/244</v>
      </c>
      <c r="Z1697" s="27"/>
      <c r="AS1697" s="1">
        <f>IF($A1697&lt;&gt;0,1,0)</f>
        <v>0</v>
      </c>
      <c r="AT1697" s="1">
        <f>$A1697*$B1697</f>
        <v>0</v>
      </c>
      <c r="AU1697" s="1">
        <f>$A1697*$O1697</f>
        <v>0</v>
      </c>
      <c r="AV1697" s="1">
        <f>IF($R1697=0,0,INT($A1697/$R1697))</f>
        <v>0</v>
      </c>
      <c r="AW1697" s="1">
        <f>$A1697-$AV1697*$R1697</f>
        <v>0</v>
      </c>
    </row>
    <row r="1698" ht="24.95" customHeight="1" outlineLevel="3" s="1" customFormat="1">
      <c r="A1698" s="15"/>
      <c r="B1698" s="16">
        <v>540</v>
      </c>
      <c r="C1698" s="16">
        <v>837</v>
      </c>
      <c r="D1698" s="16">
        <v>12850</v>
      </c>
      <c r="E1698" s="18"/>
      <c r="F1698" s="18" t="s">
        <v>728</v>
      </c>
      <c r="G1698" s="18" t="s">
        <v>5654</v>
      </c>
      <c r="H1698" s="18" t="s">
        <v>86</v>
      </c>
      <c r="I1698" s="18" t="s">
        <v>74</v>
      </c>
      <c r="J1698" s="16">
        <v>2025</v>
      </c>
      <c r="K1698" s="18" t="s">
        <v>5655</v>
      </c>
      <c r="L1698" s="16">
        <v>9785961427646</v>
      </c>
      <c r="M1698" s="18" t="s">
        <v>5656</v>
      </c>
      <c r="N1698" s="16">
        <v>242</v>
      </c>
      <c r="O1698" s="19">
        <v>0.31</v>
      </c>
      <c r="P1698" s="16">
        <v>146</v>
      </c>
      <c r="Q1698" s="16">
        <v>215</v>
      </c>
      <c r="R1698" s="16">
        <v>16</v>
      </c>
      <c r="S1698" s="18" t="s">
        <v>43</v>
      </c>
      <c r="T1698" s="18" t="s">
        <v>944</v>
      </c>
      <c r="U1698" s="17">
        <v>9000</v>
      </c>
      <c r="V1698" s="18" t="s">
        <v>44</v>
      </c>
      <c r="W1698" s="18" t="s">
        <v>184</v>
      </c>
      <c r="X1698" s="16">
        <v>10</v>
      </c>
      <c r="Y1698" s="43" t="str">
        <f>HYPERLINK("https://api-enni.alpina.ru/FilePrivilegesApproval/125","https://api-enni.alpina.ru/FilePrivilegesApproval/125")</f>
        <v>https://api-enni.alpina.ru/FilePrivilegesApproval/125</v>
      </c>
      <c r="Z1698" s="18"/>
      <c r="AS1698" s="1">
        <f>IF($A1698&lt;&gt;0,1,0)</f>
        <v>0</v>
      </c>
      <c r="AT1698" s="1">
        <f>$A1698*$B1698</f>
        <v>0</v>
      </c>
      <c r="AU1698" s="1">
        <f>$A1698*$O1698</f>
        <v>0</v>
      </c>
      <c r="AV1698" s="1">
        <f>IF($R1698=0,0,INT($A1698/$R1698))</f>
        <v>0</v>
      </c>
      <c r="AW1698" s="1">
        <f>$A1698-$AV1698*$R1698</f>
        <v>0</v>
      </c>
    </row>
    <row r="1699" ht="24.95" customHeight="1" outlineLevel="3" s="1" customFormat="1">
      <c r="A1699" s="15"/>
      <c r="B1699" s="16">
        <v>590</v>
      </c>
      <c r="C1699" s="16">
        <v>885</v>
      </c>
      <c r="D1699" s="16">
        <v>34927</v>
      </c>
      <c r="E1699" s="18"/>
      <c r="F1699" s="18" t="s">
        <v>736</v>
      </c>
      <c r="G1699" s="18" t="s">
        <v>737</v>
      </c>
      <c r="H1699" s="18" t="s">
        <v>86</v>
      </c>
      <c r="I1699" s="18" t="s">
        <v>74</v>
      </c>
      <c r="J1699" s="16">
        <v>2026</v>
      </c>
      <c r="K1699" s="18" t="s">
        <v>738</v>
      </c>
      <c r="L1699" s="16">
        <v>9785006309524</v>
      </c>
      <c r="M1699" s="18" t="s">
        <v>739</v>
      </c>
      <c r="N1699" s="16">
        <v>192</v>
      </c>
      <c r="O1699" s="19">
        <v>0.3</v>
      </c>
      <c r="P1699" s="16">
        <v>140</v>
      </c>
      <c r="Q1699" s="16">
        <v>210</v>
      </c>
      <c r="R1699" s="16">
        <v>10</v>
      </c>
      <c r="S1699" s="18" t="s">
        <v>90</v>
      </c>
      <c r="T1699" s="18"/>
      <c r="U1699" s="17">
        <v>1000</v>
      </c>
      <c r="V1699" s="18" t="s">
        <v>77</v>
      </c>
      <c r="W1699" s="18" t="s">
        <v>184</v>
      </c>
      <c r="X1699" s="16">
        <v>10</v>
      </c>
      <c r="Y1699" s="43" t="str">
        <f>HYPERLINK("https://api-enni.alpina.ru/FilePrivilegesApproval/993","https://api-enni.alpina.ru/FilePrivilegesApproval/993")</f>
        <v>https://api-enni.alpina.ru/FilePrivilegesApproval/993</v>
      </c>
      <c r="Z1699" s="18" t="s">
        <v>144</v>
      </c>
      <c r="AS1699" s="1">
        <f>IF($A1699&lt;&gt;0,1,0)</f>
        <v>0</v>
      </c>
      <c r="AT1699" s="1">
        <f>$A1699*$B1699</f>
        <v>0</v>
      </c>
      <c r="AU1699" s="1">
        <f>$A1699*$O1699</f>
        <v>0</v>
      </c>
      <c r="AV1699" s="1">
        <f>IF($R1699=0,0,INT($A1699/$R1699))</f>
        <v>0</v>
      </c>
      <c r="AW1699" s="1">
        <f>$A1699-$AV1699*$R1699</f>
        <v>0</v>
      </c>
    </row>
    <row r="1700" ht="24.95" customHeight="1" outlineLevel="3" s="1" customFormat="1">
      <c r="A1700" s="15"/>
      <c r="B1700" s="16">
        <v>690</v>
      </c>
      <c r="C1700" s="17">
        <v>1035</v>
      </c>
      <c r="D1700" s="16">
        <v>25692</v>
      </c>
      <c r="E1700" s="18"/>
      <c r="F1700" s="18" t="s">
        <v>654</v>
      </c>
      <c r="G1700" s="18" t="s">
        <v>5657</v>
      </c>
      <c r="H1700" s="18" t="s">
        <v>86</v>
      </c>
      <c r="I1700" s="18"/>
      <c r="J1700" s="16">
        <v>2026</v>
      </c>
      <c r="K1700" s="18" t="s">
        <v>5658</v>
      </c>
      <c r="L1700" s="16">
        <v>9785961478419</v>
      </c>
      <c r="M1700" s="18" t="s">
        <v>5659</v>
      </c>
      <c r="N1700" s="16">
        <v>160</v>
      </c>
      <c r="O1700" s="19">
        <v>0.3</v>
      </c>
      <c r="P1700" s="16">
        <v>150</v>
      </c>
      <c r="Q1700" s="16">
        <v>220</v>
      </c>
      <c r="R1700" s="16">
        <v>10</v>
      </c>
      <c r="S1700" s="18" t="s">
        <v>43</v>
      </c>
      <c r="T1700" s="18"/>
      <c r="U1700" s="17">
        <v>1000</v>
      </c>
      <c r="V1700" s="18" t="s">
        <v>77</v>
      </c>
      <c r="W1700" s="18" t="s">
        <v>184</v>
      </c>
      <c r="X1700" s="16">
        <v>10</v>
      </c>
      <c r="Y1700" s="43" t="str">
        <f>HYPERLINK("https://api-enni.alpina.ru/FilePrivilegesApproval/152","https://api-enni.alpina.ru/FilePrivilegesApproval/152")</f>
        <v>https://api-enni.alpina.ru/FilePrivilegesApproval/152</v>
      </c>
      <c r="Z1700" s="18"/>
      <c r="AS1700" s="1">
        <f>IF($A1700&lt;&gt;0,1,0)</f>
        <v>0</v>
      </c>
      <c r="AT1700" s="1">
        <f>$A1700*$B1700</f>
        <v>0</v>
      </c>
      <c r="AU1700" s="1">
        <f>$A1700*$O1700</f>
        <v>0</v>
      </c>
      <c r="AV1700" s="1">
        <f>IF($R1700=0,0,INT($A1700/$R1700))</f>
        <v>0</v>
      </c>
      <c r="AW1700" s="1">
        <f>$A1700-$AV1700*$R1700</f>
        <v>0</v>
      </c>
    </row>
    <row r="1701" ht="24.95" customHeight="1" outlineLevel="3" s="1" customFormat="1">
      <c r="A1701" s="15"/>
      <c r="B1701" s="16">
        <v>520</v>
      </c>
      <c r="C1701" s="16">
        <v>806</v>
      </c>
      <c r="D1701" s="16">
        <v>35391</v>
      </c>
      <c r="E1701" s="18"/>
      <c r="F1701" s="18" t="s">
        <v>5547</v>
      </c>
      <c r="G1701" s="18" t="s">
        <v>5660</v>
      </c>
      <c r="H1701" s="18" t="s">
        <v>86</v>
      </c>
      <c r="I1701" s="18" t="s">
        <v>74</v>
      </c>
      <c r="J1701" s="16">
        <v>2025</v>
      </c>
      <c r="K1701" s="18" t="s">
        <v>5661</v>
      </c>
      <c r="L1701" s="16">
        <v>9785006311954</v>
      </c>
      <c r="M1701" s="18" t="s">
        <v>5662</v>
      </c>
      <c r="N1701" s="16">
        <v>152</v>
      </c>
      <c r="O1701" s="19">
        <v>0.29</v>
      </c>
      <c r="P1701" s="16">
        <v>150</v>
      </c>
      <c r="Q1701" s="16">
        <v>220</v>
      </c>
      <c r="R1701" s="16">
        <v>10</v>
      </c>
      <c r="S1701" s="18" t="s">
        <v>43</v>
      </c>
      <c r="T1701" s="18"/>
      <c r="U1701" s="17">
        <v>1000</v>
      </c>
      <c r="V1701" s="18" t="s">
        <v>77</v>
      </c>
      <c r="W1701" s="18" t="s">
        <v>184</v>
      </c>
      <c r="X1701" s="16">
        <v>10</v>
      </c>
      <c r="Y1701" s="43" t="str">
        <f>HYPERLINK("https://api-enni.alpina.ru/FilePrivilegesApproval/1036","https://api-enni.alpina.ru/FilePrivilegesApproval/1036")</f>
        <v>https://api-enni.alpina.ru/FilePrivilegesApproval/1036</v>
      </c>
      <c r="Z1701" s="18"/>
      <c r="AS1701" s="1">
        <f>IF($A1701&lt;&gt;0,1,0)</f>
        <v>0</v>
      </c>
      <c r="AT1701" s="1">
        <f>$A1701*$B1701</f>
        <v>0</v>
      </c>
      <c r="AU1701" s="1">
        <f>$A1701*$O1701</f>
        <v>0</v>
      </c>
      <c r="AV1701" s="1">
        <f>IF($R1701=0,0,INT($A1701/$R1701))</f>
        <v>0</v>
      </c>
      <c r="AW1701" s="1">
        <f>$A1701-$AV1701*$R1701</f>
        <v>0</v>
      </c>
    </row>
    <row r="1702" ht="24.95" customHeight="1" outlineLevel="3" s="1" customFormat="1">
      <c r="A1702" s="15"/>
      <c r="B1702" s="16">
        <v>590</v>
      </c>
      <c r="C1702" s="16">
        <v>885</v>
      </c>
      <c r="D1702" s="16">
        <v>29616</v>
      </c>
      <c r="E1702" s="18"/>
      <c r="F1702" s="18" t="s">
        <v>5367</v>
      </c>
      <c r="G1702" s="18" t="s">
        <v>5663</v>
      </c>
      <c r="H1702" s="18" t="s">
        <v>86</v>
      </c>
      <c r="I1702" s="18"/>
      <c r="J1702" s="16">
        <v>2025</v>
      </c>
      <c r="K1702" s="18" t="s">
        <v>5664</v>
      </c>
      <c r="L1702" s="16">
        <v>9785961493160</v>
      </c>
      <c r="M1702" s="18" t="s">
        <v>5665</v>
      </c>
      <c r="N1702" s="16">
        <v>237</v>
      </c>
      <c r="O1702" s="19">
        <v>0.27</v>
      </c>
      <c r="P1702" s="16">
        <v>140</v>
      </c>
      <c r="Q1702" s="16">
        <v>210</v>
      </c>
      <c r="R1702" s="16">
        <v>12</v>
      </c>
      <c r="S1702" s="18" t="s">
        <v>43</v>
      </c>
      <c r="T1702" s="18"/>
      <c r="U1702" s="17">
        <v>1500</v>
      </c>
      <c r="V1702" s="18" t="s">
        <v>44</v>
      </c>
      <c r="W1702" s="18" t="s">
        <v>69</v>
      </c>
      <c r="X1702" s="16">
        <v>10</v>
      </c>
      <c r="Y1702" s="43" t="str">
        <f>HYPERLINK("https://api-enni.alpina.ru/FilePrivilegesApproval/124","https://api-enni.alpina.ru/FilePrivilegesApproval/124")</f>
        <v>https://api-enni.alpina.ru/FilePrivilegesApproval/124</v>
      </c>
      <c r="Z1702" s="18"/>
      <c r="AS1702" s="1">
        <f>IF($A1702&lt;&gt;0,1,0)</f>
        <v>0</v>
      </c>
      <c r="AT1702" s="1">
        <f>$A1702*$B1702</f>
        <v>0</v>
      </c>
      <c r="AU1702" s="1">
        <f>$A1702*$O1702</f>
        <v>0</v>
      </c>
      <c r="AV1702" s="1">
        <f>IF($R1702=0,0,INT($A1702/$R1702))</f>
        <v>0</v>
      </c>
      <c r="AW1702" s="1">
        <f>$A1702-$AV1702*$R1702</f>
        <v>0</v>
      </c>
    </row>
    <row r="1703" ht="24.95" customHeight="1" outlineLevel="3" s="1" customFormat="1">
      <c r="A1703" s="15"/>
      <c r="B1703" s="16">
        <v>550</v>
      </c>
      <c r="C1703" s="16">
        <v>852</v>
      </c>
      <c r="D1703" s="16">
        <v>17363</v>
      </c>
      <c r="E1703" s="18"/>
      <c r="F1703" s="18" t="s">
        <v>5666</v>
      </c>
      <c r="G1703" s="18" t="s">
        <v>5667</v>
      </c>
      <c r="H1703" s="18" t="s">
        <v>86</v>
      </c>
      <c r="I1703" s="18" t="s">
        <v>74</v>
      </c>
      <c r="J1703" s="16">
        <v>2025</v>
      </c>
      <c r="K1703" s="18" t="s">
        <v>5668</v>
      </c>
      <c r="L1703" s="16">
        <v>9785961430455</v>
      </c>
      <c r="M1703" s="18" t="s">
        <v>5669</v>
      </c>
      <c r="N1703" s="16">
        <v>155</v>
      </c>
      <c r="O1703" s="19">
        <v>0.21</v>
      </c>
      <c r="P1703" s="16">
        <v>140</v>
      </c>
      <c r="Q1703" s="16">
        <v>210</v>
      </c>
      <c r="R1703" s="16">
        <v>28</v>
      </c>
      <c r="S1703" s="18" t="s">
        <v>43</v>
      </c>
      <c r="T1703" s="18" t="s">
        <v>944</v>
      </c>
      <c r="U1703" s="17">
        <v>6000</v>
      </c>
      <c r="V1703" s="18" t="s">
        <v>44</v>
      </c>
      <c r="W1703" s="18" t="s">
        <v>184</v>
      </c>
      <c r="X1703" s="16">
        <v>10</v>
      </c>
      <c r="Y1703" s="43" t="str">
        <f>HYPERLINK("https://api-enni.alpina.ru/FilePrivilegesApproval/125","https://api-enni.alpina.ru/FilePrivilegesApproval/125")</f>
        <v>https://api-enni.alpina.ru/FilePrivilegesApproval/125</v>
      </c>
      <c r="Z1703" s="18"/>
      <c r="AS1703" s="1">
        <f>IF($A1703&lt;&gt;0,1,0)</f>
        <v>0</v>
      </c>
      <c r="AT1703" s="1">
        <f>$A1703*$B1703</f>
        <v>0</v>
      </c>
      <c r="AU1703" s="1">
        <f>$A1703*$O1703</f>
        <v>0</v>
      </c>
      <c r="AV1703" s="1">
        <f>IF($R1703=0,0,INT($A1703/$R1703))</f>
        <v>0</v>
      </c>
      <c r="AW1703" s="1">
        <f>$A1703-$AV1703*$R1703</f>
        <v>0</v>
      </c>
    </row>
    <row r="1704" ht="24.95" customHeight="1" outlineLevel="3" s="1" customFormat="1">
      <c r="A1704" s="15"/>
      <c r="B1704" s="16">
        <v>520</v>
      </c>
      <c r="C1704" s="16">
        <v>806</v>
      </c>
      <c r="D1704" s="16">
        <v>31550</v>
      </c>
      <c r="E1704" s="18"/>
      <c r="F1704" s="18" t="s">
        <v>5637</v>
      </c>
      <c r="G1704" s="18" t="s">
        <v>5670</v>
      </c>
      <c r="H1704" s="18" t="s">
        <v>86</v>
      </c>
      <c r="I1704" s="18" t="s">
        <v>74</v>
      </c>
      <c r="J1704" s="16">
        <v>2026</v>
      </c>
      <c r="K1704" s="18" t="s">
        <v>5671</v>
      </c>
      <c r="L1704" s="16">
        <v>9785961499216</v>
      </c>
      <c r="M1704" s="18" t="s">
        <v>5672</v>
      </c>
      <c r="N1704" s="16">
        <v>132</v>
      </c>
      <c r="O1704" s="19">
        <v>0.27</v>
      </c>
      <c r="P1704" s="16">
        <v>150</v>
      </c>
      <c r="Q1704" s="16">
        <v>220</v>
      </c>
      <c r="R1704" s="16">
        <v>10</v>
      </c>
      <c r="S1704" s="18" t="s">
        <v>43</v>
      </c>
      <c r="T1704" s="18"/>
      <c r="U1704" s="17">
        <v>1000</v>
      </c>
      <c r="V1704" s="18" t="s">
        <v>77</v>
      </c>
      <c r="W1704" s="18" t="s">
        <v>184</v>
      </c>
      <c r="X1704" s="16">
        <v>10</v>
      </c>
      <c r="Y1704" s="43" t="str">
        <f>HYPERLINK("https://api-enni.alpina.ru/FilePrivilegesApproval/633","https://api-enni.alpina.ru/FilePrivilegesApproval/633")</f>
        <v>https://api-enni.alpina.ru/FilePrivilegesApproval/633</v>
      </c>
      <c r="Z1704" s="18"/>
      <c r="AS1704" s="1">
        <f>IF($A1704&lt;&gt;0,1,0)</f>
        <v>0</v>
      </c>
      <c r="AT1704" s="1">
        <f>$A1704*$B1704</f>
        <v>0</v>
      </c>
      <c r="AU1704" s="1">
        <f>$A1704*$O1704</f>
        <v>0</v>
      </c>
      <c r="AV1704" s="1">
        <f>IF($R1704=0,0,INT($A1704/$R1704))</f>
        <v>0</v>
      </c>
      <c r="AW1704" s="1">
        <f>$A1704-$AV1704*$R1704</f>
        <v>0</v>
      </c>
    </row>
    <row r="1705" ht="24.95" customHeight="1" outlineLevel="3" s="1" customFormat="1">
      <c r="A1705" s="15"/>
      <c r="B1705" s="16">
        <v>390</v>
      </c>
      <c r="C1705" s="16">
        <v>624</v>
      </c>
      <c r="D1705" s="16">
        <v>12811</v>
      </c>
      <c r="E1705" s="18"/>
      <c r="F1705" s="18" t="s">
        <v>940</v>
      </c>
      <c r="G1705" s="18" t="s">
        <v>941</v>
      </c>
      <c r="H1705" s="18" t="s">
        <v>86</v>
      </c>
      <c r="I1705" s="18" t="s">
        <v>74</v>
      </c>
      <c r="J1705" s="16">
        <v>2026</v>
      </c>
      <c r="K1705" s="18" t="s">
        <v>942</v>
      </c>
      <c r="L1705" s="16">
        <v>9785961427417</v>
      </c>
      <c r="M1705" s="18" t="s">
        <v>943</v>
      </c>
      <c r="N1705" s="16">
        <v>216</v>
      </c>
      <c r="O1705" s="19">
        <v>0.27</v>
      </c>
      <c r="P1705" s="16">
        <v>141</v>
      </c>
      <c r="Q1705" s="16">
        <v>210</v>
      </c>
      <c r="R1705" s="16">
        <v>16</v>
      </c>
      <c r="S1705" s="18" t="s">
        <v>43</v>
      </c>
      <c r="T1705" s="18" t="s">
        <v>944</v>
      </c>
      <c r="U1705" s="17">
        <v>10000</v>
      </c>
      <c r="V1705" s="18" t="s">
        <v>44</v>
      </c>
      <c r="W1705" s="18" t="s">
        <v>69</v>
      </c>
      <c r="X1705" s="16">
        <v>10</v>
      </c>
      <c r="Y1705" s="43" t="str">
        <f>HYPERLINK("https://api-enni.alpina.ru/FilePrivilegesApproval/140","https://api-enni.alpina.ru/FilePrivilegesApproval/140")</f>
        <v>https://api-enni.alpina.ru/FilePrivilegesApproval/140</v>
      </c>
      <c r="Z1705" s="18" t="s">
        <v>753</v>
      </c>
      <c r="AS1705" s="1">
        <f>IF($A1705&lt;&gt;0,1,0)</f>
        <v>0</v>
      </c>
      <c r="AT1705" s="1">
        <f>$A1705*$B1705</f>
        <v>0</v>
      </c>
      <c r="AU1705" s="1">
        <f>$A1705*$O1705</f>
        <v>0</v>
      </c>
      <c r="AV1705" s="1">
        <f>IF($R1705=0,0,INT($A1705/$R1705))</f>
        <v>0</v>
      </c>
      <c r="AW1705" s="1">
        <f>$A1705-$AV1705*$R1705</f>
        <v>0</v>
      </c>
    </row>
    <row r="1706" ht="24.95" customHeight="1" outlineLevel="3" s="1" customFormat="1">
      <c r="A1706" s="15"/>
      <c r="B1706" s="16">
        <v>590</v>
      </c>
      <c r="C1706" s="16">
        <v>885</v>
      </c>
      <c r="D1706" s="16">
        <v>37416</v>
      </c>
      <c r="E1706" s="18"/>
      <c r="F1706" s="18" t="s">
        <v>940</v>
      </c>
      <c r="G1706" s="18" t="s">
        <v>5673</v>
      </c>
      <c r="H1706" s="18" t="s">
        <v>86</v>
      </c>
      <c r="I1706" s="18" t="s">
        <v>74</v>
      </c>
      <c r="J1706" s="16">
        <v>2026</v>
      </c>
      <c r="K1706" s="18" t="s">
        <v>5674</v>
      </c>
      <c r="L1706" s="16">
        <v>9785006320123</v>
      </c>
      <c r="M1706" s="18" t="s">
        <v>5675</v>
      </c>
      <c r="N1706" s="16">
        <v>216</v>
      </c>
      <c r="O1706" s="19">
        <v>0.36</v>
      </c>
      <c r="P1706" s="16">
        <v>150</v>
      </c>
      <c r="Q1706" s="16">
        <v>220</v>
      </c>
      <c r="R1706" s="16">
        <v>16</v>
      </c>
      <c r="S1706" s="18" t="s">
        <v>43</v>
      </c>
      <c r="T1706" s="18"/>
      <c r="U1706" s="17">
        <v>2000</v>
      </c>
      <c r="V1706" s="18" t="s">
        <v>77</v>
      </c>
      <c r="W1706" s="18" t="s">
        <v>69</v>
      </c>
      <c r="X1706" s="16">
        <v>10</v>
      </c>
      <c r="Y1706" s="43" t="str">
        <f>HYPERLINK("https://api-enni.alpina.ru/FilePrivilegesApproval/1195","https://api-enni.alpina.ru/FilePrivilegesApproval/1195")</f>
        <v>https://api-enni.alpina.ru/FilePrivilegesApproval/1195</v>
      </c>
      <c r="Z1706" s="18" t="s">
        <v>545</v>
      </c>
      <c r="AS1706" s="1">
        <f>IF($A1706&lt;&gt;0,1,0)</f>
        <v>0</v>
      </c>
      <c r="AT1706" s="1">
        <f>$A1706*$B1706</f>
        <v>0</v>
      </c>
      <c r="AU1706" s="1">
        <f>$A1706*$O1706</f>
        <v>0</v>
      </c>
      <c r="AV1706" s="1">
        <f>IF($R1706=0,0,INT($A1706/$R1706))</f>
        <v>0</v>
      </c>
      <c r="AW1706" s="1">
        <f>$A1706-$AV1706*$R1706</f>
        <v>0</v>
      </c>
    </row>
    <row r="1707" ht="11.1" customHeight="1" outlineLevel="2">
      <c r="A1707" s="41" t="s">
        <v>5676</v>
      </c>
      <c r="B1707" s="41"/>
      <c r="C1707" s="41"/>
      <c r="D1707" s="41"/>
      <c r="E1707" s="41"/>
      <c r="F1707" s="41"/>
      <c r="G1707" s="41"/>
      <c r="H1707" s="41"/>
      <c r="I1707" s="41"/>
      <c r="J1707" s="41"/>
      <c r="K1707" s="41"/>
      <c r="L1707" s="41"/>
      <c r="M1707" s="41"/>
      <c r="N1707" s="41"/>
      <c r="O1707" s="41"/>
      <c r="P1707" s="41"/>
      <c r="Q1707" s="41"/>
      <c r="R1707" s="41"/>
      <c r="S1707" s="41"/>
      <c r="T1707" s="41"/>
      <c r="U1707" s="41"/>
      <c r="V1707" s="41"/>
      <c r="W1707" s="41"/>
      <c r="X1707" s="41"/>
      <c r="Y1707" s="41"/>
      <c r="Z1707" s="24"/>
    </row>
    <row r="1708" ht="24.95" customHeight="1" outlineLevel="3" s="1" customFormat="1">
      <c r="A1708" s="25"/>
      <c r="B1708" s="26">
        <v>690</v>
      </c>
      <c r="C1708" s="29">
        <v>1035</v>
      </c>
      <c r="D1708" s="26">
        <v>17587</v>
      </c>
      <c r="E1708" s="27"/>
      <c r="F1708" s="27" t="s">
        <v>914</v>
      </c>
      <c r="G1708" s="27" t="s">
        <v>5677</v>
      </c>
      <c r="H1708" s="27" t="s">
        <v>86</v>
      </c>
      <c r="I1708" s="27" t="s">
        <v>74</v>
      </c>
      <c r="J1708" s="26">
        <v>2026</v>
      </c>
      <c r="K1708" s="27" t="s">
        <v>5678</v>
      </c>
      <c r="L1708" s="26">
        <v>9785961437959</v>
      </c>
      <c r="M1708" s="27" t="s">
        <v>5679</v>
      </c>
      <c r="N1708" s="26">
        <v>244</v>
      </c>
      <c r="O1708" s="28">
        <v>0.26</v>
      </c>
      <c r="P1708" s="26">
        <v>125</v>
      </c>
      <c r="Q1708" s="26">
        <v>200</v>
      </c>
      <c r="R1708" s="26">
        <v>10</v>
      </c>
      <c r="S1708" s="27" t="s">
        <v>90</v>
      </c>
      <c r="T1708" s="27" t="s">
        <v>5680</v>
      </c>
      <c r="U1708" s="29">
        <v>1000</v>
      </c>
      <c r="V1708" s="27" t="s">
        <v>44</v>
      </c>
      <c r="W1708" s="27" t="s">
        <v>184</v>
      </c>
      <c r="X1708" s="26">
        <v>10</v>
      </c>
      <c r="Y1708" s="45" t="str">
        <f>HYPERLINK("https://api-enni.alpina.ru/FilePrivilegesApproval/121","https://api-enni.alpina.ru/FilePrivilegesApproval/121")</f>
        <v>https://api-enni.alpina.ru/FilePrivilegesApproval/121</v>
      </c>
      <c r="Z1708" s="27"/>
      <c r="AS1708" s="1">
        <f>IF($A1708&lt;&gt;0,1,0)</f>
        <v>0</v>
      </c>
      <c r="AT1708" s="1">
        <f>$A1708*$B1708</f>
        <v>0</v>
      </c>
      <c r="AU1708" s="1">
        <f>$A1708*$O1708</f>
        <v>0</v>
      </c>
      <c r="AV1708" s="1">
        <f>IF($R1708=0,0,INT($A1708/$R1708))</f>
        <v>0</v>
      </c>
      <c r="AW1708" s="1">
        <f>$A1708-$AV1708*$R1708</f>
        <v>0</v>
      </c>
    </row>
    <row r="1709" ht="24.95" customHeight="1" outlineLevel="3" s="1" customFormat="1">
      <c r="A1709" s="15"/>
      <c r="B1709" s="16">
        <v>690</v>
      </c>
      <c r="C1709" s="17">
        <v>1035</v>
      </c>
      <c r="D1709" s="16">
        <v>17584</v>
      </c>
      <c r="E1709" s="18"/>
      <c r="F1709" s="18" t="s">
        <v>5681</v>
      </c>
      <c r="G1709" s="18" t="s">
        <v>5682</v>
      </c>
      <c r="H1709" s="18" t="s">
        <v>86</v>
      </c>
      <c r="I1709" s="18" t="s">
        <v>74</v>
      </c>
      <c r="J1709" s="16">
        <v>2025</v>
      </c>
      <c r="K1709" s="18" t="s">
        <v>5683</v>
      </c>
      <c r="L1709" s="16">
        <v>9785961439427</v>
      </c>
      <c r="M1709" s="18" t="s">
        <v>5684</v>
      </c>
      <c r="N1709" s="16">
        <v>222</v>
      </c>
      <c r="O1709" s="19">
        <v>0.23</v>
      </c>
      <c r="P1709" s="16">
        <v>125</v>
      </c>
      <c r="Q1709" s="16">
        <v>200</v>
      </c>
      <c r="R1709" s="16">
        <v>10</v>
      </c>
      <c r="S1709" s="18" t="s">
        <v>90</v>
      </c>
      <c r="T1709" s="18" t="s">
        <v>5680</v>
      </c>
      <c r="U1709" s="17">
        <v>1000</v>
      </c>
      <c r="V1709" s="18" t="s">
        <v>44</v>
      </c>
      <c r="W1709" s="18" t="s">
        <v>184</v>
      </c>
      <c r="X1709" s="16">
        <v>10</v>
      </c>
      <c r="Y1709" s="43" t="str">
        <f>HYPERLINK("https://api-enni.alpina.ru/FilePrivilegesApproval/68","https://api-enni.alpina.ru/FilePrivilegesApproval/68")</f>
        <v>https://api-enni.alpina.ru/FilePrivilegesApproval/68</v>
      </c>
      <c r="Z1709" s="18"/>
      <c r="AS1709" s="1">
        <f>IF($A1709&lt;&gt;0,1,0)</f>
        <v>0</v>
      </c>
      <c r="AT1709" s="1">
        <f>$A1709*$B1709</f>
        <v>0</v>
      </c>
      <c r="AU1709" s="1">
        <f>$A1709*$O1709</f>
        <v>0</v>
      </c>
      <c r="AV1709" s="1">
        <f>IF($R1709=0,0,INT($A1709/$R1709))</f>
        <v>0</v>
      </c>
      <c r="AW1709" s="1">
        <f>$A1709-$AV1709*$R1709</f>
        <v>0</v>
      </c>
    </row>
    <row r="1710" ht="24.95" customHeight="1" outlineLevel="3" s="1" customFormat="1">
      <c r="A1710" s="15"/>
      <c r="B1710" s="16">
        <v>690</v>
      </c>
      <c r="C1710" s="17">
        <v>1035</v>
      </c>
      <c r="D1710" s="16">
        <v>17586</v>
      </c>
      <c r="E1710" s="18"/>
      <c r="F1710" s="18" t="s">
        <v>914</v>
      </c>
      <c r="G1710" s="18" t="s">
        <v>5685</v>
      </c>
      <c r="H1710" s="18" t="s">
        <v>86</v>
      </c>
      <c r="I1710" s="18" t="s">
        <v>74</v>
      </c>
      <c r="J1710" s="16">
        <v>2025</v>
      </c>
      <c r="K1710" s="18" t="s">
        <v>5686</v>
      </c>
      <c r="L1710" s="16">
        <v>9785961438475</v>
      </c>
      <c r="M1710" s="18" t="s">
        <v>5687</v>
      </c>
      <c r="N1710" s="16">
        <v>244</v>
      </c>
      <c r="O1710" s="19">
        <v>0.3</v>
      </c>
      <c r="P1710" s="16">
        <v>125</v>
      </c>
      <c r="Q1710" s="16">
        <v>200</v>
      </c>
      <c r="R1710" s="16">
        <v>10</v>
      </c>
      <c r="S1710" s="18" t="s">
        <v>90</v>
      </c>
      <c r="T1710" s="18" t="s">
        <v>5680</v>
      </c>
      <c r="U1710" s="17">
        <v>1000</v>
      </c>
      <c r="V1710" s="18" t="s">
        <v>44</v>
      </c>
      <c r="W1710" s="18" t="s">
        <v>184</v>
      </c>
      <c r="X1710" s="16">
        <v>10</v>
      </c>
      <c r="Y1710" s="43" t="str">
        <f>HYPERLINK("https://api-enni.alpina.ru/FilePrivilegesApproval/65","https://api-enni.alpina.ru/FilePrivilegesApproval/65")</f>
        <v>https://api-enni.alpina.ru/FilePrivilegesApproval/65</v>
      </c>
      <c r="Z1710" s="18"/>
      <c r="AS1710" s="1">
        <f>IF($A1710&lt;&gt;0,1,0)</f>
        <v>0</v>
      </c>
      <c r="AT1710" s="1">
        <f>$A1710*$B1710</f>
        <v>0</v>
      </c>
      <c r="AU1710" s="1">
        <f>$A1710*$O1710</f>
        <v>0</v>
      </c>
      <c r="AV1710" s="1">
        <f>IF($R1710=0,0,INT($A1710/$R1710))</f>
        <v>0</v>
      </c>
      <c r="AW1710" s="1">
        <f>$A1710-$AV1710*$R1710</f>
        <v>0</v>
      </c>
    </row>
    <row r="1711" ht="24.95" customHeight="1" outlineLevel="3" s="1" customFormat="1">
      <c r="A1711" s="25"/>
      <c r="B1711" s="26">
        <v>690</v>
      </c>
      <c r="C1711" s="29">
        <v>1035</v>
      </c>
      <c r="D1711" s="26">
        <v>5259</v>
      </c>
      <c r="E1711" s="27"/>
      <c r="F1711" s="27" t="s">
        <v>914</v>
      </c>
      <c r="G1711" s="27" t="s">
        <v>5688</v>
      </c>
      <c r="H1711" s="27" t="s">
        <v>86</v>
      </c>
      <c r="I1711" s="27" t="s">
        <v>74</v>
      </c>
      <c r="J1711" s="26">
        <v>2025</v>
      </c>
      <c r="K1711" s="27" t="s">
        <v>5689</v>
      </c>
      <c r="L1711" s="26">
        <v>9785961465877</v>
      </c>
      <c r="M1711" s="27" t="s">
        <v>5690</v>
      </c>
      <c r="N1711" s="26">
        <v>206</v>
      </c>
      <c r="O1711" s="28">
        <v>0.36</v>
      </c>
      <c r="P1711" s="26">
        <v>153</v>
      </c>
      <c r="Q1711" s="26">
        <v>216</v>
      </c>
      <c r="R1711" s="26">
        <v>10</v>
      </c>
      <c r="S1711" s="27" t="s">
        <v>43</v>
      </c>
      <c r="T1711" s="27" t="s">
        <v>918</v>
      </c>
      <c r="U1711" s="29">
        <v>1000</v>
      </c>
      <c r="V1711" s="27" t="s">
        <v>77</v>
      </c>
      <c r="W1711" s="27" t="s">
        <v>184</v>
      </c>
      <c r="X1711" s="26">
        <v>10</v>
      </c>
      <c r="Y1711" s="45" t="str">
        <f>HYPERLINK("https://api-enni.alpina.ru/FilePrivilegesApproval/2","https://api-enni.alpina.ru/FilePrivilegesApproval/2")</f>
        <v>https://api-enni.alpina.ru/FilePrivilegesApproval/2</v>
      </c>
      <c r="Z1711" s="27"/>
      <c r="AS1711" s="1">
        <f>IF($A1711&lt;&gt;0,1,0)</f>
        <v>0</v>
      </c>
      <c r="AT1711" s="1">
        <f>$A1711*$B1711</f>
        <v>0</v>
      </c>
      <c r="AU1711" s="1">
        <f>$A1711*$O1711</f>
        <v>0</v>
      </c>
      <c r="AV1711" s="1">
        <f>IF($R1711=0,0,INT($A1711/$R1711))</f>
        <v>0</v>
      </c>
      <c r="AW1711" s="1">
        <f>$A1711-$AV1711*$R1711</f>
        <v>0</v>
      </c>
    </row>
    <row r="1712" ht="24.95" customHeight="1" outlineLevel="3" s="1" customFormat="1">
      <c r="A1712" s="15"/>
      <c r="B1712" s="16">
        <v>790</v>
      </c>
      <c r="C1712" s="17">
        <v>1146</v>
      </c>
      <c r="D1712" s="16">
        <v>13881</v>
      </c>
      <c r="E1712" s="18"/>
      <c r="F1712" s="18" t="s">
        <v>914</v>
      </c>
      <c r="G1712" s="18" t="s">
        <v>5691</v>
      </c>
      <c r="H1712" s="18" t="s">
        <v>86</v>
      </c>
      <c r="I1712" s="18" t="s">
        <v>74</v>
      </c>
      <c r="J1712" s="16">
        <v>2026</v>
      </c>
      <c r="K1712" s="18" t="s">
        <v>5692</v>
      </c>
      <c r="L1712" s="16">
        <v>9785961438383</v>
      </c>
      <c r="M1712" s="18" t="s">
        <v>5693</v>
      </c>
      <c r="N1712" s="16">
        <v>216</v>
      </c>
      <c r="O1712" s="19">
        <v>0.35</v>
      </c>
      <c r="P1712" s="16">
        <v>150</v>
      </c>
      <c r="Q1712" s="16">
        <v>220</v>
      </c>
      <c r="R1712" s="16">
        <v>10</v>
      </c>
      <c r="S1712" s="18" t="s">
        <v>43</v>
      </c>
      <c r="T1712" s="18" t="s">
        <v>918</v>
      </c>
      <c r="U1712" s="17">
        <v>1000</v>
      </c>
      <c r="V1712" s="18" t="s">
        <v>77</v>
      </c>
      <c r="W1712" s="18" t="s">
        <v>184</v>
      </c>
      <c r="X1712" s="16">
        <v>10</v>
      </c>
      <c r="Y1712" s="43" t="str">
        <f>HYPERLINK("https://api-enni.alpina.ru/FilePrivilegesApproval/69","https://api-enni.alpina.ru/FilePrivilegesApproval/69")</f>
        <v>https://api-enni.alpina.ru/FilePrivilegesApproval/69</v>
      </c>
      <c r="Z1712" s="18" t="s">
        <v>3230</v>
      </c>
      <c r="AS1712" s="1">
        <f>IF($A1712&lt;&gt;0,1,0)</f>
        <v>0</v>
      </c>
      <c r="AT1712" s="1">
        <f>$A1712*$B1712</f>
        <v>0</v>
      </c>
      <c r="AU1712" s="1">
        <f>$A1712*$O1712</f>
        <v>0</v>
      </c>
      <c r="AV1712" s="1">
        <f>IF($R1712=0,0,INT($A1712/$R1712))</f>
        <v>0</v>
      </c>
      <c r="AW1712" s="1">
        <f>$A1712-$AV1712*$R1712</f>
        <v>0</v>
      </c>
    </row>
    <row r="1713" ht="24.95" customHeight="1" outlineLevel="3" s="1" customFormat="1">
      <c r="A1713" s="15"/>
      <c r="B1713" s="16">
        <v>790</v>
      </c>
      <c r="C1713" s="17">
        <v>1146</v>
      </c>
      <c r="D1713" s="16">
        <v>19300</v>
      </c>
      <c r="E1713" s="18"/>
      <c r="F1713" s="18" t="s">
        <v>914</v>
      </c>
      <c r="G1713" s="18" t="s">
        <v>5694</v>
      </c>
      <c r="H1713" s="18" t="s">
        <v>86</v>
      </c>
      <c r="I1713" s="18" t="s">
        <v>74</v>
      </c>
      <c r="J1713" s="16">
        <v>2026</v>
      </c>
      <c r="K1713" s="18" t="s">
        <v>5695</v>
      </c>
      <c r="L1713" s="16">
        <v>9785961480412</v>
      </c>
      <c r="M1713" s="18" t="s">
        <v>5696</v>
      </c>
      <c r="N1713" s="16">
        <v>206</v>
      </c>
      <c r="O1713" s="19">
        <v>0.36</v>
      </c>
      <c r="P1713" s="16">
        <v>160</v>
      </c>
      <c r="Q1713" s="16">
        <v>220</v>
      </c>
      <c r="R1713" s="16">
        <v>10</v>
      </c>
      <c r="S1713" s="18" t="s">
        <v>43</v>
      </c>
      <c r="T1713" s="18" t="s">
        <v>918</v>
      </c>
      <c r="U1713" s="17">
        <v>1000</v>
      </c>
      <c r="V1713" s="18" t="s">
        <v>77</v>
      </c>
      <c r="W1713" s="18" t="s">
        <v>184</v>
      </c>
      <c r="X1713" s="16">
        <v>10</v>
      </c>
      <c r="Y1713" s="43" t="str">
        <f>HYPERLINK("https://api-enni.alpina.ru/FilePrivilegesApproval/156","https://api-enni.alpina.ru/FilePrivilegesApproval/156")</f>
        <v>https://api-enni.alpina.ru/FilePrivilegesApproval/156</v>
      </c>
      <c r="Z1713" s="18"/>
      <c r="AS1713" s="1">
        <f>IF($A1713&lt;&gt;0,1,0)</f>
        <v>0</v>
      </c>
      <c r="AT1713" s="1">
        <f>$A1713*$B1713</f>
        <v>0</v>
      </c>
      <c r="AU1713" s="1">
        <f>$A1713*$O1713</f>
        <v>0</v>
      </c>
      <c r="AV1713" s="1">
        <f>IF($R1713=0,0,INT($A1713/$R1713))</f>
        <v>0</v>
      </c>
      <c r="AW1713" s="1">
        <f>$A1713-$AV1713*$R1713</f>
        <v>0</v>
      </c>
    </row>
    <row r="1714" ht="24.95" customHeight="1" outlineLevel="3" s="1" customFormat="1">
      <c r="A1714" s="15"/>
      <c r="B1714" s="16">
        <v>940</v>
      </c>
      <c r="C1714" s="17">
        <v>1316</v>
      </c>
      <c r="D1714" s="16">
        <v>5260</v>
      </c>
      <c r="E1714" s="18"/>
      <c r="F1714" s="18" t="s">
        <v>914</v>
      </c>
      <c r="G1714" s="18" t="s">
        <v>5697</v>
      </c>
      <c r="H1714" s="18" t="s">
        <v>86</v>
      </c>
      <c r="I1714" s="18" t="s">
        <v>74</v>
      </c>
      <c r="J1714" s="16">
        <v>2026</v>
      </c>
      <c r="K1714" s="18" t="s">
        <v>5698</v>
      </c>
      <c r="L1714" s="16">
        <v>9785961467550</v>
      </c>
      <c r="M1714" s="18" t="s">
        <v>5699</v>
      </c>
      <c r="N1714" s="16">
        <v>224</v>
      </c>
      <c r="O1714" s="19">
        <v>0.39</v>
      </c>
      <c r="P1714" s="16">
        <v>153</v>
      </c>
      <c r="Q1714" s="16">
        <v>216</v>
      </c>
      <c r="R1714" s="16">
        <v>10</v>
      </c>
      <c r="S1714" s="18" t="s">
        <v>43</v>
      </c>
      <c r="T1714" s="18" t="s">
        <v>918</v>
      </c>
      <c r="U1714" s="17">
        <v>1000</v>
      </c>
      <c r="V1714" s="18" t="s">
        <v>77</v>
      </c>
      <c r="W1714" s="18" t="s">
        <v>184</v>
      </c>
      <c r="X1714" s="16">
        <v>10</v>
      </c>
      <c r="Y1714" s="43" t="str">
        <f>HYPERLINK("https://api-enni.alpina.ru/FilePrivilegesApproval/152","https://api-enni.alpina.ru/FilePrivilegesApproval/152")</f>
        <v>https://api-enni.alpina.ru/FilePrivilegesApproval/152</v>
      </c>
      <c r="Z1714" s="18"/>
      <c r="AS1714" s="1">
        <f>IF($A1714&lt;&gt;0,1,0)</f>
        <v>0</v>
      </c>
      <c r="AT1714" s="1">
        <f>$A1714*$B1714</f>
        <v>0</v>
      </c>
      <c r="AU1714" s="1">
        <f>$A1714*$O1714</f>
        <v>0</v>
      </c>
      <c r="AV1714" s="1">
        <f>IF($R1714=0,0,INT($A1714/$R1714))</f>
        <v>0</v>
      </c>
      <c r="AW1714" s="1">
        <f>$A1714-$AV1714*$R1714</f>
        <v>0</v>
      </c>
    </row>
    <row r="1715" ht="24.95" customHeight="1" outlineLevel="3" s="1" customFormat="1">
      <c r="A1715" s="15"/>
      <c r="B1715" s="16">
        <v>940</v>
      </c>
      <c r="C1715" s="17">
        <v>1316</v>
      </c>
      <c r="D1715" s="16">
        <v>5262</v>
      </c>
      <c r="E1715" s="18"/>
      <c r="F1715" s="18" t="s">
        <v>914</v>
      </c>
      <c r="G1715" s="18" t="s">
        <v>5700</v>
      </c>
      <c r="H1715" s="18" t="s">
        <v>86</v>
      </c>
      <c r="I1715" s="18" t="s">
        <v>74</v>
      </c>
      <c r="J1715" s="16">
        <v>2025</v>
      </c>
      <c r="K1715" s="18" t="s">
        <v>5701</v>
      </c>
      <c r="L1715" s="16">
        <v>9785961470130</v>
      </c>
      <c r="M1715" s="18" t="s">
        <v>5702</v>
      </c>
      <c r="N1715" s="16">
        <v>216</v>
      </c>
      <c r="O1715" s="19">
        <v>0.35</v>
      </c>
      <c r="P1715" s="16">
        <v>146</v>
      </c>
      <c r="Q1715" s="16">
        <v>216</v>
      </c>
      <c r="R1715" s="16">
        <v>10</v>
      </c>
      <c r="S1715" s="18" t="s">
        <v>43</v>
      </c>
      <c r="T1715" s="18" t="s">
        <v>918</v>
      </c>
      <c r="U1715" s="17">
        <v>1000</v>
      </c>
      <c r="V1715" s="18" t="s">
        <v>77</v>
      </c>
      <c r="W1715" s="18" t="s">
        <v>184</v>
      </c>
      <c r="X1715" s="16">
        <v>10</v>
      </c>
      <c r="Y1715" s="43" t="str">
        <f>HYPERLINK("https://api-enni.alpina.ru/FilePrivilegesApproval/156","https://api-enni.alpina.ru/FilePrivilegesApproval/156")</f>
        <v>https://api-enni.alpina.ru/FilePrivilegesApproval/156</v>
      </c>
      <c r="Z1715" s="18"/>
      <c r="AS1715" s="1">
        <f>IF($A1715&lt;&gt;0,1,0)</f>
        <v>0</v>
      </c>
      <c r="AT1715" s="1">
        <f>$A1715*$B1715</f>
        <v>0</v>
      </c>
      <c r="AU1715" s="1">
        <f>$A1715*$O1715</f>
        <v>0</v>
      </c>
      <c r="AV1715" s="1">
        <f>IF($R1715=0,0,INT($A1715/$R1715))</f>
        <v>0</v>
      </c>
      <c r="AW1715" s="1">
        <f>$A1715-$AV1715*$R1715</f>
        <v>0</v>
      </c>
    </row>
    <row r="1716" ht="24.95" customHeight="1" outlineLevel="3" s="1" customFormat="1">
      <c r="A1716" s="15"/>
      <c r="B1716" s="16">
        <v>940</v>
      </c>
      <c r="C1716" s="17">
        <v>1316</v>
      </c>
      <c r="D1716" s="16">
        <v>8598</v>
      </c>
      <c r="E1716" s="18"/>
      <c r="F1716" s="18" t="s">
        <v>914</v>
      </c>
      <c r="G1716" s="18" t="s">
        <v>5703</v>
      </c>
      <c r="H1716" s="18" t="s">
        <v>86</v>
      </c>
      <c r="I1716" s="18" t="s">
        <v>74</v>
      </c>
      <c r="J1716" s="16">
        <v>2026</v>
      </c>
      <c r="K1716" s="18" t="s">
        <v>5704</v>
      </c>
      <c r="L1716" s="16">
        <v>9785961471304</v>
      </c>
      <c r="M1716" s="18" t="s">
        <v>5705</v>
      </c>
      <c r="N1716" s="16">
        <v>208</v>
      </c>
      <c r="O1716" s="19">
        <v>0.38</v>
      </c>
      <c r="P1716" s="16">
        <v>150</v>
      </c>
      <c r="Q1716" s="16">
        <v>220</v>
      </c>
      <c r="R1716" s="16">
        <v>10</v>
      </c>
      <c r="S1716" s="18" t="s">
        <v>43</v>
      </c>
      <c r="T1716" s="18" t="s">
        <v>918</v>
      </c>
      <c r="U1716" s="17">
        <v>1000</v>
      </c>
      <c r="V1716" s="18" t="s">
        <v>77</v>
      </c>
      <c r="W1716" s="18" t="s">
        <v>184</v>
      </c>
      <c r="X1716" s="16">
        <v>10</v>
      </c>
      <c r="Y1716" s="43" t="str">
        <f>HYPERLINK("https://api-enni.alpina.ru/FilePrivilegesApproval/2","https://api-enni.alpina.ru/FilePrivilegesApproval/2")</f>
        <v>https://api-enni.alpina.ru/FilePrivilegesApproval/2</v>
      </c>
      <c r="Z1716" s="18"/>
      <c r="AS1716" s="1">
        <f>IF($A1716&lt;&gt;0,1,0)</f>
        <v>0</v>
      </c>
      <c r="AT1716" s="1">
        <f>$A1716*$B1716</f>
        <v>0</v>
      </c>
      <c r="AU1716" s="1">
        <f>$A1716*$O1716</f>
        <v>0</v>
      </c>
      <c r="AV1716" s="1">
        <f>IF($R1716=0,0,INT($A1716/$R1716))</f>
        <v>0</v>
      </c>
      <c r="AW1716" s="1">
        <f>$A1716-$AV1716*$R1716</f>
        <v>0</v>
      </c>
    </row>
    <row r="1717" ht="24.95" customHeight="1" outlineLevel="3" s="1" customFormat="1">
      <c r="A1717" s="15"/>
      <c r="B1717" s="16">
        <v>940</v>
      </c>
      <c r="C1717" s="17">
        <v>1316</v>
      </c>
      <c r="D1717" s="16">
        <v>11458</v>
      </c>
      <c r="E1717" s="18"/>
      <c r="F1717" s="18" t="s">
        <v>5706</v>
      </c>
      <c r="G1717" s="18" t="s">
        <v>5707</v>
      </c>
      <c r="H1717" s="18" t="s">
        <v>86</v>
      </c>
      <c r="I1717" s="18" t="s">
        <v>74</v>
      </c>
      <c r="J1717" s="16">
        <v>2025</v>
      </c>
      <c r="K1717" s="18" t="s">
        <v>5708</v>
      </c>
      <c r="L1717" s="16">
        <v>9785961433241</v>
      </c>
      <c r="M1717" s="18" t="s">
        <v>5709</v>
      </c>
      <c r="N1717" s="16">
        <v>256</v>
      </c>
      <c r="O1717" s="19">
        <v>0.5</v>
      </c>
      <c r="P1717" s="16">
        <v>170</v>
      </c>
      <c r="Q1717" s="16">
        <v>240</v>
      </c>
      <c r="R1717" s="16">
        <v>10</v>
      </c>
      <c r="S1717" s="18" t="s">
        <v>123</v>
      </c>
      <c r="T1717" s="18"/>
      <c r="U1717" s="17">
        <v>1500</v>
      </c>
      <c r="V1717" s="18" t="s">
        <v>77</v>
      </c>
      <c r="W1717" s="18" t="s">
        <v>184</v>
      </c>
      <c r="X1717" s="16">
        <v>10</v>
      </c>
      <c r="Y1717" s="43" t="str">
        <f>HYPERLINK("https://api-enni.alpina.ru/FilePrivilegesApproval/156","https://api-enni.alpina.ru/FilePrivilegesApproval/156")</f>
        <v>https://api-enni.alpina.ru/FilePrivilegesApproval/156</v>
      </c>
      <c r="Z1717" s="18"/>
      <c r="AS1717" s="1">
        <f>IF($A1717&lt;&gt;0,1,0)</f>
        <v>0</v>
      </c>
      <c r="AT1717" s="1">
        <f>$A1717*$B1717</f>
        <v>0</v>
      </c>
      <c r="AU1717" s="1">
        <f>$A1717*$O1717</f>
        <v>0</v>
      </c>
      <c r="AV1717" s="1">
        <f>IF($R1717=0,0,INT($A1717/$R1717))</f>
        <v>0</v>
      </c>
      <c r="AW1717" s="1">
        <f>$A1717-$AV1717*$R1717</f>
        <v>0</v>
      </c>
    </row>
    <row r="1718" ht="24.95" customHeight="1" outlineLevel="3" s="1" customFormat="1">
      <c r="A1718" s="25"/>
      <c r="B1718" s="26">
        <v>690</v>
      </c>
      <c r="C1718" s="29">
        <v>1035</v>
      </c>
      <c r="D1718" s="26">
        <v>19442</v>
      </c>
      <c r="E1718" s="27"/>
      <c r="F1718" s="27" t="s">
        <v>914</v>
      </c>
      <c r="G1718" s="27" t="s">
        <v>5710</v>
      </c>
      <c r="H1718" s="27" t="s">
        <v>86</v>
      </c>
      <c r="I1718" s="27" t="s">
        <v>74</v>
      </c>
      <c r="J1718" s="26">
        <v>2023</v>
      </c>
      <c r="K1718" s="27" t="s">
        <v>5711</v>
      </c>
      <c r="L1718" s="26">
        <v>9785961477610</v>
      </c>
      <c r="M1718" s="27" t="s">
        <v>5712</v>
      </c>
      <c r="N1718" s="26">
        <v>248</v>
      </c>
      <c r="O1718" s="28">
        <v>0.4</v>
      </c>
      <c r="P1718" s="26">
        <v>153</v>
      </c>
      <c r="Q1718" s="26">
        <v>216</v>
      </c>
      <c r="R1718" s="26">
        <v>10</v>
      </c>
      <c r="S1718" s="27" t="s">
        <v>43</v>
      </c>
      <c r="T1718" s="27" t="s">
        <v>918</v>
      </c>
      <c r="U1718" s="29">
        <v>1000</v>
      </c>
      <c r="V1718" s="27" t="s">
        <v>77</v>
      </c>
      <c r="W1718" s="27" t="s">
        <v>184</v>
      </c>
      <c r="X1718" s="26">
        <v>10</v>
      </c>
      <c r="Y1718" s="45" t="str">
        <f>HYPERLINK("https://api-enni.alpina.ru/FilePrivilegesApproval/153","https://api-enni.alpina.ru/FilePrivilegesApproval/153")</f>
        <v>https://api-enni.alpina.ru/FilePrivilegesApproval/153</v>
      </c>
      <c r="Z1718" s="27"/>
      <c r="AS1718" s="1">
        <f>IF($A1718&lt;&gt;0,1,0)</f>
        <v>0</v>
      </c>
      <c r="AT1718" s="1">
        <f>$A1718*$B1718</f>
        <v>0</v>
      </c>
      <c r="AU1718" s="1">
        <f>$A1718*$O1718</f>
        <v>0</v>
      </c>
      <c r="AV1718" s="1">
        <f>IF($R1718=0,0,INT($A1718/$R1718))</f>
        <v>0</v>
      </c>
      <c r="AW1718" s="1">
        <f>$A1718-$AV1718*$R1718</f>
        <v>0</v>
      </c>
    </row>
    <row r="1719" ht="24.95" customHeight="1" outlineLevel="3" s="1" customFormat="1">
      <c r="A1719" s="15"/>
      <c r="B1719" s="16">
        <v>940</v>
      </c>
      <c r="C1719" s="17">
        <v>1316</v>
      </c>
      <c r="D1719" s="16">
        <v>13862</v>
      </c>
      <c r="E1719" s="18"/>
      <c r="F1719" s="18" t="s">
        <v>914</v>
      </c>
      <c r="G1719" s="18" t="s">
        <v>5713</v>
      </c>
      <c r="H1719" s="18" t="s">
        <v>86</v>
      </c>
      <c r="I1719" s="18" t="s">
        <v>74</v>
      </c>
      <c r="J1719" s="16">
        <v>2026</v>
      </c>
      <c r="K1719" s="18" t="s">
        <v>5714</v>
      </c>
      <c r="L1719" s="16">
        <v>9785961437249</v>
      </c>
      <c r="M1719" s="18" t="s">
        <v>5715</v>
      </c>
      <c r="N1719" s="16">
        <v>200</v>
      </c>
      <c r="O1719" s="19">
        <v>0.3</v>
      </c>
      <c r="P1719" s="16">
        <v>146</v>
      </c>
      <c r="Q1719" s="16">
        <v>216</v>
      </c>
      <c r="R1719" s="16">
        <v>10</v>
      </c>
      <c r="S1719" s="18" t="s">
        <v>43</v>
      </c>
      <c r="T1719" s="18" t="s">
        <v>918</v>
      </c>
      <c r="U1719" s="17">
        <v>1000</v>
      </c>
      <c r="V1719" s="18" t="s">
        <v>77</v>
      </c>
      <c r="W1719" s="18" t="s">
        <v>184</v>
      </c>
      <c r="X1719" s="16">
        <v>10</v>
      </c>
      <c r="Y1719" s="43" t="str">
        <f>HYPERLINK("https://api-enni.alpina.ru/FilePrivilegesApproval/156","https://api-enni.alpina.ru/FilePrivilegesApproval/156")</f>
        <v>https://api-enni.alpina.ru/FilePrivilegesApproval/156</v>
      </c>
      <c r="Z1719" s="18"/>
      <c r="AS1719" s="1">
        <f>IF($A1719&lt;&gt;0,1,0)</f>
        <v>0</v>
      </c>
      <c r="AT1719" s="1">
        <f>$A1719*$B1719</f>
        <v>0</v>
      </c>
      <c r="AU1719" s="1">
        <f>$A1719*$O1719</f>
        <v>0</v>
      </c>
      <c r="AV1719" s="1">
        <f>IF($R1719=0,0,INT($A1719/$R1719))</f>
        <v>0</v>
      </c>
      <c r="AW1719" s="1">
        <f>$A1719-$AV1719*$R1719</f>
        <v>0</v>
      </c>
    </row>
    <row r="1720" ht="24.95" customHeight="1" outlineLevel="3" s="1" customFormat="1">
      <c r="A1720" s="15"/>
      <c r="B1720" s="16">
        <v>790</v>
      </c>
      <c r="C1720" s="17">
        <v>1146</v>
      </c>
      <c r="D1720" s="16">
        <v>11384</v>
      </c>
      <c r="E1720" s="18"/>
      <c r="F1720" s="18" t="s">
        <v>914</v>
      </c>
      <c r="G1720" s="18" t="s">
        <v>5716</v>
      </c>
      <c r="H1720" s="18" t="s">
        <v>86</v>
      </c>
      <c r="I1720" s="18" t="s">
        <v>74</v>
      </c>
      <c r="J1720" s="16">
        <v>2026</v>
      </c>
      <c r="K1720" s="18" t="s">
        <v>5717</v>
      </c>
      <c r="L1720" s="16">
        <v>9785961432060</v>
      </c>
      <c r="M1720" s="18" t="s">
        <v>5718</v>
      </c>
      <c r="N1720" s="16">
        <v>210</v>
      </c>
      <c r="O1720" s="19">
        <v>0.38</v>
      </c>
      <c r="P1720" s="16">
        <v>153</v>
      </c>
      <c r="Q1720" s="16">
        <v>216</v>
      </c>
      <c r="R1720" s="16">
        <v>15</v>
      </c>
      <c r="S1720" s="18" t="s">
        <v>43</v>
      </c>
      <c r="T1720" s="18" t="s">
        <v>918</v>
      </c>
      <c r="U1720" s="17">
        <v>1000</v>
      </c>
      <c r="V1720" s="18" t="s">
        <v>77</v>
      </c>
      <c r="W1720" s="18" t="s">
        <v>184</v>
      </c>
      <c r="X1720" s="16">
        <v>10</v>
      </c>
      <c r="Y1720" s="43" t="str">
        <f>HYPERLINK("https://api-enni.alpina.ru/FilePrivilegesApproval/124","https://api-enni.alpina.ru/FilePrivilegesApproval/124")</f>
        <v>https://api-enni.alpina.ru/FilePrivilegesApproval/124</v>
      </c>
      <c r="Z1720" s="18"/>
      <c r="AS1720" s="1">
        <f>IF($A1720&lt;&gt;0,1,0)</f>
        <v>0</v>
      </c>
      <c r="AT1720" s="1">
        <f>$A1720*$B1720</f>
        <v>0</v>
      </c>
      <c r="AU1720" s="1">
        <f>$A1720*$O1720</f>
        <v>0</v>
      </c>
      <c r="AV1720" s="1">
        <f>IF($R1720=0,0,INT($A1720/$R1720))</f>
        <v>0</v>
      </c>
      <c r="AW1720" s="1">
        <f>$A1720-$AV1720*$R1720</f>
        <v>0</v>
      </c>
    </row>
    <row r="1721" ht="24.95" customHeight="1" outlineLevel="3" s="1" customFormat="1">
      <c r="A1721" s="15"/>
      <c r="B1721" s="16">
        <v>940</v>
      </c>
      <c r="C1721" s="17">
        <v>1316</v>
      </c>
      <c r="D1721" s="16">
        <v>5304</v>
      </c>
      <c r="E1721" s="18"/>
      <c r="F1721" s="18" t="s">
        <v>914</v>
      </c>
      <c r="G1721" s="18" t="s">
        <v>5719</v>
      </c>
      <c r="H1721" s="18" t="s">
        <v>86</v>
      </c>
      <c r="I1721" s="18" t="s">
        <v>74</v>
      </c>
      <c r="J1721" s="16">
        <v>2026</v>
      </c>
      <c r="K1721" s="18" t="s">
        <v>5720</v>
      </c>
      <c r="L1721" s="16">
        <v>9785961469288</v>
      </c>
      <c r="M1721" s="18" t="s">
        <v>5721</v>
      </c>
      <c r="N1721" s="16">
        <v>132</v>
      </c>
      <c r="O1721" s="19">
        <v>0.26</v>
      </c>
      <c r="P1721" s="16">
        <v>153</v>
      </c>
      <c r="Q1721" s="16">
        <v>216</v>
      </c>
      <c r="R1721" s="16">
        <v>10</v>
      </c>
      <c r="S1721" s="18" t="s">
        <v>43</v>
      </c>
      <c r="T1721" s="18"/>
      <c r="U1721" s="17">
        <v>1000</v>
      </c>
      <c r="V1721" s="18" t="s">
        <v>77</v>
      </c>
      <c r="W1721" s="18" t="s">
        <v>184</v>
      </c>
      <c r="X1721" s="16">
        <v>10</v>
      </c>
      <c r="Y1721" s="43" t="str">
        <f>HYPERLINK("https://api-enni.alpina.ru/FilePrivilegesApproval/141","https://api-enni.alpina.ru/FilePrivilegesApproval/141")</f>
        <v>https://api-enni.alpina.ru/FilePrivilegesApproval/141</v>
      </c>
      <c r="Z1721" s="18"/>
      <c r="AS1721" s="1">
        <f>IF($A1721&lt;&gt;0,1,0)</f>
        <v>0</v>
      </c>
      <c r="AT1721" s="1">
        <f>$A1721*$B1721</f>
        <v>0</v>
      </c>
      <c r="AU1721" s="1">
        <f>$A1721*$O1721</f>
        <v>0</v>
      </c>
      <c r="AV1721" s="1">
        <f>IF($R1721=0,0,INT($A1721/$R1721))</f>
        <v>0</v>
      </c>
      <c r="AW1721" s="1">
        <f>$A1721-$AV1721*$R1721</f>
        <v>0</v>
      </c>
    </row>
    <row r="1722" ht="24.95" customHeight="1" outlineLevel="3" s="1" customFormat="1">
      <c r="A1722" s="15"/>
      <c r="B1722" s="16">
        <v>790</v>
      </c>
      <c r="C1722" s="17">
        <v>1146</v>
      </c>
      <c r="D1722" s="16">
        <v>7351</v>
      </c>
      <c r="E1722" s="18"/>
      <c r="F1722" s="18" t="s">
        <v>914</v>
      </c>
      <c r="G1722" s="18" t="s">
        <v>5722</v>
      </c>
      <c r="H1722" s="18" t="s">
        <v>86</v>
      </c>
      <c r="I1722" s="18" t="s">
        <v>74</v>
      </c>
      <c r="J1722" s="16">
        <v>2025</v>
      </c>
      <c r="K1722" s="18" t="s">
        <v>5723</v>
      </c>
      <c r="L1722" s="16">
        <v>9785961471069</v>
      </c>
      <c r="M1722" s="18" t="s">
        <v>5724</v>
      </c>
      <c r="N1722" s="16">
        <v>176</v>
      </c>
      <c r="O1722" s="19">
        <v>0.31</v>
      </c>
      <c r="P1722" s="16">
        <v>150</v>
      </c>
      <c r="Q1722" s="16">
        <v>220</v>
      </c>
      <c r="R1722" s="16">
        <v>10</v>
      </c>
      <c r="S1722" s="18" t="s">
        <v>43</v>
      </c>
      <c r="T1722" s="18" t="s">
        <v>918</v>
      </c>
      <c r="U1722" s="17">
        <v>1000</v>
      </c>
      <c r="V1722" s="18" t="s">
        <v>77</v>
      </c>
      <c r="W1722" s="18" t="s">
        <v>184</v>
      </c>
      <c r="X1722" s="16">
        <v>10</v>
      </c>
      <c r="Y1722" s="43" t="str">
        <f>HYPERLINK("https://api-enni.alpina.ru/FilePrivilegesApproval/2","https://api-enni.alpina.ru/FilePrivilegesApproval/2")</f>
        <v>https://api-enni.alpina.ru/FilePrivilegesApproval/2</v>
      </c>
      <c r="Z1722" s="18"/>
      <c r="AS1722" s="1">
        <f>IF($A1722&lt;&gt;0,1,0)</f>
        <v>0</v>
      </c>
      <c r="AT1722" s="1">
        <f>$A1722*$B1722</f>
        <v>0</v>
      </c>
      <c r="AU1722" s="1">
        <f>$A1722*$O1722</f>
        <v>0</v>
      </c>
      <c r="AV1722" s="1">
        <f>IF($R1722=0,0,INT($A1722/$R1722))</f>
        <v>0</v>
      </c>
      <c r="AW1722" s="1">
        <f>$A1722-$AV1722*$R1722</f>
        <v>0</v>
      </c>
    </row>
    <row r="1723" ht="24.95" customHeight="1" outlineLevel="3" s="1" customFormat="1">
      <c r="A1723" s="15"/>
      <c r="B1723" s="16">
        <v>790</v>
      </c>
      <c r="C1723" s="17">
        <v>1146</v>
      </c>
      <c r="D1723" s="16">
        <v>5263</v>
      </c>
      <c r="E1723" s="18"/>
      <c r="F1723" s="18" t="s">
        <v>914</v>
      </c>
      <c r="G1723" s="18" t="s">
        <v>5725</v>
      </c>
      <c r="H1723" s="18" t="s">
        <v>86</v>
      </c>
      <c r="I1723" s="18" t="s">
        <v>74</v>
      </c>
      <c r="J1723" s="16">
        <v>2026</v>
      </c>
      <c r="K1723" s="18" t="s">
        <v>5726</v>
      </c>
      <c r="L1723" s="16">
        <v>9785961469691</v>
      </c>
      <c r="M1723" s="18" t="s">
        <v>5727</v>
      </c>
      <c r="N1723" s="16">
        <v>224</v>
      </c>
      <c r="O1723" s="19">
        <v>0.4</v>
      </c>
      <c r="P1723" s="16">
        <v>153</v>
      </c>
      <c r="Q1723" s="16">
        <v>216</v>
      </c>
      <c r="R1723" s="16">
        <v>8</v>
      </c>
      <c r="S1723" s="18" t="s">
        <v>43</v>
      </c>
      <c r="T1723" s="18" t="s">
        <v>918</v>
      </c>
      <c r="U1723" s="17">
        <v>1000</v>
      </c>
      <c r="V1723" s="18" t="s">
        <v>77</v>
      </c>
      <c r="W1723" s="18" t="s">
        <v>184</v>
      </c>
      <c r="X1723" s="16">
        <v>10</v>
      </c>
      <c r="Y1723" s="43" t="str">
        <f>HYPERLINK("https://api-enni.alpina.ru/FilePrivilegesApproval/2","https://api-enni.alpina.ru/FilePrivilegesApproval/2")</f>
        <v>https://api-enni.alpina.ru/FilePrivilegesApproval/2</v>
      </c>
      <c r="Z1723" s="18"/>
      <c r="AS1723" s="1">
        <f>IF($A1723&lt;&gt;0,1,0)</f>
        <v>0</v>
      </c>
      <c r="AT1723" s="1">
        <f>$A1723*$B1723</f>
        <v>0</v>
      </c>
      <c r="AU1723" s="1">
        <f>$A1723*$O1723</f>
        <v>0</v>
      </c>
      <c r="AV1723" s="1">
        <f>IF($R1723=0,0,INT($A1723/$R1723))</f>
        <v>0</v>
      </c>
      <c r="AW1723" s="1">
        <f>$A1723-$AV1723*$R1723</f>
        <v>0</v>
      </c>
    </row>
    <row r="1724" ht="24.95" customHeight="1" outlineLevel="3" s="1" customFormat="1">
      <c r="A1724" s="15"/>
      <c r="B1724" s="16">
        <v>940</v>
      </c>
      <c r="C1724" s="17">
        <v>1316</v>
      </c>
      <c r="D1724" s="16">
        <v>5265</v>
      </c>
      <c r="E1724" s="18"/>
      <c r="F1724" s="18" t="s">
        <v>914</v>
      </c>
      <c r="G1724" s="18" t="s">
        <v>5728</v>
      </c>
      <c r="H1724" s="18" t="s">
        <v>86</v>
      </c>
      <c r="I1724" s="18" t="s">
        <v>74</v>
      </c>
      <c r="J1724" s="16">
        <v>2026</v>
      </c>
      <c r="K1724" s="18" t="s">
        <v>5729</v>
      </c>
      <c r="L1724" s="16">
        <v>9785961471151</v>
      </c>
      <c r="M1724" s="18" t="s">
        <v>5730</v>
      </c>
      <c r="N1724" s="16">
        <v>288</v>
      </c>
      <c r="O1724" s="19">
        <v>0.47</v>
      </c>
      <c r="P1724" s="16">
        <v>150</v>
      </c>
      <c r="Q1724" s="16">
        <v>220</v>
      </c>
      <c r="R1724" s="16">
        <v>10</v>
      </c>
      <c r="S1724" s="18" t="s">
        <v>43</v>
      </c>
      <c r="T1724" s="18" t="s">
        <v>918</v>
      </c>
      <c r="U1724" s="17">
        <v>1000</v>
      </c>
      <c r="V1724" s="18" t="s">
        <v>77</v>
      </c>
      <c r="W1724" s="18" t="s">
        <v>184</v>
      </c>
      <c r="X1724" s="16">
        <v>10</v>
      </c>
      <c r="Y1724" s="43" t="str">
        <f>HYPERLINK("https://api-enni.alpina.ru/FilePrivilegesApproval/141","https://api-enni.alpina.ru/FilePrivilegesApproval/141")</f>
        <v>https://api-enni.alpina.ru/FilePrivilegesApproval/141</v>
      </c>
      <c r="Z1724" s="18"/>
      <c r="AS1724" s="1">
        <f>IF($A1724&lt;&gt;0,1,0)</f>
        <v>0</v>
      </c>
      <c r="AT1724" s="1">
        <f>$A1724*$B1724</f>
        <v>0</v>
      </c>
      <c r="AU1724" s="1">
        <f>$A1724*$O1724</f>
        <v>0</v>
      </c>
      <c r="AV1724" s="1">
        <f>IF($R1724=0,0,INT($A1724/$R1724))</f>
        <v>0</v>
      </c>
      <c r="AW1724" s="1">
        <f>$A1724-$AV1724*$R1724</f>
        <v>0</v>
      </c>
    </row>
    <row r="1725" ht="24.95" customHeight="1" outlineLevel="3" s="1" customFormat="1">
      <c r="A1725" s="15"/>
      <c r="B1725" s="16">
        <v>940</v>
      </c>
      <c r="C1725" s="17">
        <v>1316</v>
      </c>
      <c r="D1725" s="16">
        <v>5266</v>
      </c>
      <c r="E1725" s="18"/>
      <c r="F1725" s="18" t="s">
        <v>914</v>
      </c>
      <c r="G1725" s="18" t="s">
        <v>5731</v>
      </c>
      <c r="H1725" s="18" t="s">
        <v>86</v>
      </c>
      <c r="I1725" s="18" t="s">
        <v>74</v>
      </c>
      <c r="J1725" s="16">
        <v>2026</v>
      </c>
      <c r="K1725" s="18" t="s">
        <v>5732</v>
      </c>
      <c r="L1725" s="16">
        <v>9785961466027</v>
      </c>
      <c r="M1725" s="18" t="s">
        <v>5733</v>
      </c>
      <c r="N1725" s="16">
        <v>290</v>
      </c>
      <c r="O1725" s="19">
        <v>0.47</v>
      </c>
      <c r="P1725" s="16">
        <v>153</v>
      </c>
      <c r="Q1725" s="16">
        <v>216</v>
      </c>
      <c r="R1725" s="16">
        <v>10</v>
      </c>
      <c r="S1725" s="18" t="s">
        <v>43</v>
      </c>
      <c r="T1725" s="18" t="s">
        <v>918</v>
      </c>
      <c r="U1725" s="17">
        <v>1000</v>
      </c>
      <c r="V1725" s="18" t="s">
        <v>77</v>
      </c>
      <c r="W1725" s="18" t="s">
        <v>184</v>
      </c>
      <c r="X1725" s="16">
        <v>10</v>
      </c>
      <c r="Y1725" s="43" t="str">
        <f>HYPERLINK("https://api-enni.alpina.ru/FilePrivilegesApproval/152","https://api-enni.alpina.ru/FilePrivilegesApproval/152")</f>
        <v>https://api-enni.alpina.ru/FilePrivilegesApproval/152</v>
      </c>
      <c r="Z1725" s="18"/>
      <c r="AS1725" s="1">
        <f>IF($A1725&lt;&gt;0,1,0)</f>
        <v>0</v>
      </c>
      <c r="AT1725" s="1">
        <f>$A1725*$B1725</f>
        <v>0</v>
      </c>
      <c r="AU1725" s="1">
        <f>$A1725*$O1725</f>
        <v>0</v>
      </c>
      <c r="AV1725" s="1">
        <f>IF($R1725=0,0,INT($A1725/$R1725))</f>
        <v>0</v>
      </c>
      <c r="AW1725" s="1">
        <f>$A1725-$AV1725*$R1725</f>
        <v>0</v>
      </c>
    </row>
    <row r="1726" ht="24.95" customHeight="1" outlineLevel="3" s="1" customFormat="1">
      <c r="A1726" s="25"/>
      <c r="B1726" s="26">
        <v>790</v>
      </c>
      <c r="C1726" s="29">
        <v>1146</v>
      </c>
      <c r="D1726" s="26">
        <v>19304</v>
      </c>
      <c r="E1726" s="27"/>
      <c r="F1726" s="27" t="s">
        <v>914</v>
      </c>
      <c r="G1726" s="27" t="s">
        <v>915</v>
      </c>
      <c r="H1726" s="27" t="s">
        <v>86</v>
      </c>
      <c r="I1726" s="27" t="s">
        <v>74</v>
      </c>
      <c r="J1726" s="26">
        <v>2025</v>
      </c>
      <c r="K1726" s="27" t="s">
        <v>916</v>
      </c>
      <c r="L1726" s="26">
        <v>9785961478822</v>
      </c>
      <c r="M1726" s="27" t="s">
        <v>917</v>
      </c>
      <c r="N1726" s="26">
        <v>164</v>
      </c>
      <c r="O1726" s="28">
        <v>0.32</v>
      </c>
      <c r="P1726" s="26">
        <v>160</v>
      </c>
      <c r="Q1726" s="26">
        <v>220</v>
      </c>
      <c r="R1726" s="26">
        <v>12</v>
      </c>
      <c r="S1726" s="27" t="s">
        <v>43</v>
      </c>
      <c r="T1726" s="27" t="s">
        <v>918</v>
      </c>
      <c r="U1726" s="29">
        <v>1000</v>
      </c>
      <c r="V1726" s="27" t="s">
        <v>77</v>
      </c>
      <c r="W1726" s="27" t="s">
        <v>69</v>
      </c>
      <c r="X1726" s="26">
        <v>10</v>
      </c>
      <c r="Y1726" s="45" t="str">
        <f>HYPERLINK("https://api-enni.alpina.ru/FilePrivilegesApproval/152","https://api-enni.alpina.ru/FilePrivilegesApproval/152")</f>
        <v>https://api-enni.alpina.ru/FilePrivilegesApproval/152</v>
      </c>
      <c r="Z1726" s="27"/>
      <c r="AS1726" s="1">
        <f>IF($A1726&lt;&gt;0,1,0)</f>
        <v>0</v>
      </c>
      <c r="AT1726" s="1">
        <f>$A1726*$B1726</f>
        <v>0</v>
      </c>
      <c r="AU1726" s="1">
        <f>$A1726*$O1726</f>
        <v>0</v>
      </c>
      <c r="AV1726" s="1">
        <f>IF($R1726=0,0,INT($A1726/$R1726))</f>
        <v>0</v>
      </c>
      <c r="AW1726" s="1">
        <f>$A1726-$AV1726*$R1726</f>
        <v>0</v>
      </c>
    </row>
    <row r="1727" ht="24.95" customHeight="1" outlineLevel="3" s="1" customFormat="1">
      <c r="A1727" s="15"/>
      <c r="B1727" s="16">
        <v>940</v>
      </c>
      <c r="C1727" s="17">
        <v>1316</v>
      </c>
      <c r="D1727" s="16">
        <v>13861</v>
      </c>
      <c r="E1727" s="18"/>
      <c r="F1727" s="18" t="s">
        <v>914</v>
      </c>
      <c r="G1727" s="18" t="s">
        <v>5734</v>
      </c>
      <c r="H1727" s="18" t="s">
        <v>86</v>
      </c>
      <c r="I1727" s="18" t="s">
        <v>74</v>
      </c>
      <c r="J1727" s="16">
        <v>2025</v>
      </c>
      <c r="K1727" s="18" t="s">
        <v>5735</v>
      </c>
      <c r="L1727" s="16">
        <v>9785961480344</v>
      </c>
      <c r="M1727" s="18" t="s">
        <v>5736</v>
      </c>
      <c r="N1727" s="16">
        <v>205</v>
      </c>
      <c r="O1727" s="19">
        <v>0.36</v>
      </c>
      <c r="P1727" s="16">
        <v>150</v>
      </c>
      <c r="Q1727" s="16">
        <v>220</v>
      </c>
      <c r="R1727" s="16">
        <v>16</v>
      </c>
      <c r="S1727" s="18" t="s">
        <v>43</v>
      </c>
      <c r="T1727" s="18" t="s">
        <v>918</v>
      </c>
      <c r="U1727" s="17">
        <v>2000</v>
      </c>
      <c r="V1727" s="18" t="s">
        <v>77</v>
      </c>
      <c r="W1727" s="18" t="s">
        <v>184</v>
      </c>
      <c r="X1727" s="16">
        <v>10</v>
      </c>
      <c r="Y1727" s="43" t="str">
        <f>HYPERLINK("https://api-enni.alpina.ru/FilePrivilegesApproval/157","https://api-enni.alpina.ru/FilePrivilegesApproval/157")</f>
        <v>https://api-enni.alpina.ru/FilePrivilegesApproval/157</v>
      </c>
      <c r="Z1727" s="18"/>
      <c r="AS1727" s="1">
        <f>IF($A1727&lt;&gt;0,1,0)</f>
        <v>0</v>
      </c>
      <c r="AT1727" s="1">
        <f>$A1727*$B1727</f>
        <v>0</v>
      </c>
      <c r="AU1727" s="1">
        <f>$A1727*$O1727</f>
        <v>0</v>
      </c>
      <c r="AV1727" s="1">
        <f>IF($R1727=0,0,INT($A1727/$R1727))</f>
        <v>0</v>
      </c>
      <c r="AW1727" s="1">
        <f>$A1727-$AV1727*$R1727</f>
        <v>0</v>
      </c>
    </row>
    <row r="1728" ht="24.95" customHeight="1" outlineLevel="3" s="1" customFormat="1">
      <c r="A1728" s="15"/>
      <c r="B1728" s="16">
        <v>940</v>
      </c>
      <c r="C1728" s="17">
        <v>1316</v>
      </c>
      <c r="D1728" s="16">
        <v>5257</v>
      </c>
      <c r="E1728" s="18"/>
      <c r="F1728" s="18" t="s">
        <v>914</v>
      </c>
      <c r="G1728" s="18" t="s">
        <v>5737</v>
      </c>
      <c r="H1728" s="18" t="s">
        <v>86</v>
      </c>
      <c r="I1728" s="18" t="s">
        <v>74</v>
      </c>
      <c r="J1728" s="16">
        <v>2026</v>
      </c>
      <c r="K1728" s="18" t="s">
        <v>5738</v>
      </c>
      <c r="L1728" s="16">
        <v>9785961460704</v>
      </c>
      <c r="M1728" s="18" t="s">
        <v>5739</v>
      </c>
      <c r="N1728" s="16">
        <v>226</v>
      </c>
      <c r="O1728" s="19">
        <v>0.39</v>
      </c>
      <c r="P1728" s="16">
        <v>153</v>
      </c>
      <c r="Q1728" s="16">
        <v>216</v>
      </c>
      <c r="R1728" s="16">
        <v>10</v>
      </c>
      <c r="S1728" s="18" t="s">
        <v>43</v>
      </c>
      <c r="T1728" s="18" t="s">
        <v>918</v>
      </c>
      <c r="U1728" s="17">
        <v>1000</v>
      </c>
      <c r="V1728" s="18" t="s">
        <v>77</v>
      </c>
      <c r="W1728" s="18" t="s">
        <v>184</v>
      </c>
      <c r="X1728" s="16">
        <v>10</v>
      </c>
      <c r="Y1728" s="43" t="str">
        <f>HYPERLINK("https://api-enni.alpina.ru/FilePrivilegesApproval/152","https://api-enni.alpina.ru/FilePrivilegesApproval/152")</f>
        <v>https://api-enni.alpina.ru/FilePrivilegesApproval/152</v>
      </c>
      <c r="Z1728" s="18"/>
      <c r="AS1728" s="1">
        <f>IF($A1728&lt;&gt;0,1,0)</f>
        <v>0</v>
      </c>
      <c r="AT1728" s="1">
        <f>$A1728*$B1728</f>
        <v>0</v>
      </c>
      <c r="AU1728" s="1">
        <f>$A1728*$O1728</f>
        <v>0</v>
      </c>
      <c r="AV1728" s="1">
        <f>IF($R1728=0,0,INT($A1728/$R1728))</f>
        <v>0</v>
      </c>
      <c r="AW1728" s="1">
        <f>$A1728-$AV1728*$R1728</f>
        <v>0</v>
      </c>
    </row>
    <row r="1729" ht="24.95" customHeight="1" outlineLevel="3" s="1" customFormat="1">
      <c r="A1729" s="15"/>
      <c r="B1729" s="16">
        <v>940</v>
      </c>
      <c r="C1729" s="17">
        <v>1316</v>
      </c>
      <c r="D1729" s="16">
        <v>7347</v>
      </c>
      <c r="E1729" s="18"/>
      <c r="F1729" s="18" t="s">
        <v>914</v>
      </c>
      <c r="G1729" s="18" t="s">
        <v>5740</v>
      </c>
      <c r="H1729" s="18" t="s">
        <v>86</v>
      </c>
      <c r="I1729" s="18" t="s">
        <v>74</v>
      </c>
      <c r="J1729" s="16">
        <v>2026</v>
      </c>
      <c r="K1729" s="18" t="s">
        <v>5741</v>
      </c>
      <c r="L1729" s="16">
        <v>9785961464962</v>
      </c>
      <c r="M1729" s="18" t="s">
        <v>5742</v>
      </c>
      <c r="N1729" s="16">
        <v>224</v>
      </c>
      <c r="O1729" s="19">
        <v>0.34</v>
      </c>
      <c r="P1729" s="16">
        <v>140</v>
      </c>
      <c r="Q1729" s="16">
        <v>210</v>
      </c>
      <c r="R1729" s="16">
        <v>10</v>
      </c>
      <c r="S1729" s="18" t="s">
        <v>43</v>
      </c>
      <c r="T1729" s="18" t="s">
        <v>918</v>
      </c>
      <c r="U1729" s="17">
        <v>1000</v>
      </c>
      <c r="V1729" s="18" t="s">
        <v>77</v>
      </c>
      <c r="W1729" s="18" t="s">
        <v>184</v>
      </c>
      <c r="X1729" s="16">
        <v>10</v>
      </c>
      <c r="Y1729" s="43" t="str">
        <f>HYPERLINK("https://api-enni.alpina.ru/FilePrivilegesApproval/162","https://api-enni.alpina.ru/FilePrivilegesApproval/162")</f>
        <v>https://api-enni.alpina.ru/FilePrivilegesApproval/162</v>
      </c>
      <c r="Z1729" s="18"/>
      <c r="AS1729" s="1">
        <f>IF($A1729&lt;&gt;0,1,0)</f>
        <v>0</v>
      </c>
      <c r="AT1729" s="1">
        <f>$A1729*$B1729</f>
        <v>0</v>
      </c>
      <c r="AU1729" s="1">
        <f>$A1729*$O1729</f>
        <v>0</v>
      </c>
      <c r="AV1729" s="1">
        <f>IF($R1729=0,0,INT($A1729/$R1729))</f>
        <v>0</v>
      </c>
      <c r="AW1729" s="1">
        <f>$A1729-$AV1729*$R1729</f>
        <v>0</v>
      </c>
    </row>
    <row r="1730" ht="24.95" customHeight="1" outlineLevel="3" s="1" customFormat="1">
      <c r="A1730" s="15"/>
      <c r="B1730" s="16">
        <v>790</v>
      </c>
      <c r="C1730" s="17">
        <v>1146</v>
      </c>
      <c r="D1730" s="16">
        <v>13864</v>
      </c>
      <c r="E1730" s="18"/>
      <c r="F1730" s="18" t="s">
        <v>914</v>
      </c>
      <c r="G1730" s="18" t="s">
        <v>5743</v>
      </c>
      <c r="H1730" s="18" t="s">
        <v>86</v>
      </c>
      <c r="I1730" s="18" t="s">
        <v>74</v>
      </c>
      <c r="J1730" s="16">
        <v>2024</v>
      </c>
      <c r="K1730" s="18" t="s">
        <v>5744</v>
      </c>
      <c r="L1730" s="16">
        <v>9785961480337</v>
      </c>
      <c r="M1730" s="18" t="s">
        <v>5745</v>
      </c>
      <c r="N1730" s="16">
        <v>266</v>
      </c>
      <c r="O1730" s="19">
        <v>0.45</v>
      </c>
      <c r="P1730" s="16">
        <v>160</v>
      </c>
      <c r="Q1730" s="16">
        <v>220</v>
      </c>
      <c r="R1730" s="16">
        <v>7</v>
      </c>
      <c r="S1730" s="18" t="s">
        <v>43</v>
      </c>
      <c r="T1730" s="18" t="s">
        <v>918</v>
      </c>
      <c r="U1730" s="17">
        <v>1000</v>
      </c>
      <c r="V1730" s="18" t="s">
        <v>77</v>
      </c>
      <c r="W1730" s="18" t="s">
        <v>184</v>
      </c>
      <c r="X1730" s="16">
        <v>10</v>
      </c>
      <c r="Y1730" s="43" t="str">
        <f>HYPERLINK("https://api-enni.alpina.ru/FilePrivilegesApproval/163","https://api-enni.alpina.ru/FilePrivilegesApproval/163")</f>
        <v>https://api-enni.alpina.ru/FilePrivilegesApproval/163</v>
      </c>
      <c r="Z1730" s="18"/>
      <c r="AS1730" s="1">
        <f>IF($A1730&lt;&gt;0,1,0)</f>
        <v>0</v>
      </c>
      <c r="AT1730" s="1">
        <f>$A1730*$B1730</f>
        <v>0</v>
      </c>
      <c r="AU1730" s="1">
        <f>$A1730*$O1730</f>
        <v>0</v>
      </c>
      <c r="AV1730" s="1">
        <f>IF($R1730=0,0,INT($A1730/$R1730))</f>
        <v>0</v>
      </c>
      <c r="AW1730" s="1">
        <f>$A1730-$AV1730*$R1730</f>
        <v>0</v>
      </c>
    </row>
    <row r="1731" ht="24.95" customHeight="1" outlineLevel="3" s="1" customFormat="1">
      <c r="A1731" s="15"/>
      <c r="B1731" s="16">
        <v>790</v>
      </c>
      <c r="C1731" s="17">
        <v>1146</v>
      </c>
      <c r="D1731" s="16">
        <v>5261</v>
      </c>
      <c r="E1731" s="18"/>
      <c r="F1731" s="18" t="s">
        <v>914</v>
      </c>
      <c r="G1731" s="18" t="s">
        <v>5746</v>
      </c>
      <c r="H1731" s="18" t="s">
        <v>86</v>
      </c>
      <c r="I1731" s="18" t="s">
        <v>74</v>
      </c>
      <c r="J1731" s="16">
        <v>2025</v>
      </c>
      <c r="K1731" s="18" t="s">
        <v>5747</v>
      </c>
      <c r="L1731" s="16">
        <v>9785961471168</v>
      </c>
      <c r="M1731" s="18" t="s">
        <v>5748</v>
      </c>
      <c r="N1731" s="16">
        <v>242</v>
      </c>
      <c r="O1731" s="19">
        <v>0.41</v>
      </c>
      <c r="P1731" s="16">
        <v>153</v>
      </c>
      <c r="Q1731" s="16">
        <v>216</v>
      </c>
      <c r="R1731" s="16">
        <v>10</v>
      </c>
      <c r="S1731" s="18" t="s">
        <v>43</v>
      </c>
      <c r="T1731" s="18" t="s">
        <v>918</v>
      </c>
      <c r="U1731" s="17">
        <v>2000</v>
      </c>
      <c r="V1731" s="18" t="s">
        <v>77</v>
      </c>
      <c r="W1731" s="18" t="s">
        <v>184</v>
      </c>
      <c r="X1731" s="16">
        <v>10</v>
      </c>
      <c r="Y1731" s="43" t="str">
        <f>HYPERLINK("https://api-enni.alpina.ru/FilePrivilegesApproval/2","https://api-enni.alpina.ru/FilePrivilegesApproval/2")</f>
        <v>https://api-enni.alpina.ru/FilePrivilegesApproval/2</v>
      </c>
      <c r="Z1731" s="18"/>
      <c r="AS1731" s="1">
        <f>IF($A1731&lt;&gt;0,1,0)</f>
        <v>0</v>
      </c>
      <c r="AT1731" s="1">
        <f>$A1731*$B1731</f>
        <v>0</v>
      </c>
      <c r="AU1731" s="1">
        <f>$A1731*$O1731</f>
        <v>0</v>
      </c>
      <c r="AV1731" s="1">
        <f>IF($R1731=0,0,INT($A1731/$R1731))</f>
        <v>0</v>
      </c>
      <c r="AW1731" s="1">
        <f>$A1731-$AV1731*$R1731</f>
        <v>0</v>
      </c>
    </row>
    <row r="1732" ht="24.95" customHeight="1" outlineLevel="3" s="1" customFormat="1">
      <c r="A1732" s="15"/>
      <c r="B1732" s="16">
        <v>940</v>
      </c>
      <c r="C1732" s="17">
        <v>1316</v>
      </c>
      <c r="D1732" s="16">
        <v>18439</v>
      </c>
      <c r="E1732" s="18"/>
      <c r="F1732" s="18" t="s">
        <v>914</v>
      </c>
      <c r="G1732" s="18" t="s">
        <v>5749</v>
      </c>
      <c r="H1732" s="18" t="s">
        <v>86</v>
      </c>
      <c r="I1732" s="18" t="s">
        <v>74</v>
      </c>
      <c r="J1732" s="16">
        <v>2026</v>
      </c>
      <c r="K1732" s="18" t="s">
        <v>5750</v>
      </c>
      <c r="L1732" s="16">
        <v>9785961481860</v>
      </c>
      <c r="M1732" s="18" t="s">
        <v>5751</v>
      </c>
      <c r="N1732" s="16">
        <v>206</v>
      </c>
      <c r="O1732" s="19">
        <v>0.36</v>
      </c>
      <c r="P1732" s="16">
        <v>160</v>
      </c>
      <c r="Q1732" s="16">
        <v>220</v>
      </c>
      <c r="R1732" s="16">
        <v>10</v>
      </c>
      <c r="S1732" s="18" t="s">
        <v>43</v>
      </c>
      <c r="T1732" s="18" t="s">
        <v>918</v>
      </c>
      <c r="U1732" s="17">
        <v>1000</v>
      </c>
      <c r="V1732" s="18" t="s">
        <v>77</v>
      </c>
      <c r="W1732" s="18" t="s">
        <v>184</v>
      </c>
      <c r="X1732" s="16">
        <v>10</v>
      </c>
      <c r="Y1732" s="43" t="str">
        <f>HYPERLINK("https://api-enni.alpina.ru/FilePrivilegesApproval/157","https://api-enni.alpina.ru/FilePrivilegesApproval/157")</f>
        <v>https://api-enni.alpina.ru/FilePrivilegesApproval/157</v>
      </c>
      <c r="Z1732" s="18"/>
      <c r="AS1732" s="1">
        <f>IF($A1732&lt;&gt;0,1,0)</f>
        <v>0</v>
      </c>
      <c r="AT1732" s="1">
        <f>$A1732*$B1732</f>
        <v>0</v>
      </c>
      <c r="AU1732" s="1">
        <f>$A1732*$O1732</f>
        <v>0</v>
      </c>
      <c r="AV1732" s="1">
        <f>IF($R1732=0,0,INT($A1732/$R1732))</f>
        <v>0</v>
      </c>
      <c r="AW1732" s="1">
        <f>$A1732-$AV1732*$R1732</f>
        <v>0</v>
      </c>
    </row>
    <row r="1733" ht="24.95" customHeight="1" outlineLevel="3" s="1" customFormat="1">
      <c r="A1733" s="15"/>
      <c r="B1733" s="16">
        <v>940</v>
      </c>
      <c r="C1733" s="17">
        <v>1316</v>
      </c>
      <c r="D1733" s="16">
        <v>5258</v>
      </c>
      <c r="E1733" s="18"/>
      <c r="F1733" s="18" t="s">
        <v>914</v>
      </c>
      <c r="G1733" s="18" t="s">
        <v>5752</v>
      </c>
      <c r="H1733" s="18" t="s">
        <v>86</v>
      </c>
      <c r="I1733" s="18" t="s">
        <v>74</v>
      </c>
      <c r="J1733" s="16">
        <v>2026</v>
      </c>
      <c r="K1733" s="18" t="s">
        <v>5753</v>
      </c>
      <c r="L1733" s="16">
        <v>9785961470239</v>
      </c>
      <c r="M1733" s="18" t="s">
        <v>5754</v>
      </c>
      <c r="N1733" s="16">
        <v>188</v>
      </c>
      <c r="O1733" s="19">
        <v>0.35</v>
      </c>
      <c r="P1733" s="16">
        <v>150</v>
      </c>
      <c r="Q1733" s="16">
        <v>220</v>
      </c>
      <c r="R1733" s="16">
        <v>10</v>
      </c>
      <c r="S1733" s="18" t="s">
        <v>43</v>
      </c>
      <c r="T1733" s="18" t="s">
        <v>918</v>
      </c>
      <c r="U1733" s="17">
        <v>1000</v>
      </c>
      <c r="V1733" s="18" t="s">
        <v>77</v>
      </c>
      <c r="W1733" s="18" t="s">
        <v>184</v>
      </c>
      <c r="X1733" s="16">
        <v>10</v>
      </c>
      <c r="Y1733" s="43" t="str">
        <f>HYPERLINK("https://api-enni.alpina.ru/FilePrivilegesApproval/2","https://api-enni.alpina.ru/FilePrivilegesApproval/2")</f>
        <v>https://api-enni.alpina.ru/FilePrivilegesApproval/2</v>
      </c>
      <c r="Z1733" s="18"/>
      <c r="AS1733" s="1">
        <f>IF($A1733&lt;&gt;0,1,0)</f>
        <v>0</v>
      </c>
      <c r="AT1733" s="1">
        <f>$A1733*$B1733</f>
        <v>0</v>
      </c>
      <c r="AU1733" s="1">
        <f>$A1733*$O1733</f>
        <v>0</v>
      </c>
      <c r="AV1733" s="1">
        <f>IF($R1733=0,0,INT($A1733/$R1733))</f>
        <v>0</v>
      </c>
      <c r="AW1733" s="1">
        <f>$A1733-$AV1733*$R1733</f>
        <v>0</v>
      </c>
    </row>
    <row r="1734" ht="11.1" customHeight="1" outlineLevel="2">
      <c r="A1734" s="41" t="s">
        <v>5755</v>
      </c>
      <c r="B1734" s="41"/>
      <c r="C1734" s="41"/>
      <c r="D1734" s="41"/>
      <c r="E1734" s="41"/>
      <c r="F1734" s="41"/>
      <c r="G1734" s="41"/>
      <c r="H1734" s="41"/>
      <c r="I1734" s="41"/>
      <c r="J1734" s="41"/>
      <c r="K1734" s="41"/>
      <c r="L1734" s="41"/>
      <c r="M1734" s="41"/>
      <c r="N1734" s="41"/>
      <c r="O1734" s="41"/>
      <c r="P1734" s="41"/>
      <c r="Q1734" s="41"/>
      <c r="R1734" s="41"/>
      <c r="S1734" s="41"/>
      <c r="T1734" s="41"/>
      <c r="U1734" s="41"/>
      <c r="V1734" s="41"/>
      <c r="W1734" s="41"/>
      <c r="X1734" s="41"/>
      <c r="Y1734" s="41"/>
      <c r="Z1734" s="24"/>
    </row>
    <row r="1735" ht="24.95" customHeight="1" outlineLevel="3" s="1" customFormat="1">
      <c r="A1735" s="15"/>
      <c r="B1735" s="17">
        <v>1490</v>
      </c>
      <c r="C1735" s="17">
        <v>2012</v>
      </c>
      <c r="D1735" s="16">
        <v>6545</v>
      </c>
      <c r="E1735" s="18"/>
      <c r="F1735" s="18" t="s">
        <v>5756</v>
      </c>
      <c r="G1735" s="18" t="s">
        <v>5757</v>
      </c>
      <c r="H1735" s="18" t="s">
        <v>86</v>
      </c>
      <c r="I1735" s="18" t="s">
        <v>74</v>
      </c>
      <c r="J1735" s="16">
        <v>2026</v>
      </c>
      <c r="K1735" s="18" t="s">
        <v>5758</v>
      </c>
      <c r="L1735" s="16">
        <v>9785961463613</v>
      </c>
      <c r="M1735" s="18" t="s">
        <v>5759</v>
      </c>
      <c r="N1735" s="16">
        <v>534</v>
      </c>
      <c r="O1735" s="19">
        <v>0.85</v>
      </c>
      <c r="P1735" s="16">
        <v>163</v>
      </c>
      <c r="Q1735" s="16">
        <v>235</v>
      </c>
      <c r="R1735" s="16">
        <v>10</v>
      </c>
      <c r="S1735" s="18" t="s">
        <v>123</v>
      </c>
      <c r="T1735" s="18" t="s">
        <v>5760</v>
      </c>
      <c r="U1735" s="17">
        <v>1000</v>
      </c>
      <c r="V1735" s="18" t="s">
        <v>44</v>
      </c>
      <c r="W1735" s="18" t="s">
        <v>69</v>
      </c>
      <c r="X1735" s="16">
        <v>10</v>
      </c>
      <c r="Y1735" s="43" t="str">
        <f>HYPERLINK("https://api-enni.alpina.ru/FilePrivilegesApproval/156","https://api-enni.alpina.ru/FilePrivilegesApproval/156")</f>
        <v>https://api-enni.alpina.ru/FilePrivilegesApproval/156</v>
      </c>
      <c r="Z1735" s="18" t="s">
        <v>3230</v>
      </c>
      <c r="AS1735" s="1">
        <f>IF($A1735&lt;&gt;0,1,0)</f>
        <v>0</v>
      </c>
      <c r="AT1735" s="1">
        <f>$A1735*$B1735</f>
        <v>0</v>
      </c>
      <c r="AU1735" s="1">
        <f>$A1735*$O1735</f>
        <v>0</v>
      </c>
      <c r="AV1735" s="1">
        <f>IF($R1735=0,0,INT($A1735/$R1735))</f>
        <v>0</v>
      </c>
      <c r="AW1735" s="1">
        <f>$A1735-$AV1735*$R1735</f>
        <v>0</v>
      </c>
    </row>
    <row r="1736" ht="24.95" customHeight="1" outlineLevel="3" s="1" customFormat="1">
      <c r="A1736" s="15"/>
      <c r="B1736" s="17">
        <v>1190</v>
      </c>
      <c r="C1736" s="17">
        <v>1606</v>
      </c>
      <c r="D1736" s="16">
        <v>15980</v>
      </c>
      <c r="E1736" s="18"/>
      <c r="F1736" s="18" t="s">
        <v>5761</v>
      </c>
      <c r="G1736" s="18" t="s">
        <v>5762</v>
      </c>
      <c r="H1736" s="18" t="s">
        <v>86</v>
      </c>
      <c r="I1736" s="18" t="s">
        <v>74</v>
      </c>
      <c r="J1736" s="16">
        <v>2023</v>
      </c>
      <c r="K1736" s="18" t="s">
        <v>5763</v>
      </c>
      <c r="L1736" s="16">
        <v>9785961477450</v>
      </c>
      <c r="M1736" s="18" t="s">
        <v>5764</v>
      </c>
      <c r="N1736" s="16">
        <v>220</v>
      </c>
      <c r="O1736" s="19">
        <v>0.45</v>
      </c>
      <c r="P1736" s="16">
        <v>170</v>
      </c>
      <c r="Q1736" s="16">
        <v>240</v>
      </c>
      <c r="R1736" s="16">
        <v>8</v>
      </c>
      <c r="S1736" s="18" t="s">
        <v>123</v>
      </c>
      <c r="T1736" s="18" t="s">
        <v>5760</v>
      </c>
      <c r="U1736" s="17">
        <v>1500</v>
      </c>
      <c r="V1736" s="18" t="s">
        <v>44</v>
      </c>
      <c r="W1736" s="18" t="s">
        <v>91</v>
      </c>
      <c r="X1736" s="16">
        <v>10</v>
      </c>
      <c r="Y1736" s="43" t="str">
        <f>HYPERLINK("https://api-enni.alpina.ru/FilePrivilegesApproval/177","https://api-enni.alpina.ru/FilePrivilegesApproval/177")</f>
        <v>https://api-enni.alpina.ru/FilePrivilegesApproval/177</v>
      </c>
      <c r="Z1736" s="18"/>
      <c r="AS1736" s="1">
        <f>IF($A1736&lt;&gt;0,1,0)</f>
        <v>0</v>
      </c>
      <c r="AT1736" s="1">
        <f>$A1736*$B1736</f>
        <v>0</v>
      </c>
      <c r="AU1736" s="1">
        <f>$A1736*$O1736</f>
        <v>0</v>
      </c>
      <c r="AV1736" s="1">
        <f>IF($R1736=0,0,INT($A1736/$R1736))</f>
        <v>0</v>
      </c>
      <c r="AW1736" s="1">
        <f>$A1736-$AV1736*$R1736</f>
        <v>0</v>
      </c>
    </row>
    <row r="1737" ht="24.95" customHeight="1" outlineLevel="3" s="1" customFormat="1">
      <c r="A1737" s="15"/>
      <c r="B1737" s="17">
        <v>1190</v>
      </c>
      <c r="C1737" s="17">
        <v>1607</v>
      </c>
      <c r="D1737" s="16">
        <v>8920</v>
      </c>
      <c r="E1737" s="18"/>
      <c r="F1737" s="18" t="s">
        <v>5765</v>
      </c>
      <c r="G1737" s="18" t="s">
        <v>5766</v>
      </c>
      <c r="H1737" s="18" t="s">
        <v>86</v>
      </c>
      <c r="I1737" s="18" t="s">
        <v>74</v>
      </c>
      <c r="J1737" s="16">
        <v>2026</v>
      </c>
      <c r="K1737" s="18" t="s">
        <v>5767</v>
      </c>
      <c r="L1737" s="16">
        <v>9785961434545</v>
      </c>
      <c r="M1737" s="18" t="s">
        <v>5768</v>
      </c>
      <c r="N1737" s="16">
        <v>304</v>
      </c>
      <c r="O1737" s="19">
        <v>0.47</v>
      </c>
      <c r="P1737" s="16">
        <v>163</v>
      </c>
      <c r="Q1737" s="16">
        <v>235</v>
      </c>
      <c r="R1737" s="16">
        <v>10</v>
      </c>
      <c r="S1737" s="18" t="s">
        <v>123</v>
      </c>
      <c r="T1737" s="18" t="s">
        <v>5760</v>
      </c>
      <c r="U1737" s="17">
        <v>1000</v>
      </c>
      <c r="V1737" s="18" t="s">
        <v>44</v>
      </c>
      <c r="W1737" s="18" t="s">
        <v>184</v>
      </c>
      <c r="X1737" s="16">
        <v>10</v>
      </c>
      <c r="Y1737" s="43" t="str">
        <f>HYPERLINK("https://api-enni.alpina.ru/FilePrivilegesApproval/80","https://api-enni.alpina.ru/FilePrivilegesApproval/80")</f>
        <v>https://api-enni.alpina.ru/FilePrivilegesApproval/80</v>
      </c>
      <c r="Z1737" s="18"/>
      <c r="AS1737" s="1">
        <f>IF($A1737&lt;&gt;0,1,0)</f>
        <v>0</v>
      </c>
      <c r="AT1737" s="1">
        <f>$A1737*$B1737</f>
        <v>0</v>
      </c>
      <c r="AU1737" s="1">
        <f>$A1737*$O1737</f>
        <v>0</v>
      </c>
      <c r="AV1737" s="1">
        <f>IF($R1737=0,0,INT($A1737/$R1737))</f>
        <v>0</v>
      </c>
      <c r="AW1737" s="1">
        <f>$A1737-$AV1737*$R1737</f>
        <v>0</v>
      </c>
    </row>
    <row r="1738" ht="24.95" customHeight="1" outlineLevel="3" s="1" customFormat="1">
      <c r="A1738" s="15"/>
      <c r="B1738" s="17">
        <v>1490</v>
      </c>
      <c r="C1738" s="17">
        <v>2012</v>
      </c>
      <c r="D1738" s="16">
        <v>11582</v>
      </c>
      <c r="E1738" s="18"/>
      <c r="F1738" s="18" t="s">
        <v>5769</v>
      </c>
      <c r="G1738" s="18" t="s">
        <v>5770</v>
      </c>
      <c r="H1738" s="18" t="s">
        <v>86</v>
      </c>
      <c r="I1738" s="18" t="s">
        <v>74</v>
      </c>
      <c r="J1738" s="16">
        <v>2023</v>
      </c>
      <c r="K1738" s="18" t="s">
        <v>5771</v>
      </c>
      <c r="L1738" s="16">
        <v>9785961436822</v>
      </c>
      <c r="M1738" s="18" t="s">
        <v>5772</v>
      </c>
      <c r="N1738" s="16">
        <v>389</v>
      </c>
      <c r="O1738" s="19">
        <v>0.6</v>
      </c>
      <c r="P1738" s="16">
        <v>163</v>
      </c>
      <c r="Q1738" s="16">
        <v>235</v>
      </c>
      <c r="R1738" s="16">
        <v>7</v>
      </c>
      <c r="S1738" s="18" t="s">
        <v>123</v>
      </c>
      <c r="T1738" s="18" t="s">
        <v>5760</v>
      </c>
      <c r="U1738" s="17">
        <v>1500</v>
      </c>
      <c r="V1738" s="18" t="s">
        <v>44</v>
      </c>
      <c r="W1738" s="18" t="s">
        <v>91</v>
      </c>
      <c r="X1738" s="16">
        <v>10</v>
      </c>
      <c r="Y1738" s="43" t="str">
        <f>HYPERLINK("https://api-enni.alpina.ru/FilePrivilegesApproval/163","https://api-enni.alpina.ru/FilePrivilegesApproval/163")</f>
        <v>https://api-enni.alpina.ru/FilePrivilegesApproval/163</v>
      </c>
      <c r="Z1738" s="18"/>
      <c r="AS1738" s="1">
        <f>IF($A1738&lt;&gt;0,1,0)</f>
        <v>0</v>
      </c>
      <c r="AT1738" s="1">
        <f>$A1738*$B1738</f>
        <v>0</v>
      </c>
      <c r="AU1738" s="1">
        <f>$A1738*$O1738</f>
        <v>0</v>
      </c>
      <c r="AV1738" s="1">
        <f>IF($R1738=0,0,INT($A1738/$R1738))</f>
        <v>0</v>
      </c>
      <c r="AW1738" s="1">
        <f>$A1738-$AV1738*$R1738</f>
        <v>0</v>
      </c>
    </row>
    <row r="1739" ht="24.95" customHeight="1" outlineLevel="3" s="1" customFormat="1">
      <c r="A1739" s="15"/>
      <c r="B1739" s="17">
        <v>1490</v>
      </c>
      <c r="C1739" s="17">
        <v>2012</v>
      </c>
      <c r="D1739" s="16">
        <v>11040</v>
      </c>
      <c r="E1739" s="18"/>
      <c r="F1739" s="18" t="s">
        <v>5773</v>
      </c>
      <c r="G1739" s="18" t="s">
        <v>5774</v>
      </c>
      <c r="H1739" s="18" t="s">
        <v>86</v>
      </c>
      <c r="I1739" s="18" t="s">
        <v>74</v>
      </c>
      <c r="J1739" s="16">
        <v>2023</v>
      </c>
      <c r="K1739" s="18" t="s">
        <v>5775</v>
      </c>
      <c r="L1739" s="16">
        <v>9785961436808</v>
      </c>
      <c r="M1739" s="18" t="s">
        <v>5776</v>
      </c>
      <c r="N1739" s="16">
        <v>435</v>
      </c>
      <c r="O1739" s="19">
        <v>0.7</v>
      </c>
      <c r="P1739" s="16">
        <v>170</v>
      </c>
      <c r="Q1739" s="16">
        <v>240</v>
      </c>
      <c r="R1739" s="16">
        <v>5</v>
      </c>
      <c r="S1739" s="18" t="s">
        <v>123</v>
      </c>
      <c r="T1739" s="18" t="s">
        <v>5760</v>
      </c>
      <c r="U1739" s="17">
        <v>1500</v>
      </c>
      <c r="V1739" s="18" t="s">
        <v>44</v>
      </c>
      <c r="W1739" s="18" t="s">
        <v>69</v>
      </c>
      <c r="X1739" s="16">
        <v>10</v>
      </c>
      <c r="Y1739" s="43" t="str">
        <f>HYPERLINK("https://api-enni.alpina.ru/FilePrivilegesApproval/405","https://api-enni.alpina.ru/FilePrivilegesApproval/405")</f>
        <v>https://api-enni.alpina.ru/FilePrivilegesApproval/405</v>
      </c>
      <c r="Z1739" s="18"/>
      <c r="AS1739" s="1">
        <f>IF($A1739&lt;&gt;0,1,0)</f>
        <v>0</v>
      </c>
      <c r="AT1739" s="1">
        <f>$A1739*$B1739</f>
        <v>0</v>
      </c>
      <c r="AU1739" s="1">
        <f>$A1739*$O1739</f>
        <v>0</v>
      </c>
      <c r="AV1739" s="1">
        <f>IF($R1739=0,0,INT($A1739/$R1739))</f>
        <v>0</v>
      </c>
      <c r="AW1739" s="1">
        <f>$A1739-$AV1739*$R1739</f>
        <v>0</v>
      </c>
    </row>
    <row r="1740" ht="11.1" customHeight="1" outlineLevel="2">
      <c r="A1740" s="41" t="s">
        <v>5777</v>
      </c>
      <c r="B1740" s="41"/>
      <c r="C1740" s="41"/>
      <c r="D1740" s="41"/>
      <c r="E1740" s="41"/>
      <c r="F1740" s="41"/>
      <c r="G1740" s="41"/>
      <c r="H1740" s="41"/>
      <c r="I1740" s="41"/>
      <c r="J1740" s="41"/>
      <c r="K1740" s="41"/>
      <c r="L1740" s="41"/>
      <c r="M1740" s="41"/>
      <c r="N1740" s="41"/>
      <c r="O1740" s="41"/>
      <c r="P1740" s="41"/>
      <c r="Q1740" s="41"/>
      <c r="R1740" s="41"/>
      <c r="S1740" s="41"/>
      <c r="T1740" s="41"/>
      <c r="U1740" s="41"/>
      <c r="V1740" s="41"/>
      <c r="W1740" s="41"/>
      <c r="X1740" s="41"/>
      <c r="Y1740" s="41"/>
      <c r="Z1740" s="24"/>
    </row>
    <row r="1741" ht="24.95" customHeight="1" outlineLevel="3" s="1" customFormat="1">
      <c r="A1741" s="15"/>
      <c r="B1741" s="17">
        <v>1090</v>
      </c>
      <c r="C1741" s="17">
        <v>1472</v>
      </c>
      <c r="D1741" s="16">
        <v>36151</v>
      </c>
      <c r="E1741" s="18"/>
      <c r="F1741" s="18" t="s">
        <v>5778</v>
      </c>
      <c r="G1741" s="18" t="s">
        <v>5779</v>
      </c>
      <c r="H1741" s="18" t="s">
        <v>86</v>
      </c>
      <c r="I1741" s="18" t="s">
        <v>74</v>
      </c>
      <c r="J1741" s="16">
        <v>2025</v>
      </c>
      <c r="K1741" s="18" t="s">
        <v>5780</v>
      </c>
      <c r="L1741" s="16">
        <v>9785006316317</v>
      </c>
      <c r="M1741" s="18" t="s">
        <v>5781</v>
      </c>
      <c r="N1741" s="16">
        <v>336</v>
      </c>
      <c r="O1741" s="19">
        <v>0.66</v>
      </c>
      <c r="P1741" s="16">
        <v>170</v>
      </c>
      <c r="Q1741" s="16">
        <v>240</v>
      </c>
      <c r="R1741" s="16">
        <v>8</v>
      </c>
      <c r="S1741" s="18" t="s">
        <v>123</v>
      </c>
      <c r="T1741" s="18" t="s">
        <v>168</v>
      </c>
      <c r="U1741" s="17">
        <v>1500</v>
      </c>
      <c r="V1741" s="18" t="s">
        <v>77</v>
      </c>
      <c r="W1741" s="18" t="s">
        <v>184</v>
      </c>
      <c r="X1741" s="16">
        <v>10</v>
      </c>
      <c r="Y1741" s="43" t="str">
        <f>HYPERLINK("https://api-enni.alpina.ru/FilePrivilegesApproval/1097","https://api-enni.alpina.ru/FilePrivilegesApproval/1097")</f>
        <v>https://api-enni.alpina.ru/FilePrivilegesApproval/1097</v>
      </c>
      <c r="Z1741" s="18"/>
      <c r="AS1741" s="1">
        <f>IF($A1741&lt;&gt;0,1,0)</f>
        <v>0</v>
      </c>
      <c r="AT1741" s="1">
        <f>$A1741*$B1741</f>
        <v>0</v>
      </c>
      <c r="AU1741" s="1">
        <f>$A1741*$O1741</f>
        <v>0</v>
      </c>
      <c r="AV1741" s="1">
        <f>IF($R1741=0,0,INT($A1741/$R1741))</f>
        <v>0</v>
      </c>
      <c r="AW1741" s="1">
        <f>$A1741-$AV1741*$R1741</f>
        <v>0</v>
      </c>
    </row>
    <row r="1742" ht="24.95" customHeight="1" outlineLevel="3" s="1" customFormat="1">
      <c r="A1742" s="15"/>
      <c r="B1742" s="17">
        <v>1090</v>
      </c>
      <c r="C1742" s="17">
        <v>1472</v>
      </c>
      <c r="D1742" s="16">
        <v>36477</v>
      </c>
      <c r="E1742" s="18"/>
      <c r="F1742" s="18" t="s">
        <v>5782</v>
      </c>
      <c r="G1742" s="18" t="s">
        <v>5783</v>
      </c>
      <c r="H1742" s="18" t="s">
        <v>86</v>
      </c>
      <c r="I1742" s="18" t="s">
        <v>74</v>
      </c>
      <c r="J1742" s="16">
        <v>2026</v>
      </c>
      <c r="K1742" s="18" t="s">
        <v>5784</v>
      </c>
      <c r="L1742" s="16">
        <v>9785006317222</v>
      </c>
      <c r="M1742" s="18" t="s">
        <v>5785</v>
      </c>
      <c r="N1742" s="16">
        <v>472</v>
      </c>
      <c r="O1742" s="19">
        <v>0.86</v>
      </c>
      <c r="P1742" s="16">
        <v>170</v>
      </c>
      <c r="Q1742" s="16">
        <v>240</v>
      </c>
      <c r="R1742" s="16">
        <v>5</v>
      </c>
      <c r="S1742" s="18" t="s">
        <v>123</v>
      </c>
      <c r="T1742" s="18" t="s">
        <v>168</v>
      </c>
      <c r="U1742" s="17">
        <v>1500</v>
      </c>
      <c r="V1742" s="18" t="s">
        <v>77</v>
      </c>
      <c r="W1742" s="18" t="s">
        <v>184</v>
      </c>
      <c r="X1742" s="16">
        <v>10</v>
      </c>
      <c r="Y1742" s="43" t="str">
        <f>HYPERLINK("https://api-enni.alpina.ru/FilePrivilegesApproval/1119","https://api-enni.alpina.ru/FilePrivilegesApproval/1119")</f>
        <v>https://api-enni.alpina.ru/FilePrivilegesApproval/1119</v>
      </c>
      <c r="Z1742" s="18"/>
      <c r="AS1742" s="1">
        <f>IF($A1742&lt;&gt;0,1,0)</f>
        <v>0</v>
      </c>
      <c r="AT1742" s="1">
        <f>$A1742*$B1742</f>
        <v>0</v>
      </c>
      <c r="AU1742" s="1">
        <f>$A1742*$O1742</f>
        <v>0</v>
      </c>
      <c r="AV1742" s="1">
        <f>IF($R1742=0,0,INT($A1742/$R1742))</f>
        <v>0</v>
      </c>
      <c r="AW1742" s="1">
        <f>$A1742-$AV1742*$R1742</f>
        <v>0</v>
      </c>
    </row>
    <row r="1743" ht="24.95" customHeight="1" outlineLevel="3" s="1" customFormat="1">
      <c r="A1743" s="15"/>
      <c r="B1743" s="17">
        <v>1290</v>
      </c>
      <c r="C1743" s="17">
        <v>1742</v>
      </c>
      <c r="D1743" s="16">
        <v>35669</v>
      </c>
      <c r="E1743" s="18"/>
      <c r="F1743" s="18" t="s">
        <v>5786</v>
      </c>
      <c r="G1743" s="18" t="s">
        <v>5787</v>
      </c>
      <c r="H1743" s="18" t="s">
        <v>86</v>
      </c>
      <c r="I1743" s="18" t="s">
        <v>74</v>
      </c>
      <c r="J1743" s="16">
        <v>2025</v>
      </c>
      <c r="K1743" s="18" t="s">
        <v>5788</v>
      </c>
      <c r="L1743" s="16">
        <v>9785006312654</v>
      </c>
      <c r="M1743" s="18" t="s">
        <v>5789</v>
      </c>
      <c r="N1743" s="16">
        <v>612</v>
      </c>
      <c r="O1743" s="19">
        <v>0.88</v>
      </c>
      <c r="P1743" s="16">
        <v>170</v>
      </c>
      <c r="Q1743" s="16">
        <v>240</v>
      </c>
      <c r="R1743" s="16">
        <v>4</v>
      </c>
      <c r="S1743" s="18" t="s">
        <v>123</v>
      </c>
      <c r="T1743" s="18" t="s">
        <v>168</v>
      </c>
      <c r="U1743" s="17">
        <v>2000</v>
      </c>
      <c r="V1743" s="18" t="s">
        <v>77</v>
      </c>
      <c r="W1743" s="18" t="s">
        <v>184</v>
      </c>
      <c r="X1743" s="16">
        <v>10</v>
      </c>
      <c r="Y1743" s="43" t="str">
        <f>HYPERLINK("https://api-enni.alpina.ru/FilePrivilegesApproval/1052","https://api-enni.alpina.ru/FilePrivilegesApproval/1052")</f>
        <v>https://api-enni.alpina.ru/FilePrivilegesApproval/1052</v>
      </c>
      <c r="Z1743" s="18"/>
      <c r="AS1743" s="1">
        <f>IF($A1743&lt;&gt;0,1,0)</f>
        <v>0</v>
      </c>
      <c r="AT1743" s="1">
        <f>$A1743*$B1743</f>
        <v>0</v>
      </c>
      <c r="AU1743" s="1">
        <f>$A1743*$O1743</f>
        <v>0</v>
      </c>
      <c r="AV1743" s="1">
        <f>IF($R1743=0,0,INT($A1743/$R1743))</f>
        <v>0</v>
      </c>
      <c r="AW1743" s="1">
        <f>$A1743-$AV1743*$R1743</f>
        <v>0</v>
      </c>
    </row>
    <row r="1744" ht="24.95" customHeight="1" outlineLevel="3" s="1" customFormat="1">
      <c r="A1744" s="15"/>
      <c r="B1744" s="17">
        <v>1090</v>
      </c>
      <c r="C1744" s="17">
        <v>1472</v>
      </c>
      <c r="D1744" s="16">
        <v>35828</v>
      </c>
      <c r="E1744" s="18"/>
      <c r="F1744" s="18" t="s">
        <v>4913</v>
      </c>
      <c r="G1744" s="18" t="s">
        <v>5790</v>
      </c>
      <c r="H1744" s="18" t="s">
        <v>86</v>
      </c>
      <c r="I1744" s="18" t="s">
        <v>74</v>
      </c>
      <c r="J1744" s="16">
        <v>2025</v>
      </c>
      <c r="K1744" s="18" t="s">
        <v>5791</v>
      </c>
      <c r="L1744" s="16">
        <v>9785006313514</v>
      </c>
      <c r="M1744" s="18" t="s">
        <v>5792</v>
      </c>
      <c r="N1744" s="16">
        <v>408</v>
      </c>
      <c r="O1744" s="19">
        <v>0.77</v>
      </c>
      <c r="P1744" s="16">
        <v>170</v>
      </c>
      <c r="Q1744" s="16">
        <v>240</v>
      </c>
      <c r="R1744" s="16">
        <v>6</v>
      </c>
      <c r="S1744" s="18" t="s">
        <v>123</v>
      </c>
      <c r="T1744" s="18" t="s">
        <v>168</v>
      </c>
      <c r="U1744" s="17">
        <v>1500</v>
      </c>
      <c r="V1744" s="18" t="s">
        <v>77</v>
      </c>
      <c r="W1744" s="18" t="s">
        <v>184</v>
      </c>
      <c r="X1744" s="16">
        <v>10</v>
      </c>
      <c r="Y1744" s="43" t="str">
        <f>HYPERLINK("https://api-enni.alpina.ru/FilePrivilegesApproval/1062","https://api-enni.alpina.ru/FilePrivilegesApproval/1062")</f>
        <v>https://api-enni.alpina.ru/FilePrivilegesApproval/1062</v>
      </c>
      <c r="Z1744" s="18"/>
      <c r="AS1744" s="1">
        <f>IF($A1744&lt;&gt;0,1,0)</f>
        <v>0</v>
      </c>
      <c r="AT1744" s="1">
        <f>$A1744*$B1744</f>
        <v>0</v>
      </c>
      <c r="AU1744" s="1">
        <f>$A1744*$O1744</f>
        <v>0</v>
      </c>
      <c r="AV1744" s="1">
        <f>IF($R1744=0,0,INT($A1744/$R1744))</f>
        <v>0</v>
      </c>
      <c r="AW1744" s="1">
        <f>$A1744-$AV1744*$R1744</f>
        <v>0</v>
      </c>
    </row>
    <row r="1745" ht="24.95" customHeight="1" outlineLevel="3" s="1" customFormat="1">
      <c r="A1745" s="15"/>
      <c r="B1745" s="17">
        <v>1090</v>
      </c>
      <c r="C1745" s="17">
        <v>1472</v>
      </c>
      <c r="D1745" s="16">
        <v>36474</v>
      </c>
      <c r="E1745" s="18"/>
      <c r="F1745" s="18" t="s">
        <v>4601</v>
      </c>
      <c r="G1745" s="18" t="s">
        <v>5793</v>
      </c>
      <c r="H1745" s="18" t="s">
        <v>86</v>
      </c>
      <c r="I1745" s="18" t="s">
        <v>74</v>
      </c>
      <c r="J1745" s="16">
        <v>2026</v>
      </c>
      <c r="K1745" s="18" t="s">
        <v>5794</v>
      </c>
      <c r="L1745" s="16">
        <v>9785006317215</v>
      </c>
      <c r="M1745" s="18" t="s">
        <v>5795</v>
      </c>
      <c r="N1745" s="16">
        <v>288</v>
      </c>
      <c r="O1745" s="19">
        <v>0.58</v>
      </c>
      <c r="P1745" s="16">
        <v>170</v>
      </c>
      <c r="Q1745" s="16">
        <v>240</v>
      </c>
      <c r="R1745" s="16">
        <v>8</v>
      </c>
      <c r="S1745" s="18" t="s">
        <v>123</v>
      </c>
      <c r="T1745" s="18" t="s">
        <v>168</v>
      </c>
      <c r="U1745" s="17">
        <v>2500</v>
      </c>
      <c r="V1745" s="18" t="s">
        <v>77</v>
      </c>
      <c r="W1745" s="18" t="s">
        <v>184</v>
      </c>
      <c r="X1745" s="16">
        <v>10</v>
      </c>
      <c r="Y1745" s="43" t="str">
        <f>HYPERLINK("https://api-enni.alpina.ru/FilePrivilegesApproval/1119","https://api-enni.alpina.ru/FilePrivilegesApproval/1119")</f>
        <v>https://api-enni.alpina.ru/FilePrivilegesApproval/1119</v>
      </c>
      <c r="Z1745" s="18" t="s">
        <v>777</v>
      </c>
      <c r="AS1745" s="1">
        <f>IF($A1745&lt;&gt;0,1,0)</f>
        <v>0</v>
      </c>
      <c r="AT1745" s="1">
        <f>$A1745*$B1745</f>
        <v>0</v>
      </c>
      <c r="AU1745" s="1">
        <f>$A1745*$O1745</f>
        <v>0</v>
      </c>
      <c r="AV1745" s="1">
        <f>IF($R1745=0,0,INT($A1745/$R1745))</f>
        <v>0</v>
      </c>
      <c r="AW1745" s="1">
        <f>$A1745-$AV1745*$R1745</f>
        <v>0</v>
      </c>
    </row>
    <row r="1746" ht="24.95" customHeight="1" outlineLevel="3" s="1" customFormat="1">
      <c r="A1746" s="15"/>
      <c r="B1746" s="17">
        <v>1090</v>
      </c>
      <c r="C1746" s="17">
        <v>1472</v>
      </c>
      <c r="D1746" s="16">
        <v>35827</v>
      </c>
      <c r="E1746" s="18"/>
      <c r="F1746" s="18" t="s">
        <v>4838</v>
      </c>
      <c r="G1746" s="18" t="s">
        <v>5796</v>
      </c>
      <c r="H1746" s="18" t="s">
        <v>86</v>
      </c>
      <c r="I1746" s="18" t="s">
        <v>74</v>
      </c>
      <c r="J1746" s="16">
        <v>2025</v>
      </c>
      <c r="K1746" s="18" t="s">
        <v>5797</v>
      </c>
      <c r="L1746" s="16">
        <v>9785006313507</v>
      </c>
      <c r="M1746" s="18" t="s">
        <v>5798</v>
      </c>
      <c r="N1746" s="16">
        <v>322</v>
      </c>
      <c r="O1746" s="19">
        <v>0.64</v>
      </c>
      <c r="P1746" s="16">
        <v>170</v>
      </c>
      <c r="Q1746" s="16">
        <v>240</v>
      </c>
      <c r="R1746" s="16">
        <v>6</v>
      </c>
      <c r="S1746" s="18" t="s">
        <v>123</v>
      </c>
      <c r="T1746" s="18" t="s">
        <v>168</v>
      </c>
      <c r="U1746" s="17">
        <v>2000</v>
      </c>
      <c r="V1746" s="18" t="s">
        <v>77</v>
      </c>
      <c r="W1746" s="18" t="s">
        <v>184</v>
      </c>
      <c r="X1746" s="16">
        <v>10</v>
      </c>
      <c r="Y1746" s="43" t="str">
        <f>HYPERLINK("https://api-enni.alpina.ru/FilePrivilegesApproval/1062","https://api-enni.alpina.ru/FilePrivilegesApproval/1062")</f>
        <v>https://api-enni.alpina.ru/FilePrivilegesApproval/1062</v>
      </c>
      <c r="Z1746" s="18"/>
      <c r="AS1746" s="1">
        <f>IF($A1746&lt;&gt;0,1,0)</f>
        <v>0</v>
      </c>
      <c r="AT1746" s="1">
        <f>$A1746*$B1746</f>
        <v>0</v>
      </c>
      <c r="AU1746" s="1">
        <f>$A1746*$O1746</f>
        <v>0</v>
      </c>
      <c r="AV1746" s="1">
        <f>IF($R1746=0,0,INT($A1746/$R1746))</f>
        <v>0</v>
      </c>
      <c r="AW1746" s="1">
        <f>$A1746-$AV1746*$R1746</f>
        <v>0</v>
      </c>
    </row>
    <row r="1747" ht="24.95" customHeight="1" outlineLevel="3" s="1" customFormat="1">
      <c r="A1747" s="15"/>
      <c r="B1747" s="17">
        <v>1090</v>
      </c>
      <c r="C1747" s="17">
        <v>1472</v>
      </c>
      <c r="D1747" s="16">
        <v>36059</v>
      </c>
      <c r="E1747" s="18"/>
      <c r="F1747" s="18" t="s">
        <v>164</v>
      </c>
      <c r="G1747" s="18" t="s">
        <v>165</v>
      </c>
      <c r="H1747" s="18" t="s">
        <v>86</v>
      </c>
      <c r="I1747" s="18" t="s">
        <v>74</v>
      </c>
      <c r="J1747" s="16">
        <v>2026</v>
      </c>
      <c r="K1747" s="18" t="s">
        <v>166</v>
      </c>
      <c r="L1747" s="16">
        <v>9785006315969</v>
      </c>
      <c r="M1747" s="18" t="s">
        <v>167</v>
      </c>
      <c r="N1747" s="16">
        <v>248</v>
      </c>
      <c r="O1747" s="19">
        <v>0.52</v>
      </c>
      <c r="P1747" s="16">
        <v>170</v>
      </c>
      <c r="Q1747" s="16">
        <v>240</v>
      </c>
      <c r="R1747" s="16">
        <v>8</v>
      </c>
      <c r="S1747" s="18" t="s">
        <v>123</v>
      </c>
      <c r="T1747" s="18" t="s">
        <v>168</v>
      </c>
      <c r="U1747" s="17">
        <v>2000</v>
      </c>
      <c r="V1747" s="18" t="s">
        <v>77</v>
      </c>
      <c r="W1747" s="18" t="s">
        <v>91</v>
      </c>
      <c r="X1747" s="16">
        <v>10</v>
      </c>
      <c r="Y1747" s="43" t="str">
        <f>HYPERLINK("","")</f>
      </c>
      <c r="Z1747" s="18" t="s">
        <v>98</v>
      </c>
      <c r="AS1747" s="1">
        <f>IF($A1747&lt;&gt;0,1,0)</f>
        <v>0</v>
      </c>
      <c r="AT1747" s="1">
        <f>$A1747*$B1747</f>
        <v>0</v>
      </c>
      <c r="AU1747" s="1">
        <f>$A1747*$O1747</f>
        <v>0</v>
      </c>
      <c r="AV1747" s="1">
        <f>IF($R1747=0,0,INT($A1747/$R1747))</f>
        <v>0</v>
      </c>
      <c r="AW1747" s="1">
        <f>$A1747-$AV1747*$R1747</f>
        <v>0</v>
      </c>
    </row>
    <row r="1748" ht="21.95" customHeight="1" outlineLevel="3" s="1" customFormat="1">
      <c r="A1748" s="15"/>
      <c r="B1748" s="17">
        <v>1090</v>
      </c>
      <c r="C1748" s="17">
        <v>1472</v>
      </c>
      <c r="D1748" s="16">
        <v>35896</v>
      </c>
      <c r="E1748" s="18"/>
      <c r="F1748" s="18" t="s">
        <v>320</v>
      </c>
      <c r="G1748" s="18" t="s">
        <v>321</v>
      </c>
      <c r="H1748" s="18" t="s">
        <v>86</v>
      </c>
      <c r="I1748" s="18" t="s">
        <v>74</v>
      </c>
      <c r="J1748" s="16">
        <v>2026</v>
      </c>
      <c r="K1748" s="18" t="s">
        <v>322</v>
      </c>
      <c r="L1748" s="16">
        <v>9785006315617</v>
      </c>
      <c r="M1748" s="18" t="s">
        <v>323</v>
      </c>
      <c r="N1748" s="16">
        <v>196</v>
      </c>
      <c r="O1748" s="19">
        <v>0.44</v>
      </c>
      <c r="P1748" s="16">
        <v>170</v>
      </c>
      <c r="Q1748" s="16">
        <v>240</v>
      </c>
      <c r="R1748" s="16">
        <v>10</v>
      </c>
      <c r="S1748" s="18" t="s">
        <v>123</v>
      </c>
      <c r="T1748" s="18" t="s">
        <v>168</v>
      </c>
      <c r="U1748" s="17">
        <v>2000</v>
      </c>
      <c r="V1748" s="18" t="s">
        <v>77</v>
      </c>
      <c r="W1748" s="18" t="s">
        <v>91</v>
      </c>
      <c r="X1748" s="16">
        <v>10</v>
      </c>
      <c r="Y1748" s="43" t="str">
        <f>HYPERLINK("","")</f>
      </c>
      <c r="Z1748" s="18" t="s">
        <v>135</v>
      </c>
      <c r="AS1748" s="1">
        <f>IF($A1748&lt;&gt;0,1,0)</f>
        <v>0</v>
      </c>
      <c r="AT1748" s="1">
        <f>$A1748*$B1748</f>
        <v>0</v>
      </c>
      <c r="AU1748" s="1">
        <f>$A1748*$O1748</f>
        <v>0</v>
      </c>
      <c r="AV1748" s="1">
        <f>IF($R1748=0,0,INT($A1748/$R1748))</f>
        <v>0</v>
      </c>
      <c r="AW1748" s="1">
        <f>$A1748-$AV1748*$R1748</f>
        <v>0</v>
      </c>
    </row>
    <row r="1749" ht="24.95" customHeight="1" outlineLevel="3" s="1" customFormat="1">
      <c r="A1749" s="15"/>
      <c r="B1749" s="17">
        <v>1090</v>
      </c>
      <c r="C1749" s="17">
        <v>1472</v>
      </c>
      <c r="D1749" s="16">
        <v>34929</v>
      </c>
      <c r="E1749" s="18"/>
      <c r="F1749" s="18" t="s">
        <v>164</v>
      </c>
      <c r="G1749" s="18" t="s">
        <v>5799</v>
      </c>
      <c r="H1749" s="18" t="s">
        <v>86</v>
      </c>
      <c r="I1749" s="18" t="s">
        <v>74</v>
      </c>
      <c r="J1749" s="16">
        <v>2026</v>
      </c>
      <c r="K1749" s="18" t="s">
        <v>5800</v>
      </c>
      <c r="L1749" s="16">
        <v>9785006309425</v>
      </c>
      <c r="M1749" s="18" t="s">
        <v>5801</v>
      </c>
      <c r="N1749" s="16">
        <v>208</v>
      </c>
      <c r="O1749" s="19">
        <v>0.45</v>
      </c>
      <c r="P1749" s="16">
        <v>170</v>
      </c>
      <c r="Q1749" s="16">
        <v>240</v>
      </c>
      <c r="R1749" s="16">
        <v>10</v>
      </c>
      <c r="S1749" s="18" t="s">
        <v>123</v>
      </c>
      <c r="T1749" s="18" t="s">
        <v>168</v>
      </c>
      <c r="U1749" s="17">
        <v>1500</v>
      </c>
      <c r="V1749" s="18" t="s">
        <v>77</v>
      </c>
      <c r="W1749" s="18" t="s">
        <v>69</v>
      </c>
      <c r="X1749" s="16">
        <v>10</v>
      </c>
      <c r="Y1749" s="43" t="str">
        <f>HYPERLINK("https://api-enni.alpina.ru/FilePrivilegesApproval/1036","https://api-enni.alpina.ru/FilePrivilegesApproval/1036")</f>
        <v>https://api-enni.alpina.ru/FilePrivilegesApproval/1036</v>
      </c>
      <c r="Z1749" s="18"/>
      <c r="AS1749" s="1">
        <f>IF($A1749&lt;&gt;0,1,0)</f>
        <v>0</v>
      </c>
      <c r="AT1749" s="1">
        <f>$A1749*$B1749</f>
        <v>0</v>
      </c>
      <c r="AU1749" s="1">
        <f>$A1749*$O1749</f>
        <v>0</v>
      </c>
      <c r="AV1749" s="1">
        <f>IF($R1749=0,0,INT($A1749/$R1749))</f>
        <v>0</v>
      </c>
      <c r="AW1749" s="1">
        <f>$A1749-$AV1749*$R1749</f>
        <v>0</v>
      </c>
    </row>
    <row r="1750" ht="24.95" customHeight="1" outlineLevel="3" s="1" customFormat="1">
      <c r="A1750" s="25"/>
      <c r="B1750" s="29">
        <v>2990</v>
      </c>
      <c r="C1750" s="29">
        <v>3887</v>
      </c>
      <c r="D1750" s="26">
        <v>22994</v>
      </c>
      <c r="E1750" s="27"/>
      <c r="F1750" s="27" t="s">
        <v>986</v>
      </c>
      <c r="G1750" s="27" t="s">
        <v>987</v>
      </c>
      <c r="H1750" s="27" t="s">
        <v>95</v>
      </c>
      <c r="I1750" s="27" t="s">
        <v>74</v>
      </c>
      <c r="J1750" s="26">
        <v>2023</v>
      </c>
      <c r="K1750" s="27" t="s">
        <v>988</v>
      </c>
      <c r="L1750" s="26">
        <v>9785206000221</v>
      </c>
      <c r="M1750" s="27" t="s">
        <v>989</v>
      </c>
      <c r="N1750" s="29">
        <v>1109</v>
      </c>
      <c r="O1750" s="28">
        <v>1.54</v>
      </c>
      <c r="P1750" s="26">
        <v>180</v>
      </c>
      <c r="Q1750" s="26">
        <v>250</v>
      </c>
      <c r="R1750" s="26">
        <v>5</v>
      </c>
      <c r="S1750" s="27" t="s">
        <v>123</v>
      </c>
      <c r="T1750" s="27"/>
      <c r="U1750" s="29">
        <v>1000</v>
      </c>
      <c r="V1750" s="27" t="s">
        <v>77</v>
      </c>
      <c r="W1750" s="27" t="s">
        <v>45</v>
      </c>
      <c r="X1750" s="26">
        <v>10</v>
      </c>
      <c r="Y1750" s="45" t="str">
        <f>HYPERLINK("https://api-enni.alpina.ru/FilePrivilegesApproval/168","https://api-enni.alpina.ru/FilePrivilegesApproval/168")</f>
        <v>https://api-enni.alpina.ru/FilePrivilegesApproval/168</v>
      </c>
      <c r="Z1750" s="27" t="s">
        <v>78</v>
      </c>
      <c r="AS1750" s="1">
        <f>IF($A1750&lt;&gt;0,1,0)</f>
        <v>0</v>
      </c>
      <c r="AT1750" s="1">
        <f>$A1750*$B1750</f>
        <v>0</v>
      </c>
      <c r="AU1750" s="1">
        <f>$A1750*$O1750</f>
        <v>0</v>
      </c>
      <c r="AV1750" s="1">
        <f>IF($R1750=0,0,INT($A1750/$R1750))</f>
        <v>0</v>
      </c>
      <c r="AW1750" s="1">
        <f>$A1750-$AV1750*$R1750</f>
        <v>0</v>
      </c>
    </row>
    <row r="1751" ht="11.1" customHeight="1" outlineLevel="2">
      <c r="A1751" s="41" t="s">
        <v>5802</v>
      </c>
      <c r="B1751" s="41"/>
      <c r="C1751" s="41"/>
      <c r="D1751" s="41"/>
      <c r="E1751" s="41"/>
      <c r="F1751" s="41"/>
      <c r="G1751" s="41"/>
      <c r="H1751" s="41"/>
      <c r="I1751" s="41"/>
      <c r="J1751" s="41"/>
      <c r="K1751" s="41"/>
      <c r="L1751" s="41"/>
      <c r="M1751" s="41"/>
      <c r="N1751" s="41"/>
      <c r="O1751" s="41"/>
      <c r="P1751" s="41"/>
      <c r="Q1751" s="41"/>
      <c r="R1751" s="41"/>
      <c r="S1751" s="41"/>
      <c r="T1751" s="41"/>
      <c r="U1751" s="41"/>
      <c r="V1751" s="41"/>
      <c r="W1751" s="41"/>
      <c r="X1751" s="41"/>
      <c r="Y1751" s="41"/>
      <c r="Z1751" s="24"/>
    </row>
    <row r="1752" ht="24.95" customHeight="1" outlineLevel="3" s="1" customFormat="1">
      <c r="A1752" s="15"/>
      <c r="B1752" s="16">
        <v>690</v>
      </c>
      <c r="C1752" s="17">
        <v>1035</v>
      </c>
      <c r="D1752" s="16">
        <v>31181</v>
      </c>
      <c r="E1752" s="18"/>
      <c r="F1752" s="18" t="s">
        <v>256</v>
      </c>
      <c r="G1752" s="18" t="s">
        <v>473</v>
      </c>
      <c r="H1752" s="18" t="s">
        <v>86</v>
      </c>
      <c r="I1752" s="18"/>
      <c r="J1752" s="16">
        <v>2025</v>
      </c>
      <c r="K1752" s="18" t="s">
        <v>474</v>
      </c>
      <c r="L1752" s="16">
        <v>9785961497823</v>
      </c>
      <c r="M1752" s="18" t="s">
        <v>475</v>
      </c>
      <c r="N1752" s="16">
        <v>308</v>
      </c>
      <c r="O1752" s="19">
        <v>0.4</v>
      </c>
      <c r="P1752" s="16">
        <v>150</v>
      </c>
      <c r="Q1752" s="16">
        <v>210</v>
      </c>
      <c r="R1752" s="16">
        <v>16</v>
      </c>
      <c r="S1752" s="18" t="s">
        <v>43</v>
      </c>
      <c r="T1752" s="18"/>
      <c r="U1752" s="17">
        <v>10000</v>
      </c>
      <c r="V1752" s="18" t="s">
        <v>44</v>
      </c>
      <c r="W1752" s="18" t="s">
        <v>91</v>
      </c>
      <c r="X1752" s="16">
        <v>10</v>
      </c>
      <c r="Y1752" s="43" t="str">
        <f>HYPERLINK("https://api-enni.alpina.ru/FilePrivilegesApproval/571","https://api-enni.alpina.ru/FilePrivilegesApproval/571")</f>
        <v>https://api-enni.alpina.ru/FilePrivilegesApproval/571</v>
      </c>
      <c r="Z1752" s="18"/>
      <c r="AS1752" s="1">
        <f>IF($A1752&lt;&gt;0,1,0)</f>
        <v>0</v>
      </c>
      <c r="AT1752" s="1">
        <f>$A1752*$B1752</f>
        <v>0</v>
      </c>
      <c r="AU1752" s="1">
        <f>$A1752*$O1752</f>
        <v>0</v>
      </c>
      <c r="AV1752" s="1">
        <f>IF($R1752=0,0,INT($A1752/$R1752))</f>
        <v>0</v>
      </c>
      <c r="AW1752" s="1">
        <f>$A1752-$AV1752*$R1752</f>
        <v>0</v>
      </c>
    </row>
    <row r="1753" ht="15" customHeight="1" outlineLevel="1">
      <c r="A1753" s="40" t="s">
        <v>5803</v>
      </c>
      <c r="B1753" s="40"/>
      <c r="C1753" s="40"/>
      <c r="D1753" s="40"/>
      <c r="E1753" s="40"/>
      <c r="F1753" s="40"/>
      <c r="G1753" s="40"/>
      <c r="H1753" s="40"/>
      <c r="I1753" s="40"/>
      <c r="J1753" s="40"/>
      <c r="K1753" s="40"/>
      <c r="L1753" s="40"/>
      <c r="M1753" s="40"/>
      <c r="N1753" s="40"/>
      <c r="O1753" s="40"/>
      <c r="P1753" s="40"/>
      <c r="Q1753" s="40"/>
      <c r="R1753" s="40"/>
      <c r="S1753" s="40"/>
      <c r="T1753" s="40"/>
      <c r="U1753" s="40"/>
      <c r="V1753" s="40"/>
      <c r="W1753" s="40"/>
      <c r="X1753" s="40"/>
      <c r="Y1753" s="40"/>
      <c r="Z1753" s="23"/>
    </row>
    <row r="1754" ht="11.1" customHeight="1" outlineLevel="2">
      <c r="A1754" s="41" t="s">
        <v>5804</v>
      </c>
      <c r="B1754" s="41"/>
      <c r="C1754" s="41"/>
      <c r="D1754" s="41"/>
      <c r="E1754" s="41"/>
      <c r="F1754" s="41"/>
      <c r="G1754" s="41"/>
      <c r="H1754" s="41"/>
      <c r="I1754" s="41"/>
      <c r="J1754" s="41"/>
      <c r="K1754" s="41"/>
      <c r="L1754" s="41"/>
      <c r="M1754" s="41"/>
      <c r="N1754" s="41"/>
      <c r="O1754" s="41"/>
      <c r="P1754" s="41"/>
      <c r="Q1754" s="41"/>
      <c r="R1754" s="41"/>
      <c r="S1754" s="41"/>
      <c r="T1754" s="41"/>
      <c r="U1754" s="41"/>
      <c r="V1754" s="41"/>
      <c r="W1754" s="41"/>
      <c r="X1754" s="41"/>
      <c r="Y1754" s="41"/>
      <c r="Z1754" s="24"/>
    </row>
    <row r="1755" ht="24.95" customHeight="1" outlineLevel="3" s="1" customFormat="1">
      <c r="A1755" s="15"/>
      <c r="B1755" s="17">
        <v>1190</v>
      </c>
      <c r="C1755" s="17">
        <v>1606</v>
      </c>
      <c r="D1755" s="16">
        <v>6882</v>
      </c>
      <c r="E1755" s="18"/>
      <c r="F1755" s="18" t="s">
        <v>3194</v>
      </c>
      <c r="G1755" s="18" t="s">
        <v>5805</v>
      </c>
      <c r="H1755" s="18" t="s">
        <v>95</v>
      </c>
      <c r="I1755" s="18"/>
      <c r="J1755" s="16">
        <v>2017</v>
      </c>
      <c r="K1755" s="18" t="s">
        <v>5806</v>
      </c>
      <c r="L1755" s="16">
        <v>9785961463606</v>
      </c>
      <c r="M1755" s="18" t="s">
        <v>5807</v>
      </c>
      <c r="N1755" s="16">
        <v>240</v>
      </c>
      <c r="O1755" s="19">
        <v>0.75</v>
      </c>
      <c r="P1755" s="16">
        <v>168</v>
      </c>
      <c r="Q1755" s="16">
        <v>241</v>
      </c>
      <c r="R1755" s="16">
        <v>7</v>
      </c>
      <c r="S1755" s="18" t="s">
        <v>123</v>
      </c>
      <c r="T1755" s="18"/>
      <c r="U1755" s="17">
        <v>2000</v>
      </c>
      <c r="V1755" s="18" t="s">
        <v>77</v>
      </c>
      <c r="W1755" s="18" t="s">
        <v>184</v>
      </c>
      <c r="X1755" s="16">
        <v>10</v>
      </c>
      <c r="Y1755" s="43" t="str">
        <f>HYPERLINK("https://api-enni.alpina.ru/FilePrivilegesApproval/2","https://api-enni.alpina.ru/FilePrivilegesApproval/2")</f>
        <v>https://api-enni.alpina.ru/FilePrivilegesApproval/2</v>
      </c>
      <c r="Z1755" s="18"/>
      <c r="AS1755" s="1">
        <f>IF($A1755&lt;&gt;0,1,0)</f>
        <v>0</v>
      </c>
      <c r="AT1755" s="1">
        <f>$A1755*$B1755</f>
        <v>0</v>
      </c>
      <c r="AU1755" s="1">
        <f>$A1755*$O1755</f>
        <v>0</v>
      </c>
      <c r="AV1755" s="1">
        <f>IF($R1755=0,0,INT($A1755/$R1755))</f>
        <v>0</v>
      </c>
      <c r="AW1755" s="1">
        <f>$A1755-$AV1755*$R1755</f>
        <v>0</v>
      </c>
    </row>
    <row r="1756" ht="24.95" customHeight="1" outlineLevel="3" s="1" customFormat="1">
      <c r="A1756" s="15"/>
      <c r="B1756" s="17">
        <v>1390</v>
      </c>
      <c r="C1756" s="17">
        <v>1876</v>
      </c>
      <c r="D1756" s="16">
        <v>19469</v>
      </c>
      <c r="E1756" s="18"/>
      <c r="F1756" s="18" t="s">
        <v>5808</v>
      </c>
      <c r="G1756" s="18" t="s">
        <v>5809</v>
      </c>
      <c r="H1756" s="18" t="s">
        <v>86</v>
      </c>
      <c r="I1756" s="18"/>
      <c r="J1756" s="16">
        <v>2025</v>
      </c>
      <c r="K1756" s="18" t="s">
        <v>5810</v>
      </c>
      <c r="L1756" s="16">
        <v>9785961462111</v>
      </c>
      <c r="M1756" s="18" t="s">
        <v>5811</v>
      </c>
      <c r="N1756" s="16">
        <v>548</v>
      </c>
      <c r="O1756" s="19">
        <v>0.94</v>
      </c>
      <c r="P1756" s="16">
        <v>168</v>
      </c>
      <c r="Q1756" s="16">
        <v>241</v>
      </c>
      <c r="R1756" s="16">
        <v>5</v>
      </c>
      <c r="S1756" s="18" t="s">
        <v>123</v>
      </c>
      <c r="T1756" s="18"/>
      <c r="U1756" s="17">
        <v>1000</v>
      </c>
      <c r="V1756" s="18" t="s">
        <v>77</v>
      </c>
      <c r="W1756" s="18" t="s">
        <v>184</v>
      </c>
      <c r="X1756" s="16">
        <v>10</v>
      </c>
      <c r="Y1756" s="43" t="str">
        <f>HYPERLINK("https://api-enni.alpina.ru/FilePrivilegesApproval/102","https://api-enni.alpina.ru/FilePrivilegesApproval/102")</f>
        <v>https://api-enni.alpina.ru/FilePrivilegesApproval/102</v>
      </c>
      <c r="Z1756" s="18"/>
      <c r="AS1756" s="1">
        <f>IF($A1756&lt;&gt;0,1,0)</f>
        <v>0</v>
      </c>
      <c r="AT1756" s="1">
        <f>$A1756*$B1756</f>
        <v>0</v>
      </c>
      <c r="AU1756" s="1">
        <f>$A1756*$O1756</f>
        <v>0</v>
      </c>
      <c r="AV1756" s="1">
        <f>IF($R1756=0,0,INT($A1756/$R1756))</f>
        <v>0</v>
      </c>
      <c r="AW1756" s="1">
        <f>$A1756-$AV1756*$R1756</f>
        <v>0</v>
      </c>
    </row>
    <row r="1757" ht="24.95" customHeight="1" outlineLevel="3" s="1" customFormat="1">
      <c r="A1757" s="15"/>
      <c r="B1757" s="17">
        <v>1300</v>
      </c>
      <c r="C1757" s="17">
        <v>1755</v>
      </c>
      <c r="D1757" s="16">
        <v>26099</v>
      </c>
      <c r="E1757" s="18"/>
      <c r="F1757" s="18" t="s">
        <v>5812</v>
      </c>
      <c r="G1757" s="18" t="s">
        <v>5813</v>
      </c>
      <c r="H1757" s="18" t="s">
        <v>86</v>
      </c>
      <c r="I1757" s="18"/>
      <c r="J1757" s="16">
        <v>2025</v>
      </c>
      <c r="K1757" s="18" t="s">
        <v>5814</v>
      </c>
      <c r="L1757" s="16">
        <v>9785961480467</v>
      </c>
      <c r="M1757" s="18" t="s">
        <v>5815</v>
      </c>
      <c r="N1757" s="16">
        <v>588</v>
      </c>
      <c r="O1757" s="19">
        <v>0.93</v>
      </c>
      <c r="P1757" s="16">
        <v>170</v>
      </c>
      <c r="Q1757" s="16">
        <v>240</v>
      </c>
      <c r="R1757" s="16">
        <v>6</v>
      </c>
      <c r="S1757" s="18" t="s">
        <v>123</v>
      </c>
      <c r="T1757" s="18"/>
      <c r="U1757" s="17">
        <v>1000</v>
      </c>
      <c r="V1757" s="18" t="s">
        <v>44</v>
      </c>
      <c r="W1757" s="18" t="s">
        <v>91</v>
      </c>
      <c r="X1757" s="16">
        <v>10</v>
      </c>
      <c r="Y1757" s="43" t="str">
        <f>HYPERLINK("https://api-enni.alpina.ru/FilePrivilegesApproval/172","https://api-enni.alpina.ru/FilePrivilegesApproval/172")</f>
        <v>https://api-enni.alpina.ru/FilePrivilegesApproval/172</v>
      </c>
      <c r="Z1757" s="18"/>
      <c r="AS1757" s="1">
        <f>IF($A1757&lt;&gt;0,1,0)</f>
        <v>0</v>
      </c>
      <c r="AT1757" s="1">
        <f>$A1757*$B1757</f>
        <v>0</v>
      </c>
      <c r="AU1757" s="1">
        <f>$A1757*$O1757</f>
        <v>0</v>
      </c>
      <c r="AV1757" s="1">
        <f>IF($R1757=0,0,INT($A1757/$R1757))</f>
        <v>0</v>
      </c>
      <c r="AW1757" s="1">
        <f>$A1757-$AV1757*$R1757</f>
        <v>0</v>
      </c>
    </row>
    <row r="1758" ht="21.95" customHeight="1" outlineLevel="3" s="1" customFormat="1">
      <c r="A1758" s="15"/>
      <c r="B1758" s="16">
        <v>803</v>
      </c>
      <c r="C1758" s="17">
        <v>1164</v>
      </c>
      <c r="D1758" s="16">
        <v>35042</v>
      </c>
      <c r="E1758" s="18"/>
      <c r="F1758" s="18" t="s">
        <v>5816</v>
      </c>
      <c r="G1758" s="18" t="s">
        <v>5817</v>
      </c>
      <c r="H1758" s="18" t="s">
        <v>592</v>
      </c>
      <c r="I1758" s="18" t="s">
        <v>74</v>
      </c>
      <c r="J1758" s="16">
        <v>2026</v>
      </c>
      <c r="K1758" s="18" t="s">
        <v>5818</v>
      </c>
      <c r="L1758" s="16">
        <v>9786018233838</v>
      </c>
      <c r="M1758" s="18" t="s">
        <v>5819</v>
      </c>
      <c r="N1758" s="16">
        <v>208</v>
      </c>
      <c r="O1758" s="19">
        <v>0.35</v>
      </c>
      <c r="P1758" s="16">
        <v>150</v>
      </c>
      <c r="Q1758" s="16">
        <v>220</v>
      </c>
      <c r="R1758" s="16">
        <v>10</v>
      </c>
      <c r="S1758" s="18" t="s">
        <v>43</v>
      </c>
      <c r="T1758" s="18"/>
      <c r="U1758" s="17">
        <v>1000</v>
      </c>
      <c r="V1758" s="18" t="s">
        <v>77</v>
      </c>
      <c r="W1758" s="18" t="s">
        <v>69</v>
      </c>
      <c r="X1758" s="16">
        <v>22</v>
      </c>
      <c r="Y1758" s="43" t="str">
        <f>HYPERLINK("","")</f>
      </c>
      <c r="Z1758" s="18"/>
      <c r="AS1758" s="1">
        <f>IF($A1758&lt;&gt;0,1,0)</f>
        <v>0</v>
      </c>
      <c r="AT1758" s="1">
        <f>$A1758*$B1758</f>
        <v>0</v>
      </c>
      <c r="AU1758" s="1">
        <f>$A1758*$O1758</f>
        <v>0</v>
      </c>
      <c r="AV1758" s="1">
        <f>IF($R1758=0,0,INT($A1758/$R1758))</f>
        <v>0</v>
      </c>
      <c r="AW1758" s="1">
        <f>$A1758-$AV1758*$R1758</f>
        <v>0</v>
      </c>
    </row>
    <row r="1759" ht="24.95" customHeight="1" outlineLevel="3" s="1" customFormat="1">
      <c r="A1759" s="15"/>
      <c r="B1759" s="16">
        <v>990</v>
      </c>
      <c r="C1759" s="17">
        <v>1386</v>
      </c>
      <c r="D1759" s="16">
        <v>25339</v>
      </c>
      <c r="E1759" s="18"/>
      <c r="F1759" s="18" t="s">
        <v>5820</v>
      </c>
      <c r="G1759" s="18" t="s">
        <v>5821</v>
      </c>
      <c r="H1759" s="18" t="s">
        <v>86</v>
      </c>
      <c r="I1759" s="18"/>
      <c r="J1759" s="16">
        <v>2025</v>
      </c>
      <c r="K1759" s="18" t="s">
        <v>5822</v>
      </c>
      <c r="L1759" s="16">
        <v>9785961477559</v>
      </c>
      <c r="M1759" s="18" t="s">
        <v>5823</v>
      </c>
      <c r="N1759" s="16">
        <v>324</v>
      </c>
      <c r="O1759" s="19">
        <v>0.48</v>
      </c>
      <c r="P1759" s="16">
        <v>150</v>
      </c>
      <c r="Q1759" s="16">
        <v>220</v>
      </c>
      <c r="R1759" s="16">
        <v>10</v>
      </c>
      <c r="S1759" s="18" t="s">
        <v>43</v>
      </c>
      <c r="T1759" s="18"/>
      <c r="U1759" s="17">
        <v>1000</v>
      </c>
      <c r="V1759" s="18" t="s">
        <v>77</v>
      </c>
      <c r="W1759" s="18" t="s">
        <v>69</v>
      </c>
      <c r="X1759" s="16">
        <v>10</v>
      </c>
      <c r="Y1759" s="43" t="str">
        <f>HYPERLINK("https://api-enni.alpina.ru/FilePrivilegesApproval/163","https://api-enni.alpina.ru/FilePrivilegesApproval/163")</f>
        <v>https://api-enni.alpina.ru/FilePrivilegesApproval/163</v>
      </c>
      <c r="Z1759" s="18"/>
      <c r="AS1759" s="1">
        <f>IF($A1759&lt;&gt;0,1,0)</f>
        <v>0</v>
      </c>
      <c r="AT1759" s="1">
        <f>$A1759*$B1759</f>
        <v>0</v>
      </c>
      <c r="AU1759" s="1">
        <f>$A1759*$O1759</f>
        <v>0</v>
      </c>
      <c r="AV1759" s="1">
        <f>IF($R1759=0,0,INT($A1759/$R1759))</f>
        <v>0</v>
      </c>
      <c r="AW1759" s="1">
        <f>$A1759-$AV1759*$R1759</f>
        <v>0</v>
      </c>
    </row>
    <row r="1760" ht="24.95" customHeight="1" outlineLevel="3" s="1" customFormat="1">
      <c r="A1760" s="15"/>
      <c r="B1760" s="16">
        <v>790</v>
      </c>
      <c r="C1760" s="17">
        <v>1146</v>
      </c>
      <c r="D1760" s="16">
        <v>26421</v>
      </c>
      <c r="E1760" s="18"/>
      <c r="F1760" s="18" t="s">
        <v>5824</v>
      </c>
      <c r="G1760" s="18" t="s">
        <v>5825</v>
      </c>
      <c r="H1760" s="18" t="s">
        <v>86</v>
      </c>
      <c r="I1760" s="18"/>
      <c r="J1760" s="16">
        <v>2025</v>
      </c>
      <c r="K1760" s="18" t="s">
        <v>5826</v>
      </c>
      <c r="L1760" s="16">
        <v>9785961481556</v>
      </c>
      <c r="M1760" s="18" t="s">
        <v>5827</v>
      </c>
      <c r="N1760" s="16">
        <v>286</v>
      </c>
      <c r="O1760" s="19">
        <v>0.59</v>
      </c>
      <c r="P1760" s="16">
        <v>170</v>
      </c>
      <c r="Q1760" s="16">
        <v>250</v>
      </c>
      <c r="R1760" s="16">
        <v>8</v>
      </c>
      <c r="S1760" s="18" t="s">
        <v>123</v>
      </c>
      <c r="T1760" s="18"/>
      <c r="U1760" s="17">
        <v>2000</v>
      </c>
      <c r="V1760" s="18" t="s">
        <v>77</v>
      </c>
      <c r="W1760" s="18" t="s">
        <v>184</v>
      </c>
      <c r="X1760" s="16">
        <v>10</v>
      </c>
      <c r="Y1760" s="43" t="str">
        <f>HYPERLINK("https://api-enni.alpina.ru/FilePrivilegesApproval/164","https://api-enni.alpina.ru/FilePrivilegesApproval/164")</f>
        <v>https://api-enni.alpina.ru/FilePrivilegesApproval/164</v>
      </c>
      <c r="Z1760" s="18"/>
      <c r="AS1760" s="1">
        <f>IF($A1760&lt;&gt;0,1,0)</f>
        <v>0</v>
      </c>
      <c r="AT1760" s="1">
        <f>$A1760*$B1760</f>
        <v>0</v>
      </c>
      <c r="AU1760" s="1">
        <f>$A1760*$O1760</f>
        <v>0</v>
      </c>
      <c r="AV1760" s="1">
        <f>IF($R1760=0,0,INT($A1760/$R1760))</f>
        <v>0</v>
      </c>
      <c r="AW1760" s="1">
        <f>$A1760-$AV1760*$R1760</f>
        <v>0</v>
      </c>
    </row>
    <row r="1761" ht="24.95" customHeight="1" outlineLevel="3" s="1" customFormat="1">
      <c r="A1761" s="25"/>
      <c r="B1761" s="29">
        <v>1690</v>
      </c>
      <c r="C1761" s="29">
        <v>2197</v>
      </c>
      <c r="D1761" s="26">
        <v>4704</v>
      </c>
      <c r="E1761" s="27"/>
      <c r="F1761" s="27" t="s">
        <v>4852</v>
      </c>
      <c r="G1761" s="27" t="s">
        <v>5828</v>
      </c>
      <c r="H1761" s="27" t="s">
        <v>86</v>
      </c>
      <c r="I1761" s="27"/>
      <c r="J1761" s="26">
        <v>2026</v>
      </c>
      <c r="K1761" s="27" t="s">
        <v>5829</v>
      </c>
      <c r="L1761" s="26">
        <v>9785961471380</v>
      </c>
      <c r="M1761" s="27" t="s">
        <v>5830</v>
      </c>
      <c r="N1761" s="26">
        <v>478</v>
      </c>
      <c r="O1761" s="28">
        <v>0.87</v>
      </c>
      <c r="P1761" s="26">
        <v>170</v>
      </c>
      <c r="Q1761" s="26">
        <v>240</v>
      </c>
      <c r="R1761" s="26">
        <v>5</v>
      </c>
      <c r="S1761" s="27" t="s">
        <v>123</v>
      </c>
      <c r="T1761" s="27"/>
      <c r="U1761" s="29">
        <v>1000</v>
      </c>
      <c r="V1761" s="27" t="s">
        <v>77</v>
      </c>
      <c r="W1761" s="27" t="s">
        <v>184</v>
      </c>
      <c r="X1761" s="26">
        <v>10</v>
      </c>
      <c r="Y1761" s="45" t="str">
        <f>HYPERLINK("https://api-enni.alpina.ru/FilePrivilegesApproval/2","https://api-enni.alpina.ru/FilePrivilegesApproval/2")</f>
        <v>https://api-enni.alpina.ru/FilePrivilegesApproval/2</v>
      </c>
      <c r="Z1761" s="27"/>
      <c r="AS1761" s="1">
        <f>IF($A1761&lt;&gt;0,1,0)</f>
        <v>0</v>
      </c>
      <c r="AT1761" s="1">
        <f>$A1761*$B1761</f>
        <v>0</v>
      </c>
      <c r="AU1761" s="1">
        <f>$A1761*$O1761</f>
        <v>0</v>
      </c>
      <c r="AV1761" s="1">
        <f>IF($R1761=0,0,INT($A1761/$R1761))</f>
        <v>0</v>
      </c>
      <c r="AW1761" s="1">
        <f>$A1761-$AV1761*$R1761</f>
        <v>0</v>
      </c>
    </row>
    <row r="1762" ht="24.95" customHeight="1" outlineLevel="3" s="1" customFormat="1">
      <c r="A1762" s="15"/>
      <c r="B1762" s="17">
        <v>1490</v>
      </c>
      <c r="C1762" s="17">
        <v>2012</v>
      </c>
      <c r="D1762" s="16">
        <v>5489</v>
      </c>
      <c r="E1762" s="18"/>
      <c r="F1762" s="18" t="s">
        <v>5831</v>
      </c>
      <c r="G1762" s="18" t="s">
        <v>5832</v>
      </c>
      <c r="H1762" s="18" t="s">
        <v>86</v>
      </c>
      <c r="I1762" s="18" t="s">
        <v>74</v>
      </c>
      <c r="J1762" s="16">
        <v>2025</v>
      </c>
      <c r="K1762" s="18" t="s">
        <v>5833</v>
      </c>
      <c r="L1762" s="16">
        <v>9785961470826</v>
      </c>
      <c r="M1762" s="18" t="s">
        <v>5834</v>
      </c>
      <c r="N1762" s="16">
        <v>608</v>
      </c>
      <c r="O1762" s="19">
        <v>1.07</v>
      </c>
      <c r="P1762" s="16">
        <v>168</v>
      </c>
      <c r="Q1762" s="16">
        <v>241</v>
      </c>
      <c r="R1762" s="16">
        <v>5</v>
      </c>
      <c r="S1762" s="18" t="s">
        <v>123</v>
      </c>
      <c r="T1762" s="18"/>
      <c r="U1762" s="17">
        <v>1000</v>
      </c>
      <c r="V1762" s="18" t="s">
        <v>77</v>
      </c>
      <c r="W1762" s="18" t="s">
        <v>184</v>
      </c>
      <c r="X1762" s="16">
        <v>10</v>
      </c>
      <c r="Y1762" s="43" t="str">
        <f>HYPERLINK("https://api-enni.alpina.ru/FilePrivilegesApproval/2","https://api-enni.alpina.ru/FilePrivilegesApproval/2")</f>
        <v>https://api-enni.alpina.ru/FilePrivilegesApproval/2</v>
      </c>
      <c r="Z1762" s="18"/>
      <c r="AS1762" s="1">
        <f>IF($A1762&lt;&gt;0,1,0)</f>
        <v>0</v>
      </c>
      <c r="AT1762" s="1">
        <f>$A1762*$B1762</f>
        <v>0</v>
      </c>
      <c r="AU1762" s="1">
        <f>$A1762*$O1762</f>
        <v>0</v>
      </c>
      <c r="AV1762" s="1">
        <f>IF($R1762=0,0,INT($A1762/$R1762))</f>
        <v>0</v>
      </c>
      <c r="AW1762" s="1">
        <f>$A1762-$AV1762*$R1762</f>
        <v>0</v>
      </c>
    </row>
    <row r="1763" ht="24.95" customHeight="1" outlineLevel="3" s="1" customFormat="1">
      <c r="A1763" s="15"/>
      <c r="B1763" s="16">
        <v>990</v>
      </c>
      <c r="C1763" s="17">
        <v>1386</v>
      </c>
      <c r="D1763" s="16">
        <v>35113</v>
      </c>
      <c r="E1763" s="18"/>
      <c r="F1763" s="18" t="s">
        <v>5835</v>
      </c>
      <c r="G1763" s="18" t="s">
        <v>5836</v>
      </c>
      <c r="H1763" s="18" t="s">
        <v>95</v>
      </c>
      <c r="I1763" s="18"/>
      <c r="J1763" s="16">
        <v>2026</v>
      </c>
      <c r="K1763" s="18" t="s">
        <v>5837</v>
      </c>
      <c r="L1763" s="16">
        <v>9785206005448</v>
      </c>
      <c r="M1763" s="18" t="s">
        <v>5838</v>
      </c>
      <c r="N1763" s="16">
        <v>336</v>
      </c>
      <c r="O1763" s="19">
        <v>0.61</v>
      </c>
      <c r="P1763" s="16">
        <v>150</v>
      </c>
      <c r="Q1763" s="16">
        <v>220</v>
      </c>
      <c r="R1763" s="16">
        <v>8</v>
      </c>
      <c r="S1763" s="18" t="s">
        <v>43</v>
      </c>
      <c r="T1763" s="18"/>
      <c r="U1763" s="17">
        <v>1000</v>
      </c>
      <c r="V1763" s="18" t="s">
        <v>77</v>
      </c>
      <c r="W1763" s="18" t="s">
        <v>69</v>
      </c>
      <c r="X1763" s="16">
        <v>10</v>
      </c>
      <c r="Y1763" s="43" t="str">
        <f>HYPERLINK("https://api-enni.alpina.ru/FilePrivilegesApproval/1077","https://api-enni.alpina.ru/FilePrivilegesApproval/1077")</f>
        <v>https://api-enni.alpina.ru/FilePrivilegesApproval/1077</v>
      </c>
      <c r="Z1763" s="18"/>
      <c r="AS1763" s="1">
        <f>IF($A1763&lt;&gt;0,1,0)</f>
        <v>0</v>
      </c>
      <c r="AT1763" s="1">
        <f>$A1763*$B1763</f>
        <v>0</v>
      </c>
      <c r="AU1763" s="1">
        <f>$A1763*$O1763</f>
        <v>0</v>
      </c>
      <c r="AV1763" s="1">
        <f>IF($R1763=0,0,INT($A1763/$R1763))</f>
        <v>0</v>
      </c>
      <c r="AW1763" s="1">
        <f>$A1763-$AV1763*$R1763</f>
        <v>0</v>
      </c>
    </row>
    <row r="1764" ht="24.95" customHeight="1" outlineLevel="3" s="1" customFormat="1">
      <c r="A1764" s="25"/>
      <c r="B1764" s="26">
        <v>790</v>
      </c>
      <c r="C1764" s="29">
        <v>1146</v>
      </c>
      <c r="D1764" s="26">
        <v>22912</v>
      </c>
      <c r="E1764" s="27"/>
      <c r="F1764" s="27" t="s">
        <v>5839</v>
      </c>
      <c r="G1764" s="27" t="s">
        <v>5840</v>
      </c>
      <c r="H1764" s="27" t="s">
        <v>95</v>
      </c>
      <c r="I1764" s="27" t="s">
        <v>74</v>
      </c>
      <c r="J1764" s="26">
        <v>2022</v>
      </c>
      <c r="K1764" s="27" t="s">
        <v>5841</v>
      </c>
      <c r="L1764" s="26">
        <v>9785907534049</v>
      </c>
      <c r="M1764" s="27" t="s">
        <v>5842</v>
      </c>
      <c r="N1764" s="26">
        <v>269</v>
      </c>
      <c r="O1764" s="28">
        <v>0.55</v>
      </c>
      <c r="P1764" s="26">
        <v>171</v>
      </c>
      <c r="Q1764" s="26">
        <v>241</v>
      </c>
      <c r="R1764" s="26">
        <v>14</v>
      </c>
      <c r="S1764" s="27" t="s">
        <v>123</v>
      </c>
      <c r="T1764" s="27"/>
      <c r="U1764" s="29">
        <v>1000</v>
      </c>
      <c r="V1764" s="27" t="s">
        <v>77</v>
      </c>
      <c r="W1764" s="27" t="s">
        <v>91</v>
      </c>
      <c r="X1764" s="26">
        <v>10</v>
      </c>
      <c r="Y1764" s="45" t="str">
        <f>HYPERLINK("https://api-enni.alpina.ru/FilePrivilegesApproval/155","https://api-enni.alpina.ru/FilePrivilegesApproval/155")</f>
        <v>https://api-enni.alpina.ru/FilePrivilegesApproval/155</v>
      </c>
      <c r="Z1764" s="27"/>
      <c r="AS1764" s="1">
        <f>IF($A1764&lt;&gt;0,1,0)</f>
        <v>0</v>
      </c>
      <c r="AT1764" s="1">
        <f>$A1764*$B1764</f>
        <v>0</v>
      </c>
      <c r="AU1764" s="1">
        <f>$A1764*$O1764</f>
        <v>0</v>
      </c>
      <c r="AV1764" s="1">
        <f>IF($R1764=0,0,INT($A1764/$R1764))</f>
        <v>0</v>
      </c>
      <c r="AW1764" s="1">
        <f>$A1764-$AV1764*$R1764</f>
        <v>0</v>
      </c>
    </row>
    <row r="1765" ht="21.95" customHeight="1" outlineLevel="3" s="1" customFormat="1">
      <c r="A1765" s="15"/>
      <c r="B1765" s="16">
        <v>640</v>
      </c>
      <c r="C1765" s="16">
        <v>960</v>
      </c>
      <c r="D1765" s="16">
        <v>8198</v>
      </c>
      <c r="E1765" s="18"/>
      <c r="F1765" s="18" t="s">
        <v>5843</v>
      </c>
      <c r="G1765" s="18" t="s">
        <v>5844</v>
      </c>
      <c r="H1765" s="18" t="s">
        <v>95</v>
      </c>
      <c r="I1765" s="18"/>
      <c r="J1765" s="16">
        <v>2018</v>
      </c>
      <c r="K1765" s="18" t="s">
        <v>5845</v>
      </c>
      <c r="L1765" s="16">
        <v>9785961421804</v>
      </c>
      <c r="M1765" s="18" t="s">
        <v>5846</v>
      </c>
      <c r="N1765" s="16">
        <v>240</v>
      </c>
      <c r="O1765" s="19">
        <v>0.47</v>
      </c>
      <c r="P1765" s="16">
        <v>146</v>
      </c>
      <c r="Q1765" s="16">
        <v>216</v>
      </c>
      <c r="R1765" s="16">
        <v>12</v>
      </c>
      <c r="S1765" s="18" t="s">
        <v>43</v>
      </c>
      <c r="T1765" s="18"/>
      <c r="U1765" s="17">
        <v>3000</v>
      </c>
      <c r="V1765" s="18" t="s">
        <v>77</v>
      </c>
      <c r="W1765" s="18" t="s">
        <v>184</v>
      </c>
      <c r="X1765" s="16">
        <v>10</v>
      </c>
      <c r="Y1765" s="43" t="str">
        <f>HYPERLINK("","")</f>
      </c>
      <c r="Z1765" s="18"/>
      <c r="AS1765" s="1">
        <f>IF($A1765&lt;&gt;0,1,0)</f>
        <v>0</v>
      </c>
      <c r="AT1765" s="1">
        <f>$A1765*$B1765</f>
        <v>0</v>
      </c>
      <c r="AU1765" s="1">
        <f>$A1765*$O1765</f>
        <v>0</v>
      </c>
      <c r="AV1765" s="1">
        <f>IF($R1765=0,0,INT($A1765/$R1765))</f>
        <v>0</v>
      </c>
      <c r="AW1765" s="1">
        <f>$A1765-$AV1765*$R1765</f>
        <v>0</v>
      </c>
    </row>
    <row r="1766" ht="24.95" customHeight="1" outlineLevel="3" s="1" customFormat="1">
      <c r="A1766" s="15"/>
      <c r="B1766" s="17">
        <v>1090</v>
      </c>
      <c r="C1766" s="17">
        <v>1472</v>
      </c>
      <c r="D1766" s="16">
        <v>1729</v>
      </c>
      <c r="E1766" s="18"/>
      <c r="F1766" s="18" t="s">
        <v>5847</v>
      </c>
      <c r="G1766" s="18" t="s">
        <v>5848</v>
      </c>
      <c r="H1766" s="18" t="s">
        <v>86</v>
      </c>
      <c r="I1766" s="18"/>
      <c r="J1766" s="16">
        <v>2025</v>
      </c>
      <c r="K1766" s="18" t="s">
        <v>5849</v>
      </c>
      <c r="L1766" s="16">
        <v>9785961467581</v>
      </c>
      <c r="M1766" s="18" t="s">
        <v>5850</v>
      </c>
      <c r="N1766" s="16">
        <v>432</v>
      </c>
      <c r="O1766" s="19">
        <v>0.8</v>
      </c>
      <c r="P1766" s="16">
        <v>170</v>
      </c>
      <c r="Q1766" s="16">
        <v>240</v>
      </c>
      <c r="R1766" s="16">
        <v>5</v>
      </c>
      <c r="S1766" s="18" t="s">
        <v>123</v>
      </c>
      <c r="T1766" s="18"/>
      <c r="U1766" s="17">
        <v>3000</v>
      </c>
      <c r="V1766" s="18" t="s">
        <v>77</v>
      </c>
      <c r="W1766" s="18" t="s">
        <v>184</v>
      </c>
      <c r="X1766" s="16">
        <v>10</v>
      </c>
      <c r="Y1766" s="43" t="str">
        <f>HYPERLINK("https://api-enni.alpina.ru/FilePrivilegesApproval/152","https://api-enni.alpina.ru/FilePrivilegesApproval/152")</f>
        <v>https://api-enni.alpina.ru/FilePrivilegesApproval/152</v>
      </c>
      <c r="Z1766" s="18"/>
      <c r="AS1766" s="1">
        <f>IF($A1766&lt;&gt;0,1,0)</f>
        <v>0</v>
      </c>
      <c r="AT1766" s="1">
        <f>$A1766*$B1766</f>
        <v>0</v>
      </c>
      <c r="AU1766" s="1">
        <f>$A1766*$O1766</f>
        <v>0</v>
      </c>
      <c r="AV1766" s="1">
        <f>IF($R1766=0,0,INT($A1766/$R1766))</f>
        <v>0</v>
      </c>
      <c r="AW1766" s="1">
        <f>$A1766-$AV1766*$R1766</f>
        <v>0</v>
      </c>
    </row>
    <row r="1767" ht="24.95" customHeight="1" outlineLevel="3" s="1" customFormat="1">
      <c r="A1767" s="15"/>
      <c r="B1767" s="17">
        <v>1290</v>
      </c>
      <c r="C1767" s="17">
        <v>1742</v>
      </c>
      <c r="D1767" s="16">
        <v>4855</v>
      </c>
      <c r="E1767" s="18"/>
      <c r="F1767" s="18" t="s">
        <v>5847</v>
      </c>
      <c r="G1767" s="18" t="s">
        <v>5851</v>
      </c>
      <c r="H1767" s="18" t="s">
        <v>86</v>
      </c>
      <c r="I1767" s="18"/>
      <c r="J1767" s="16">
        <v>2026</v>
      </c>
      <c r="K1767" s="18" t="s">
        <v>5852</v>
      </c>
      <c r="L1767" s="16">
        <v>9785961470543</v>
      </c>
      <c r="M1767" s="18" t="s">
        <v>5853</v>
      </c>
      <c r="N1767" s="16">
        <v>482</v>
      </c>
      <c r="O1767" s="19">
        <v>0.84</v>
      </c>
      <c r="P1767" s="16">
        <v>168</v>
      </c>
      <c r="Q1767" s="16">
        <v>241</v>
      </c>
      <c r="R1767" s="16">
        <v>6</v>
      </c>
      <c r="S1767" s="18" t="s">
        <v>123</v>
      </c>
      <c r="T1767" s="18"/>
      <c r="U1767" s="17">
        <v>1000</v>
      </c>
      <c r="V1767" s="18" t="s">
        <v>77</v>
      </c>
      <c r="W1767" s="18" t="s">
        <v>184</v>
      </c>
      <c r="X1767" s="16">
        <v>10</v>
      </c>
      <c r="Y1767" s="43" t="str">
        <f>HYPERLINK("https://api-enni.alpina.ru/FilePrivilegesApproval/2","https://api-enni.alpina.ru/FilePrivilegesApproval/2")</f>
        <v>https://api-enni.alpina.ru/FilePrivilegesApproval/2</v>
      </c>
      <c r="Z1767" s="18"/>
      <c r="AS1767" s="1">
        <f>IF($A1767&lt;&gt;0,1,0)</f>
        <v>0</v>
      </c>
      <c r="AT1767" s="1">
        <f>$A1767*$B1767</f>
        <v>0</v>
      </c>
      <c r="AU1767" s="1">
        <f>$A1767*$O1767</f>
        <v>0</v>
      </c>
      <c r="AV1767" s="1">
        <f>IF($R1767=0,0,INT($A1767/$R1767))</f>
        <v>0</v>
      </c>
      <c r="AW1767" s="1">
        <f>$A1767-$AV1767*$R1767</f>
        <v>0</v>
      </c>
    </row>
    <row r="1768" ht="24.95" customHeight="1" outlineLevel="3" s="1" customFormat="1">
      <c r="A1768" s="15"/>
      <c r="B1768" s="17">
        <v>1990</v>
      </c>
      <c r="C1768" s="17">
        <v>2587</v>
      </c>
      <c r="D1768" s="16">
        <v>17880</v>
      </c>
      <c r="E1768" s="18"/>
      <c r="F1768" s="18" t="s">
        <v>5847</v>
      </c>
      <c r="G1768" s="18" t="s">
        <v>5854</v>
      </c>
      <c r="H1768" s="18" t="s">
        <v>86</v>
      </c>
      <c r="I1768" s="18"/>
      <c r="J1768" s="16">
        <v>2025</v>
      </c>
      <c r="K1768" s="18" t="s">
        <v>5855</v>
      </c>
      <c r="L1768" s="16">
        <v>9785961437164</v>
      </c>
      <c r="M1768" s="18" t="s">
        <v>5856</v>
      </c>
      <c r="N1768" s="17">
        <v>1012</v>
      </c>
      <c r="O1768" s="19">
        <v>1.41</v>
      </c>
      <c r="P1768" s="16">
        <v>170</v>
      </c>
      <c r="Q1768" s="16">
        <v>240</v>
      </c>
      <c r="R1768" s="16">
        <v>3</v>
      </c>
      <c r="S1768" s="18" t="s">
        <v>123</v>
      </c>
      <c r="T1768" s="18"/>
      <c r="U1768" s="17">
        <v>2000</v>
      </c>
      <c r="V1768" s="18" t="s">
        <v>77</v>
      </c>
      <c r="W1768" s="18" t="s">
        <v>91</v>
      </c>
      <c r="X1768" s="16">
        <v>10</v>
      </c>
      <c r="Y1768" s="43" t="str">
        <f>HYPERLINK("https://api-enni.alpina.ru/FilePrivilegesApproval/119","https://api-enni.alpina.ru/FilePrivilegesApproval/119")</f>
        <v>https://api-enni.alpina.ru/FilePrivilegesApproval/119</v>
      </c>
      <c r="Z1768" s="18"/>
      <c r="AS1768" s="1">
        <f>IF($A1768&lt;&gt;0,1,0)</f>
        <v>0</v>
      </c>
      <c r="AT1768" s="1">
        <f>$A1768*$B1768</f>
        <v>0</v>
      </c>
      <c r="AU1768" s="1">
        <f>$A1768*$O1768</f>
        <v>0</v>
      </c>
      <c r="AV1768" s="1">
        <f>IF($R1768=0,0,INT($A1768/$R1768))</f>
        <v>0</v>
      </c>
      <c r="AW1768" s="1">
        <f>$A1768-$AV1768*$R1768</f>
        <v>0</v>
      </c>
    </row>
    <row r="1769" ht="24.95" customHeight="1" outlineLevel="3" s="1" customFormat="1">
      <c r="A1769" s="15"/>
      <c r="B1769" s="17">
        <v>1690</v>
      </c>
      <c r="C1769" s="17">
        <v>2197</v>
      </c>
      <c r="D1769" s="16">
        <v>5799</v>
      </c>
      <c r="E1769" s="18"/>
      <c r="F1769" s="18" t="s">
        <v>5857</v>
      </c>
      <c r="G1769" s="18" t="s">
        <v>5858</v>
      </c>
      <c r="H1769" s="18" t="s">
        <v>86</v>
      </c>
      <c r="I1769" s="18" t="s">
        <v>74</v>
      </c>
      <c r="J1769" s="16">
        <v>2025</v>
      </c>
      <c r="K1769" s="18" t="s">
        <v>5859</v>
      </c>
      <c r="L1769" s="16">
        <v>9785961469394</v>
      </c>
      <c r="M1769" s="18" t="s">
        <v>5860</v>
      </c>
      <c r="N1769" s="16">
        <v>648</v>
      </c>
      <c r="O1769" s="19">
        <v>1.16</v>
      </c>
      <c r="P1769" s="16">
        <v>168</v>
      </c>
      <c r="Q1769" s="16">
        <v>241</v>
      </c>
      <c r="R1769" s="16">
        <v>3</v>
      </c>
      <c r="S1769" s="18" t="s">
        <v>123</v>
      </c>
      <c r="T1769" s="18"/>
      <c r="U1769" s="17">
        <v>2000</v>
      </c>
      <c r="V1769" s="18" t="s">
        <v>77</v>
      </c>
      <c r="W1769" s="18" t="s">
        <v>184</v>
      </c>
      <c r="X1769" s="16">
        <v>10</v>
      </c>
      <c r="Y1769" s="43" t="str">
        <f>HYPERLINK("https://api-enni.alpina.ru/FilePrivilegesApproval/141","https://api-enni.alpina.ru/FilePrivilegesApproval/141")</f>
        <v>https://api-enni.alpina.ru/FilePrivilegesApproval/141</v>
      </c>
      <c r="Z1769" s="18"/>
      <c r="AS1769" s="1">
        <f>IF($A1769&lt;&gt;0,1,0)</f>
        <v>0</v>
      </c>
      <c r="AT1769" s="1">
        <f>$A1769*$B1769</f>
        <v>0</v>
      </c>
      <c r="AU1769" s="1">
        <f>$A1769*$O1769</f>
        <v>0</v>
      </c>
      <c r="AV1769" s="1">
        <f>IF($R1769=0,0,INT($A1769/$R1769))</f>
        <v>0</v>
      </c>
      <c r="AW1769" s="1">
        <f>$A1769-$AV1769*$R1769</f>
        <v>0</v>
      </c>
    </row>
    <row r="1770" ht="11.1" customHeight="1" outlineLevel="2">
      <c r="A1770" s="41" t="s">
        <v>5861</v>
      </c>
      <c r="B1770" s="41"/>
      <c r="C1770" s="41"/>
      <c r="D1770" s="41"/>
      <c r="E1770" s="41"/>
      <c r="F1770" s="41"/>
      <c r="G1770" s="41"/>
      <c r="H1770" s="41"/>
      <c r="I1770" s="41"/>
      <c r="J1770" s="41"/>
      <c r="K1770" s="41"/>
      <c r="L1770" s="41"/>
      <c r="M1770" s="41"/>
      <c r="N1770" s="41"/>
      <c r="O1770" s="41"/>
      <c r="P1770" s="41"/>
      <c r="Q1770" s="41"/>
      <c r="R1770" s="41"/>
      <c r="S1770" s="41"/>
      <c r="T1770" s="41"/>
      <c r="U1770" s="41"/>
      <c r="V1770" s="41"/>
      <c r="W1770" s="41"/>
      <c r="X1770" s="41"/>
      <c r="Y1770" s="41"/>
      <c r="Z1770" s="24"/>
    </row>
    <row r="1771" ht="24.95" customHeight="1" outlineLevel="3" s="1" customFormat="1">
      <c r="A1771" s="15"/>
      <c r="B1771" s="16">
        <v>990</v>
      </c>
      <c r="C1771" s="17">
        <v>1386</v>
      </c>
      <c r="D1771" s="16">
        <v>25684</v>
      </c>
      <c r="E1771" s="18"/>
      <c r="F1771" s="18" t="s">
        <v>5862</v>
      </c>
      <c r="G1771" s="18" t="s">
        <v>5863</v>
      </c>
      <c r="H1771" s="18" t="s">
        <v>95</v>
      </c>
      <c r="I1771" s="18" t="s">
        <v>74</v>
      </c>
      <c r="J1771" s="16">
        <v>2022</v>
      </c>
      <c r="K1771" s="18" t="s">
        <v>5864</v>
      </c>
      <c r="L1771" s="16">
        <v>9785206000535</v>
      </c>
      <c r="M1771" s="18" t="s">
        <v>5865</v>
      </c>
      <c r="N1771" s="16">
        <v>231</v>
      </c>
      <c r="O1771" s="19">
        <v>0.5</v>
      </c>
      <c r="P1771" s="16">
        <v>168</v>
      </c>
      <c r="Q1771" s="16">
        <v>241</v>
      </c>
      <c r="R1771" s="16">
        <v>8</v>
      </c>
      <c r="S1771" s="18" t="s">
        <v>123</v>
      </c>
      <c r="T1771" s="18"/>
      <c r="U1771" s="17">
        <v>1500</v>
      </c>
      <c r="V1771" s="18" t="s">
        <v>77</v>
      </c>
      <c r="W1771" s="18" t="s">
        <v>45</v>
      </c>
      <c r="X1771" s="16">
        <v>10</v>
      </c>
      <c r="Y1771" s="43" t="str">
        <f>HYPERLINK("https://api-enni.alpina.ru/FilePrivilegesApproval/167","https://api-enni.alpina.ru/FilePrivilegesApproval/167")</f>
        <v>https://api-enni.alpina.ru/FilePrivilegesApproval/167</v>
      </c>
      <c r="Z1771" s="18"/>
      <c r="AS1771" s="1">
        <f>IF($A1771&lt;&gt;0,1,0)</f>
        <v>0</v>
      </c>
      <c r="AT1771" s="1">
        <f>$A1771*$B1771</f>
        <v>0</v>
      </c>
      <c r="AU1771" s="1">
        <f>$A1771*$O1771</f>
        <v>0</v>
      </c>
      <c r="AV1771" s="1">
        <f>IF($R1771=0,0,INT($A1771/$R1771))</f>
        <v>0</v>
      </c>
      <c r="AW1771" s="1">
        <f>$A1771-$AV1771*$R1771</f>
        <v>0</v>
      </c>
    </row>
    <row r="1772" ht="24.95" customHeight="1" outlineLevel="3" s="1" customFormat="1">
      <c r="A1772" s="15"/>
      <c r="B1772" s="16">
        <v>790</v>
      </c>
      <c r="C1772" s="17">
        <v>1146</v>
      </c>
      <c r="D1772" s="16">
        <v>7340</v>
      </c>
      <c r="E1772" s="18"/>
      <c r="F1772" s="18" t="s">
        <v>5866</v>
      </c>
      <c r="G1772" s="18" t="s">
        <v>5867</v>
      </c>
      <c r="H1772" s="18" t="s">
        <v>95</v>
      </c>
      <c r="I1772" s="18" t="s">
        <v>74</v>
      </c>
      <c r="J1772" s="16">
        <v>2024</v>
      </c>
      <c r="K1772" s="18" t="s">
        <v>5868</v>
      </c>
      <c r="L1772" s="16">
        <v>9785907394056</v>
      </c>
      <c r="M1772" s="18" t="s">
        <v>5869</v>
      </c>
      <c r="N1772" s="16">
        <v>348</v>
      </c>
      <c r="O1772" s="19">
        <v>0.53</v>
      </c>
      <c r="P1772" s="16">
        <v>146</v>
      </c>
      <c r="Q1772" s="16">
        <v>216</v>
      </c>
      <c r="R1772" s="16">
        <v>5</v>
      </c>
      <c r="S1772" s="18" t="s">
        <v>43</v>
      </c>
      <c r="T1772" s="18"/>
      <c r="U1772" s="17">
        <v>1000</v>
      </c>
      <c r="V1772" s="18" t="s">
        <v>77</v>
      </c>
      <c r="W1772" s="18" t="s">
        <v>45</v>
      </c>
      <c r="X1772" s="16">
        <v>10</v>
      </c>
      <c r="Y1772" s="43" t="str">
        <f>HYPERLINK("https://api-enni.alpina.ru/FilePrivilegesApproval/2","https://api-enni.alpina.ru/FilePrivilegesApproval/2")</f>
        <v>https://api-enni.alpina.ru/FilePrivilegesApproval/2</v>
      </c>
      <c r="Z1772" s="18"/>
      <c r="AS1772" s="1">
        <f>IF($A1772&lt;&gt;0,1,0)</f>
        <v>0</v>
      </c>
      <c r="AT1772" s="1">
        <f>$A1772*$B1772</f>
        <v>0</v>
      </c>
      <c r="AU1772" s="1">
        <f>$A1772*$O1772</f>
        <v>0</v>
      </c>
      <c r="AV1772" s="1">
        <f>IF($R1772=0,0,INT($A1772/$R1772))</f>
        <v>0</v>
      </c>
      <c r="AW1772" s="1">
        <f>$A1772-$AV1772*$R1772</f>
        <v>0</v>
      </c>
    </row>
    <row r="1773" ht="24.95" customHeight="1" outlineLevel="3" s="1" customFormat="1">
      <c r="A1773" s="15"/>
      <c r="B1773" s="17">
        <v>1440</v>
      </c>
      <c r="C1773" s="17">
        <v>1944</v>
      </c>
      <c r="D1773" s="16">
        <v>5018</v>
      </c>
      <c r="E1773" s="18"/>
      <c r="F1773" s="18" t="s">
        <v>5870</v>
      </c>
      <c r="G1773" s="18" t="s">
        <v>5871</v>
      </c>
      <c r="H1773" s="18" t="s">
        <v>95</v>
      </c>
      <c r="I1773" s="18"/>
      <c r="J1773" s="16">
        <v>2025</v>
      </c>
      <c r="K1773" s="18" t="s">
        <v>5872</v>
      </c>
      <c r="L1773" s="16">
        <v>9785907394728</v>
      </c>
      <c r="M1773" s="18" t="s">
        <v>5873</v>
      </c>
      <c r="N1773" s="16">
        <v>328</v>
      </c>
      <c r="O1773" s="19">
        <v>0.65</v>
      </c>
      <c r="P1773" s="16">
        <v>168</v>
      </c>
      <c r="Q1773" s="16">
        <v>241</v>
      </c>
      <c r="R1773" s="16">
        <v>5</v>
      </c>
      <c r="S1773" s="18" t="s">
        <v>123</v>
      </c>
      <c r="T1773" s="18"/>
      <c r="U1773" s="17">
        <v>1000</v>
      </c>
      <c r="V1773" s="18" t="s">
        <v>77</v>
      </c>
      <c r="W1773" s="18" t="s">
        <v>184</v>
      </c>
      <c r="X1773" s="16">
        <v>10</v>
      </c>
      <c r="Y1773" s="43" t="str">
        <f>HYPERLINK("https://api-enni.alpina.ru/FilePrivilegesApproval/2","https://api-enni.alpina.ru/FilePrivilegesApproval/2")</f>
        <v>https://api-enni.alpina.ru/FilePrivilegesApproval/2</v>
      </c>
      <c r="Z1773" s="18"/>
      <c r="AS1773" s="1">
        <f>IF($A1773&lt;&gt;0,1,0)</f>
        <v>0</v>
      </c>
      <c r="AT1773" s="1">
        <f>$A1773*$B1773</f>
        <v>0</v>
      </c>
      <c r="AU1773" s="1">
        <f>$A1773*$O1773</f>
        <v>0</v>
      </c>
      <c r="AV1773" s="1">
        <f>IF($R1773=0,0,INT($A1773/$R1773))</f>
        <v>0</v>
      </c>
      <c r="AW1773" s="1">
        <f>$A1773-$AV1773*$R1773</f>
        <v>0</v>
      </c>
    </row>
    <row r="1774" ht="24.95" customHeight="1" outlineLevel="3" s="1" customFormat="1">
      <c r="A1774" s="15"/>
      <c r="B1774" s="16">
        <v>490</v>
      </c>
      <c r="C1774" s="16">
        <v>760</v>
      </c>
      <c r="D1774" s="16">
        <v>9117</v>
      </c>
      <c r="E1774" s="18"/>
      <c r="F1774" s="18" t="s">
        <v>480</v>
      </c>
      <c r="G1774" s="18" t="s">
        <v>481</v>
      </c>
      <c r="H1774" s="18" t="s">
        <v>95</v>
      </c>
      <c r="I1774" s="18"/>
      <c r="J1774" s="16">
        <v>2019</v>
      </c>
      <c r="K1774" s="18" t="s">
        <v>482</v>
      </c>
      <c r="L1774" s="16">
        <v>9785604231975</v>
      </c>
      <c r="M1774" s="18" t="s">
        <v>483</v>
      </c>
      <c r="N1774" s="16">
        <v>158</v>
      </c>
      <c r="O1774" s="19">
        <v>0.41</v>
      </c>
      <c r="P1774" s="16">
        <v>168</v>
      </c>
      <c r="Q1774" s="16">
        <v>221</v>
      </c>
      <c r="R1774" s="16">
        <v>10</v>
      </c>
      <c r="S1774" s="18" t="s">
        <v>52</v>
      </c>
      <c r="T1774" s="18"/>
      <c r="U1774" s="17">
        <v>2000</v>
      </c>
      <c r="V1774" s="18" t="s">
        <v>77</v>
      </c>
      <c r="W1774" s="18" t="s">
        <v>91</v>
      </c>
      <c r="X1774" s="16">
        <v>10</v>
      </c>
      <c r="Y1774" s="43" t="str">
        <f>HYPERLINK("","")</f>
      </c>
      <c r="Z1774" s="18"/>
      <c r="AS1774" s="1">
        <f>IF($A1774&lt;&gt;0,1,0)</f>
        <v>0</v>
      </c>
      <c r="AT1774" s="1">
        <f>$A1774*$B1774</f>
        <v>0</v>
      </c>
      <c r="AU1774" s="1">
        <f>$A1774*$O1774</f>
        <v>0</v>
      </c>
      <c r="AV1774" s="1">
        <f>IF($R1774=0,0,INT($A1774/$R1774))</f>
        <v>0</v>
      </c>
      <c r="AW1774" s="1">
        <f>$A1774-$AV1774*$R1774</f>
        <v>0</v>
      </c>
    </row>
    <row r="1775" ht="24.95" customHeight="1" outlineLevel="3" s="1" customFormat="1">
      <c r="A1775" s="15"/>
      <c r="B1775" s="17">
        <v>1490</v>
      </c>
      <c r="C1775" s="17">
        <v>2012</v>
      </c>
      <c r="D1775" s="16">
        <v>32011</v>
      </c>
      <c r="E1775" s="18"/>
      <c r="F1775" s="18" t="s">
        <v>5874</v>
      </c>
      <c r="G1775" s="18" t="s">
        <v>5875</v>
      </c>
      <c r="H1775" s="18" t="s">
        <v>95</v>
      </c>
      <c r="I1775" s="18" t="s">
        <v>74</v>
      </c>
      <c r="J1775" s="16">
        <v>2025</v>
      </c>
      <c r="K1775" s="18" t="s">
        <v>5876</v>
      </c>
      <c r="L1775" s="16">
        <v>9785206003970</v>
      </c>
      <c r="M1775" s="18" t="s">
        <v>5877</v>
      </c>
      <c r="N1775" s="16">
        <v>525</v>
      </c>
      <c r="O1775" s="19">
        <v>0.95</v>
      </c>
      <c r="P1775" s="16">
        <v>170</v>
      </c>
      <c r="Q1775" s="16">
        <v>240</v>
      </c>
      <c r="R1775" s="16">
        <v>3</v>
      </c>
      <c r="S1775" s="18" t="s">
        <v>123</v>
      </c>
      <c r="T1775" s="18"/>
      <c r="U1775" s="17">
        <v>2000</v>
      </c>
      <c r="V1775" s="18" t="s">
        <v>77</v>
      </c>
      <c r="W1775" s="18" t="s">
        <v>69</v>
      </c>
      <c r="X1775" s="16">
        <v>10</v>
      </c>
      <c r="Y1775" s="43" t="str">
        <f>HYPERLINK("https://api-enni.alpina.ru/FilePrivilegesApproval/735","https://api-enni.alpina.ru/FilePrivilegesApproval/735")</f>
        <v>https://api-enni.alpina.ru/FilePrivilegesApproval/735</v>
      </c>
      <c r="Z1775" s="18"/>
      <c r="AS1775" s="1">
        <f>IF($A1775&lt;&gt;0,1,0)</f>
        <v>0</v>
      </c>
      <c r="AT1775" s="1">
        <f>$A1775*$B1775</f>
        <v>0</v>
      </c>
      <c r="AU1775" s="1">
        <f>$A1775*$O1775</f>
        <v>0</v>
      </c>
      <c r="AV1775" s="1">
        <f>IF($R1775=0,0,INT($A1775/$R1775))</f>
        <v>0</v>
      </c>
      <c r="AW1775" s="1">
        <f>$A1775-$AV1775*$R1775</f>
        <v>0</v>
      </c>
    </row>
    <row r="1776" ht="24.95" customHeight="1" outlineLevel="3" s="1" customFormat="1">
      <c r="A1776" s="15"/>
      <c r="B1776" s="16">
        <v>790</v>
      </c>
      <c r="C1776" s="17">
        <v>1146</v>
      </c>
      <c r="D1776" s="16">
        <v>5733</v>
      </c>
      <c r="E1776" s="18"/>
      <c r="F1776" s="18" t="s">
        <v>5878</v>
      </c>
      <c r="G1776" s="18" t="s">
        <v>5879</v>
      </c>
      <c r="H1776" s="18" t="s">
        <v>95</v>
      </c>
      <c r="I1776" s="18"/>
      <c r="J1776" s="16">
        <v>2024</v>
      </c>
      <c r="K1776" s="18" t="s">
        <v>5880</v>
      </c>
      <c r="L1776" s="16">
        <v>9785907394575</v>
      </c>
      <c r="M1776" s="18" t="s">
        <v>5881</v>
      </c>
      <c r="N1776" s="16">
        <v>180</v>
      </c>
      <c r="O1776" s="19">
        <v>0.34</v>
      </c>
      <c r="P1776" s="16">
        <v>153</v>
      </c>
      <c r="Q1776" s="16">
        <v>216</v>
      </c>
      <c r="R1776" s="16">
        <v>10</v>
      </c>
      <c r="S1776" s="18" t="s">
        <v>43</v>
      </c>
      <c r="T1776" s="18"/>
      <c r="U1776" s="17">
        <v>1000</v>
      </c>
      <c r="V1776" s="18" t="s">
        <v>77</v>
      </c>
      <c r="W1776" s="18" t="s">
        <v>184</v>
      </c>
      <c r="X1776" s="16">
        <v>10</v>
      </c>
      <c r="Y1776" s="43" t="str">
        <f>HYPERLINK("https://api-enni.alpina.ru/FilePrivilegesApproval/2","https://api-enni.alpina.ru/FilePrivilegesApproval/2")</f>
        <v>https://api-enni.alpina.ru/FilePrivilegesApproval/2</v>
      </c>
      <c r="Z1776" s="18"/>
      <c r="AS1776" s="1">
        <f>IF($A1776&lt;&gt;0,1,0)</f>
        <v>0</v>
      </c>
      <c r="AT1776" s="1">
        <f>$A1776*$B1776</f>
        <v>0</v>
      </c>
      <c r="AU1776" s="1">
        <f>$A1776*$O1776</f>
        <v>0</v>
      </c>
      <c r="AV1776" s="1">
        <f>IF($R1776=0,0,INT($A1776/$R1776))</f>
        <v>0</v>
      </c>
      <c r="AW1776" s="1">
        <f>$A1776-$AV1776*$R1776</f>
        <v>0</v>
      </c>
    </row>
    <row r="1777" ht="24.95" customHeight="1" outlineLevel="3" s="1" customFormat="1">
      <c r="A1777" s="25"/>
      <c r="B1777" s="26">
        <v>940</v>
      </c>
      <c r="C1777" s="29">
        <v>1316</v>
      </c>
      <c r="D1777" s="26">
        <v>25743</v>
      </c>
      <c r="E1777" s="27"/>
      <c r="F1777" s="27" t="s">
        <v>5882</v>
      </c>
      <c r="G1777" s="27" t="s">
        <v>5883</v>
      </c>
      <c r="H1777" s="27" t="s">
        <v>95</v>
      </c>
      <c r="I1777" s="27" t="s">
        <v>74</v>
      </c>
      <c r="J1777" s="26">
        <v>2025</v>
      </c>
      <c r="K1777" s="27" t="s">
        <v>5884</v>
      </c>
      <c r="L1777" s="26">
        <v>9785206000634</v>
      </c>
      <c r="M1777" s="27" t="s">
        <v>5885</v>
      </c>
      <c r="N1777" s="26">
        <v>502</v>
      </c>
      <c r="O1777" s="28">
        <v>0.8</v>
      </c>
      <c r="P1777" s="26">
        <v>170</v>
      </c>
      <c r="Q1777" s="26">
        <v>230</v>
      </c>
      <c r="R1777" s="26">
        <v>4</v>
      </c>
      <c r="S1777" s="27" t="s">
        <v>52</v>
      </c>
      <c r="T1777" s="27"/>
      <c r="U1777" s="29">
        <v>1000</v>
      </c>
      <c r="V1777" s="27" t="s">
        <v>77</v>
      </c>
      <c r="W1777" s="27" t="s">
        <v>69</v>
      </c>
      <c r="X1777" s="26">
        <v>10</v>
      </c>
      <c r="Y1777" s="45" t="str">
        <f>HYPERLINK("https://api-enni.alpina.ru/FilePrivilegesApproval/167","https://api-enni.alpina.ru/FilePrivilegesApproval/167")</f>
        <v>https://api-enni.alpina.ru/FilePrivilegesApproval/167</v>
      </c>
      <c r="Z1777" s="27"/>
      <c r="AS1777" s="1">
        <f>IF($A1777&lt;&gt;0,1,0)</f>
        <v>0</v>
      </c>
      <c r="AT1777" s="1">
        <f>$A1777*$B1777</f>
        <v>0</v>
      </c>
      <c r="AU1777" s="1">
        <f>$A1777*$O1777</f>
        <v>0</v>
      </c>
      <c r="AV1777" s="1">
        <f>IF($R1777=0,0,INT($A1777/$R1777))</f>
        <v>0</v>
      </c>
      <c r="AW1777" s="1">
        <f>$A1777-$AV1777*$R1777</f>
        <v>0</v>
      </c>
    </row>
    <row r="1778" ht="24.95" customHeight="1" outlineLevel="3" s="1" customFormat="1">
      <c r="A1778" s="15"/>
      <c r="B1778" s="16">
        <v>990</v>
      </c>
      <c r="C1778" s="17">
        <v>1386</v>
      </c>
      <c r="D1778" s="16">
        <v>6523</v>
      </c>
      <c r="E1778" s="18"/>
      <c r="F1778" s="18" t="s">
        <v>5886</v>
      </c>
      <c r="G1778" s="18" t="s">
        <v>5887</v>
      </c>
      <c r="H1778" s="18" t="s">
        <v>86</v>
      </c>
      <c r="I1778" s="18" t="s">
        <v>74</v>
      </c>
      <c r="J1778" s="16">
        <v>2026</v>
      </c>
      <c r="K1778" s="18" t="s">
        <v>5888</v>
      </c>
      <c r="L1778" s="16">
        <v>9785961459043</v>
      </c>
      <c r="M1778" s="18" t="s">
        <v>5889</v>
      </c>
      <c r="N1778" s="16">
        <v>326</v>
      </c>
      <c r="O1778" s="19">
        <v>0.64</v>
      </c>
      <c r="P1778" s="16">
        <v>168</v>
      </c>
      <c r="Q1778" s="16">
        <v>241</v>
      </c>
      <c r="R1778" s="16">
        <v>8</v>
      </c>
      <c r="S1778" s="18" t="s">
        <v>123</v>
      </c>
      <c r="T1778" s="18"/>
      <c r="U1778" s="17">
        <v>1000</v>
      </c>
      <c r="V1778" s="18" t="s">
        <v>77</v>
      </c>
      <c r="W1778" s="18" t="s">
        <v>184</v>
      </c>
      <c r="X1778" s="16">
        <v>10</v>
      </c>
      <c r="Y1778" s="43" t="str">
        <f>HYPERLINK("https://api-enni.alpina.ru/FilePrivilegesApproval/2","https://api-enni.alpina.ru/FilePrivilegesApproval/2")</f>
        <v>https://api-enni.alpina.ru/FilePrivilegesApproval/2</v>
      </c>
      <c r="Z1778" s="18"/>
      <c r="AS1778" s="1">
        <f>IF($A1778&lt;&gt;0,1,0)</f>
        <v>0</v>
      </c>
      <c r="AT1778" s="1">
        <f>$A1778*$B1778</f>
        <v>0</v>
      </c>
      <c r="AU1778" s="1">
        <f>$A1778*$O1778</f>
        <v>0</v>
      </c>
      <c r="AV1778" s="1">
        <f>IF($R1778=0,0,INT($A1778/$R1778))</f>
        <v>0</v>
      </c>
      <c r="AW1778" s="1">
        <f>$A1778-$AV1778*$R1778</f>
        <v>0</v>
      </c>
    </row>
    <row r="1779" ht="24.95" customHeight="1" outlineLevel="3" s="1" customFormat="1">
      <c r="A1779" s="15"/>
      <c r="B1779" s="17">
        <v>1220</v>
      </c>
      <c r="C1779" s="17">
        <v>1647</v>
      </c>
      <c r="D1779" s="16">
        <v>6610</v>
      </c>
      <c r="E1779" s="18"/>
      <c r="F1779" s="18" t="s">
        <v>5890</v>
      </c>
      <c r="G1779" s="18" t="s">
        <v>5891</v>
      </c>
      <c r="H1779" s="18" t="s">
        <v>95</v>
      </c>
      <c r="I1779" s="18" t="s">
        <v>74</v>
      </c>
      <c r="J1779" s="16">
        <v>2024</v>
      </c>
      <c r="K1779" s="18" t="s">
        <v>5892</v>
      </c>
      <c r="L1779" s="16">
        <v>9785961469950</v>
      </c>
      <c r="M1779" s="18" t="s">
        <v>5893</v>
      </c>
      <c r="N1779" s="16">
        <v>280</v>
      </c>
      <c r="O1779" s="19">
        <v>0.55</v>
      </c>
      <c r="P1779" s="16">
        <v>170</v>
      </c>
      <c r="Q1779" s="16">
        <v>220</v>
      </c>
      <c r="R1779" s="16">
        <v>8</v>
      </c>
      <c r="S1779" s="18" t="s">
        <v>123</v>
      </c>
      <c r="T1779" s="18"/>
      <c r="U1779" s="17">
        <v>3000</v>
      </c>
      <c r="V1779" s="18" t="s">
        <v>77</v>
      </c>
      <c r="W1779" s="18" t="s">
        <v>184</v>
      </c>
      <c r="X1779" s="16">
        <v>10</v>
      </c>
      <c r="Y1779" s="43" t="str">
        <f>HYPERLINK("","")</f>
      </c>
      <c r="Z1779" s="18" t="s">
        <v>98</v>
      </c>
      <c r="AS1779" s="1">
        <f>IF($A1779&lt;&gt;0,1,0)</f>
        <v>0</v>
      </c>
      <c r="AT1779" s="1">
        <f>$A1779*$B1779</f>
        <v>0</v>
      </c>
      <c r="AU1779" s="1">
        <f>$A1779*$O1779</f>
        <v>0</v>
      </c>
      <c r="AV1779" s="1">
        <f>IF($R1779=0,0,INT($A1779/$R1779))</f>
        <v>0</v>
      </c>
      <c r="AW1779" s="1">
        <f>$A1779-$AV1779*$R1779</f>
        <v>0</v>
      </c>
    </row>
    <row r="1780" ht="24.95" customHeight="1" outlineLevel="3" s="1" customFormat="1">
      <c r="A1780" s="25"/>
      <c r="B1780" s="29">
        <v>1390</v>
      </c>
      <c r="C1780" s="29">
        <v>1876</v>
      </c>
      <c r="D1780" s="26">
        <v>18759</v>
      </c>
      <c r="E1780" s="27"/>
      <c r="F1780" s="27" t="s">
        <v>5894</v>
      </c>
      <c r="G1780" s="27" t="s">
        <v>5895</v>
      </c>
      <c r="H1780" s="27" t="s">
        <v>86</v>
      </c>
      <c r="I1780" s="27" t="s">
        <v>74</v>
      </c>
      <c r="J1780" s="26">
        <v>2025</v>
      </c>
      <c r="K1780" s="27" t="s">
        <v>5896</v>
      </c>
      <c r="L1780" s="26">
        <v>9785961440331</v>
      </c>
      <c r="M1780" s="27" t="s">
        <v>5897</v>
      </c>
      <c r="N1780" s="26">
        <v>154</v>
      </c>
      <c r="O1780" s="28">
        <v>0.35</v>
      </c>
      <c r="P1780" s="26">
        <v>150</v>
      </c>
      <c r="Q1780" s="26">
        <v>220</v>
      </c>
      <c r="R1780" s="26">
        <v>10</v>
      </c>
      <c r="S1780" s="27" t="s">
        <v>43</v>
      </c>
      <c r="T1780" s="27"/>
      <c r="U1780" s="29">
        <v>1000</v>
      </c>
      <c r="V1780" s="27" t="s">
        <v>77</v>
      </c>
      <c r="W1780" s="27" t="s">
        <v>91</v>
      </c>
      <c r="X1780" s="26">
        <v>10</v>
      </c>
      <c r="Y1780" s="45" t="str">
        <f>HYPERLINK("https://api-enni.alpina.ru/FilePrivilegesApproval/152","https://api-enni.alpina.ru/FilePrivilegesApproval/152")</f>
        <v>https://api-enni.alpina.ru/FilePrivilegesApproval/152</v>
      </c>
      <c r="Z1780" s="27"/>
      <c r="AS1780" s="1">
        <f>IF($A1780&lt;&gt;0,1,0)</f>
        <v>0</v>
      </c>
      <c r="AT1780" s="1">
        <f>$A1780*$B1780</f>
        <v>0</v>
      </c>
      <c r="AU1780" s="1">
        <f>$A1780*$O1780</f>
        <v>0</v>
      </c>
      <c r="AV1780" s="1">
        <f>IF($R1780=0,0,INT($A1780/$R1780))</f>
        <v>0</v>
      </c>
      <c r="AW1780" s="1">
        <f>$A1780-$AV1780*$R1780</f>
        <v>0</v>
      </c>
    </row>
    <row r="1781" ht="24.95" customHeight="1" outlineLevel="3" s="1" customFormat="1">
      <c r="A1781" s="25"/>
      <c r="B1781" s="26">
        <v>940</v>
      </c>
      <c r="C1781" s="29">
        <v>1316</v>
      </c>
      <c r="D1781" s="26">
        <v>7037</v>
      </c>
      <c r="E1781" s="27"/>
      <c r="F1781" s="27" t="s">
        <v>5898</v>
      </c>
      <c r="G1781" s="27" t="s">
        <v>5899</v>
      </c>
      <c r="H1781" s="27" t="s">
        <v>95</v>
      </c>
      <c r="I1781" s="27" t="s">
        <v>74</v>
      </c>
      <c r="J1781" s="26">
        <v>2024</v>
      </c>
      <c r="K1781" s="27" t="s">
        <v>5900</v>
      </c>
      <c r="L1781" s="26">
        <v>9785961461367</v>
      </c>
      <c r="M1781" s="27" t="s">
        <v>5901</v>
      </c>
      <c r="N1781" s="26">
        <v>236</v>
      </c>
      <c r="O1781" s="28">
        <v>0.49</v>
      </c>
      <c r="P1781" s="26">
        <v>171</v>
      </c>
      <c r="Q1781" s="26">
        <v>241</v>
      </c>
      <c r="R1781" s="26">
        <v>10</v>
      </c>
      <c r="S1781" s="27" t="s">
        <v>123</v>
      </c>
      <c r="T1781" s="27"/>
      <c r="U1781" s="29">
        <v>1000</v>
      </c>
      <c r="V1781" s="27" t="s">
        <v>77</v>
      </c>
      <c r="W1781" s="27" t="s">
        <v>184</v>
      </c>
      <c r="X1781" s="26">
        <v>10</v>
      </c>
      <c r="Y1781" s="45" t="str">
        <f>HYPERLINK("https://api-enni.alpina.ru/FilePrivilegesApproval/2","https://api-enni.alpina.ru/FilePrivilegesApproval/2")</f>
        <v>https://api-enni.alpina.ru/FilePrivilegesApproval/2</v>
      </c>
      <c r="Z1781" s="27" t="s">
        <v>950</v>
      </c>
      <c r="AS1781" s="1">
        <f>IF($A1781&lt;&gt;0,1,0)</f>
        <v>0</v>
      </c>
      <c r="AT1781" s="1">
        <f>$A1781*$B1781</f>
        <v>0</v>
      </c>
      <c r="AU1781" s="1">
        <f>$A1781*$O1781</f>
        <v>0</v>
      </c>
      <c r="AV1781" s="1">
        <f>IF($R1781=0,0,INT($A1781/$R1781))</f>
        <v>0</v>
      </c>
      <c r="AW1781" s="1">
        <f>$A1781-$AV1781*$R1781</f>
        <v>0</v>
      </c>
    </row>
    <row r="1782" ht="24.95" customHeight="1" outlineLevel="3" s="1" customFormat="1">
      <c r="A1782" s="15"/>
      <c r="B1782" s="16">
        <v>640</v>
      </c>
      <c r="C1782" s="16">
        <v>960</v>
      </c>
      <c r="D1782" s="16">
        <v>5068</v>
      </c>
      <c r="E1782" s="18"/>
      <c r="F1782" s="18" t="s">
        <v>5902</v>
      </c>
      <c r="G1782" s="18" t="s">
        <v>5903</v>
      </c>
      <c r="H1782" s="18" t="s">
        <v>95</v>
      </c>
      <c r="I1782" s="18" t="s">
        <v>74</v>
      </c>
      <c r="J1782" s="16">
        <v>2025</v>
      </c>
      <c r="K1782" s="18" t="s">
        <v>5904</v>
      </c>
      <c r="L1782" s="16">
        <v>9785961467901</v>
      </c>
      <c r="M1782" s="18" t="s">
        <v>5905</v>
      </c>
      <c r="N1782" s="16">
        <v>170</v>
      </c>
      <c r="O1782" s="19">
        <v>0.33</v>
      </c>
      <c r="P1782" s="16">
        <v>146</v>
      </c>
      <c r="Q1782" s="16">
        <v>216</v>
      </c>
      <c r="R1782" s="16">
        <v>10</v>
      </c>
      <c r="S1782" s="18" t="s">
        <v>43</v>
      </c>
      <c r="T1782" s="18"/>
      <c r="U1782" s="17">
        <v>1000</v>
      </c>
      <c r="V1782" s="18" t="s">
        <v>77</v>
      </c>
      <c r="W1782" s="18" t="s">
        <v>91</v>
      </c>
      <c r="X1782" s="16">
        <v>10</v>
      </c>
      <c r="Y1782" s="43" t="str">
        <f>HYPERLINK("https://api-enni.alpina.ru/FilePrivilegesApproval/2","https://api-enni.alpina.ru/FilePrivilegesApproval/2")</f>
        <v>https://api-enni.alpina.ru/FilePrivilegesApproval/2</v>
      </c>
      <c r="Z1782" s="18" t="s">
        <v>1220</v>
      </c>
      <c r="AS1782" s="1">
        <f>IF($A1782&lt;&gt;0,1,0)</f>
        <v>0</v>
      </c>
      <c r="AT1782" s="1">
        <f>$A1782*$B1782</f>
        <v>0</v>
      </c>
      <c r="AU1782" s="1">
        <f>$A1782*$O1782</f>
        <v>0</v>
      </c>
      <c r="AV1782" s="1">
        <f>IF($R1782=0,0,INT($A1782/$R1782))</f>
        <v>0</v>
      </c>
      <c r="AW1782" s="1">
        <f>$A1782-$AV1782*$R1782</f>
        <v>0</v>
      </c>
    </row>
    <row r="1783" ht="24.95" customHeight="1" outlineLevel="3" s="1" customFormat="1">
      <c r="A1783" s="15"/>
      <c r="B1783" s="17">
        <v>2950</v>
      </c>
      <c r="C1783" s="17">
        <v>3835</v>
      </c>
      <c r="D1783" s="16">
        <v>20527</v>
      </c>
      <c r="E1783" s="18"/>
      <c r="F1783" s="18" t="s">
        <v>5906</v>
      </c>
      <c r="G1783" s="18" t="s">
        <v>5907</v>
      </c>
      <c r="H1783" s="18" t="s">
        <v>86</v>
      </c>
      <c r="I1783" s="18" t="s">
        <v>74</v>
      </c>
      <c r="J1783" s="16">
        <v>2026</v>
      </c>
      <c r="K1783" s="18" t="s">
        <v>5908</v>
      </c>
      <c r="L1783" s="16">
        <v>9785006304062</v>
      </c>
      <c r="M1783" s="18" t="s">
        <v>5909</v>
      </c>
      <c r="N1783" s="16">
        <v>596</v>
      </c>
      <c r="O1783" s="19">
        <v>1.04</v>
      </c>
      <c r="P1783" s="16">
        <v>170</v>
      </c>
      <c r="Q1783" s="16">
        <v>240</v>
      </c>
      <c r="R1783" s="16">
        <v>5</v>
      </c>
      <c r="S1783" s="18" t="s">
        <v>123</v>
      </c>
      <c r="T1783" s="18"/>
      <c r="U1783" s="17">
        <v>1000</v>
      </c>
      <c r="V1783" s="18" t="s">
        <v>77</v>
      </c>
      <c r="W1783" s="18" t="s">
        <v>184</v>
      </c>
      <c r="X1783" s="16">
        <v>10</v>
      </c>
      <c r="Y1783" s="43" t="str">
        <f>HYPERLINK("https://api-enni.alpina.ru/FilePrivilegesApproval/856","https://api-enni.alpina.ru/FilePrivilegesApproval/856")</f>
        <v>https://api-enni.alpina.ru/FilePrivilegesApproval/856</v>
      </c>
      <c r="Z1783" s="18"/>
      <c r="AS1783" s="1">
        <f>IF($A1783&lt;&gt;0,1,0)</f>
        <v>0</v>
      </c>
      <c r="AT1783" s="1">
        <f>$A1783*$B1783</f>
        <v>0</v>
      </c>
      <c r="AU1783" s="1">
        <f>$A1783*$O1783</f>
        <v>0</v>
      </c>
      <c r="AV1783" s="1">
        <f>IF($R1783=0,0,INT($A1783/$R1783))</f>
        <v>0</v>
      </c>
      <c r="AW1783" s="1">
        <f>$A1783-$AV1783*$R1783</f>
        <v>0</v>
      </c>
    </row>
    <row r="1784" ht="24.95" customHeight="1" outlineLevel="3" s="1" customFormat="1">
      <c r="A1784" s="15"/>
      <c r="B1784" s="17">
        <v>1370</v>
      </c>
      <c r="C1784" s="17">
        <v>1850</v>
      </c>
      <c r="D1784" s="16">
        <v>24384</v>
      </c>
      <c r="E1784" s="18"/>
      <c r="F1784" s="18" t="s">
        <v>5910</v>
      </c>
      <c r="G1784" s="18" t="s">
        <v>5911</v>
      </c>
      <c r="H1784" s="18" t="s">
        <v>95</v>
      </c>
      <c r="I1784" s="18" t="s">
        <v>74</v>
      </c>
      <c r="J1784" s="16">
        <v>2025</v>
      </c>
      <c r="K1784" s="18" t="s">
        <v>5912</v>
      </c>
      <c r="L1784" s="16">
        <v>9785907470736</v>
      </c>
      <c r="M1784" s="18" t="s">
        <v>5913</v>
      </c>
      <c r="N1784" s="16">
        <v>272</v>
      </c>
      <c r="O1784" s="19">
        <v>0.55</v>
      </c>
      <c r="P1784" s="16">
        <v>168</v>
      </c>
      <c r="Q1784" s="16">
        <v>241</v>
      </c>
      <c r="R1784" s="16">
        <v>10</v>
      </c>
      <c r="S1784" s="18" t="s">
        <v>123</v>
      </c>
      <c r="T1784" s="18"/>
      <c r="U1784" s="17">
        <v>1000</v>
      </c>
      <c r="V1784" s="18" t="s">
        <v>77</v>
      </c>
      <c r="W1784" s="18" t="s">
        <v>55</v>
      </c>
      <c r="X1784" s="16">
        <v>10</v>
      </c>
      <c r="Y1784" s="43" t="str">
        <f>HYPERLINK("https://api-enni.alpina.ru/FilePrivilegesApproval/155","https://api-enni.alpina.ru/FilePrivilegesApproval/155")</f>
        <v>https://api-enni.alpina.ru/FilePrivilegesApproval/155</v>
      </c>
      <c r="Z1784" s="18" t="s">
        <v>744</v>
      </c>
      <c r="AS1784" s="1">
        <f>IF($A1784&lt;&gt;0,1,0)</f>
        <v>0</v>
      </c>
      <c r="AT1784" s="1">
        <f>$A1784*$B1784</f>
        <v>0</v>
      </c>
      <c r="AU1784" s="1">
        <f>$A1784*$O1784</f>
        <v>0</v>
      </c>
      <c r="AV1784" s="1">
        <f>IF($R1784=0,0,INT($A1784/$R1784))</f>
        <v>0</v>
      </c>
      <c r="AW1784" s="1">
        <f>$A1784-$AV1784*$R1784</f>
        <v>0</v>
      </c>
    </row>
    <row r="1785" ht="21.95" customHeight="1" outlineLevel="3" s="1" customFormat="1">
      <c r="A1785" s="15"/>
      <c r="B1785" s="16">
        <v>520</v>
      </c>
      <c r="C1785" s="16">
        <v>806</v>
      </c>
      <c r="D1785" s="16">
        <v>11813</v>
      </c>
      <c r="E1785" s="18"/>
      <c r="F1785" s="18" t="s">
        <v>5914</v>
      </c>
      <c r="G1785" s="18" t="s">
        <v>5915</v>
      </c>
      <c r="H1785" s="18" t="s">
        <v>95</v>
      </c>
      <c r="I1785" s="18" t="s">
        <v>160</v>
      </c>
      <c r="J1785" s="16">
        <v>2019</v>
      </c>
      <c r="K1785" s="18" t="s">
        <v>5916</v>
      </c>
      <c r="L1785" s="16">
        <v>9785604287866</v>
      </c>
      <c r="M1785" s="18" t="s">
        <v>5917</v>
      </c>
      <c r="N1785" s="16">
        <v>104</v>
      </c>
      <c r="O1785" s="19">
        <v>0.29</v>
      </c>
      <c r="P1785" s="16">
        <v>168</v>
      </c>
      <c r="Q1785" s="16">
        <v>241</v>
      </c>
      <c r="R1785" s="16">
        <v>14</v>
      </c>
      <c r="S1785" s="18" t="s">
        <v>123</v>
      </c>
      <c r="T1785" s="18"/>
      <c r="U1785" s="17">
        <v>2000</v>
      </c>
      <c r="V1785" s="18" t="s">
        <v>77</v>
      </c>
      <c r="W1785" s="18" t="s">
        <v>91</v>
      </c>
      <c r="X1785" s="16">
        <v>10</v>
      </c>
      <c r="Y1785" s="43" t="str">
        <f>HYPERLINK("","")</f>
      </c>
      <c r="Z1785" s="18"/>
      <c r="AS1785" s="1">
        <f>IF($A1785&lt;&gt;0,1,0)</f>
        <v>0</v>
      </c>
      <c r="AT1785" s="1">
        <f>$A1785*$B1785</f>
        <v>0</v>
      </c>
      <c r="AU1785" s="1">
        <f>$A1785*$O1785</f>
        <v>0</v>
      </c>
      <c r="AV1785" s="1">
        <f>IF($R1785=0,0,INT($A1785/$R1785))</f>
        <v>0</v>
      </c>
      <c r="AW1785" s="1">
        <f>$A1785-$AV1785*$R1785</f>
        <v>0</v>
      </c>
    </row>
    <row r="1786" ht="24.95" customHeight="1" outlineLevel="3" s="1" customFormat="1">
      <c r="A1786" s="15"/>
      <c r="B1786" s="16">
        <v>690</v>
      </c>
      <c r="C1786" s="17">
        <v>1035</v>
      </c>
      <c r="D1786" s="16">
        <v>23299</v>
      </c>
      <c r="E1786" s="18"/>
      <c r="F1786" s="18" t="s">
        <v>5918</v>
      </c>
      <c r="G1786" s="18" t="s">
        <v>5919</v>
      </c>
      <c r="H1786" s="18" t="s">
        <v>86</v>
      </c>
      <c r="I1786" s="18" t="s">
        <v>74</v>
      </c>
      <c r="J1786" s="16">
        <v>2022</v>
      </c>
      <c r="K1786" s="18" t="s">
        <v>5920</v>
      </c>
      <c r="L1786" s="16">
        <v>9785961472059</v>
      </c>
      <c r="M1786" s="18" t="s">
        <v>5921</v>
      </c>
      <c r="N1786" s="16">
        <v>292</v>
      </c>
      <c r="O1786" s="19">
        <v>0.45</v>
      </c>
      <c r="P1786" s="16">
        <v>146</v>
      </c>
      <c r="Q1786" s="16">
        <v>216</v>
      </c>
      <c r="R1786" s="16">
        <v>12</v>
      </c>
      <c r="S1786" s="18" t="s">
        <v>43</v>
      </c>
      <c r="T1786" s="18"/>
      <c r="U1786" s="17">
        <v>2000</v>
      </c>
      <c r="V1786" s="18" t="s">
        <v>77</v>
      </c>
      <c r="W1786" s="18" t="s">
        <v>91</v>
      </c>
      <c r="X1786" s="16">
        <v>10</v>
      </c>
      <c r="Y1786" s="43" t="str">
        <f>HYPERLINK("https://api-enni.alpina.ru/FilePrivilegesApproval/122","https://api-enni.alpina.ru/FilePrivilegesApproval/122")</f>
        <v>https://api-enni.alpina.ru/FilePrivilegesApproval/122</v>
      </c>
      <c r="Z1786" s="18"/>
      <c r="AS1786" s="1">
        <f>IF($A1786&lt;&gt;0,1,0)</f>
        <v>0</v>
      </c>
      <c r="AT1786" s="1">
        <f>$A1786*$B1786</f>
        <v>0</v>
      </c>
      <c r="AU1786" s="1">
        <f>$A1786*$O1786</f>
        <v>0</v>
      </c>
      <c r="AV1786" s="1">
        <f>IF($R1786=0,0,INT($A1786/$R1786))</f>
        <v>0</v>
      </c>
      <c r="AW1786" s="1">
        <f>$A1786-$AV1786*$R1786</f>
        <v>0</v>
      </c>
    </row>
    <row r="1787" ht="24.95" customHeight="1" outlineLevel="3" s="1" customFormat="1">
      <c r="A1787" s="25"/>
      <c r="B1787" s="29">
        <v>1590</v>
      </c>
      <c r="C1787" s="29">
        <v>2067</v>
      </c>
      <c r="D1787" s="26">
        <v>24081</v>
      </c>
      <c r="E1787" s="27"/>
      <c r="F1787" s="27" t="s">
        <v>5922</v>
      </c>
      <c r="G1787" s="27" t="s">
        <v>5923</v>
      </c>
      <c r="H1787" s="27" t="s">
        <v>95</v>
      </c>
      <c r="I1787" s="27"/>
      <c r="J1787" s="26">
        <v>2022</v>
      </c>
      <c r="K1787" s="27" t="s">
        <v>5924</v>
      </c>
      <c r="L1787" s="26">
        <v>9785907470453</v>
      </c>
      <c r="M1787" s="27" t="s">
        <v>5925</v>
      </c>
      <c r="N1787" s="26">
        <v>410</v>
      </c>
      <c r="O1787" s="28">
        <v>1.17</v>
      </c>
      <c r="P1787" s="26">
        <v>204</v>
      </c>
      <c r="Q1787" s="26">
        <v>266</v>
      </c>
      <c r="R1787" s="26">
        <v>4</v>
      </c>
      <c r="S1787" s="27" t="s">
        <v>328</v>
      </c>
      <c r="T1787" s="27"/>
      <c r="U1787" s="29">
        <v>1350</v>
      </c>
      <c r="V1787" s="27" t="s">
        <v>54</v>
      </c>
      <c r="W1787" s="27" t="s">
        <v>91</v>
      </c>
      <c r="X1787" s="26">
        <v>10</v>
      </c>
      <c r="Y1787" s="45" t="str">
        <f>HYPERLINK("https://api-enni.alpina.ru/FilePrivilegesApproval/129","https://api-enni.alpina.ru/FilePrivilegesApproval/129")</f>
        <v>https://api-enni.alpina.ru/FilePrivilegesApproval/129</v>
      </c>
      <c r="Z1787" s="27"/>
      <c r="AS1787" s="1">
        <f>IF($A1787&lt;&gt;0,1,0)</f>
        <v>0</v>
      </c>
      <c r="AT1787" s="1">
        <f>$A1787*$B1787</f>
        <v>0</v>
      </c>
      <c r="AU1787" s="1">
        <f>$A1787*$O1787</f>
        <v>0</v>
      </c>
      <c r="AV1787" s="1">
        <f>IF($R1787=0,0,INT($A1787/$R1787))</f>
        <v>0</v>
      </c>
      <c r="AW1787" s="1">
        <f>$A1787-$AV1787*$R1787</f>
        <v>0</v>
      </c>
    </row>
    <row r="1788" ht="24.95" customHeight="1" outlineLevel="3" s="1" customFormat="1">
      <c r="A1788" s="25"/>
      <c r="B1788" s="29">
        <v>1390</v>
      </c>
      <c r="C1788" s="29">
        <v>1876</v>
      </c>
      <c r="D1788" s="26">
        <v>4706</v>
      </c>
      <c r="E1788" s="27"/>
      <c r="F1788" s="27" t="s">
        <v>5926</v>
      </c>
      <c r="G1788" s="27" t="s">
        <v>5927</v>
      </c>
      <c r="H1788" s="27" t="s">
        <v>86</v>
      </c>
      <c r="I1788" s="27"/>
      <c r="J1788" s="26">
        <v>2025</v>
      </c>
      <c r="K1788" s="27" t="s">
        <v>5928</v>
      </c>
      <c r="L1788" s="26">
        <v>9785961469073</v>
      </c>
      <c r="M1788" s="27" t="s">
        <v>5929</v>
      </c>
      <c r="N1788" s="26">
        <v>452</v>
      </c>
      <c r="O1788" s="28">
        <v>0.85</v>
      </c>
      <c r="P1788" s="26">
        <v>170</v>
      </c>
      <c r="Q1788" s="26">
        <v>241</v>
      </c>
      <c r="R1788" s="26">
        <v>5</v>
      </c>
      <c r="S1788" s="27" t="s">
        <v>123</v>
      </c>
      <c r="T1788" s="27"/>
      <c r="U1788" s="29">
        <v>1000</v>
      </c>
      <c r="V1788" s="27" t="s">
        <v>77</v>
      </c>
      <c r="W1788" s="27" t="s">
        <v>184</v>
      </c>
      <c r="X1788" s="26">
        <v>10</v>
      </c>
      <c r="Y1788" s="45" t="str">
        <f>HYPERLINK("https://api-enni.alpina.ru/FilePrivilegesApproval/152","https://api-enni.alpina.ru/FilePrivilegesApproval/152")</f>
        <v>https://api-enni.alpina.ru/FilePrivilegesApproval/152</v>
      </c>
      <c r="Z1788" s="27"/>
      <c r="AS1788" s="1">
        <f>IF($A1788&lt;&gt;0,1,0)</f>
        <v>0</v>
      </c>
      <c r="AT1788" s="1">
        <f>$A1788*$B1788</f>
        <v>0</v>
      </c>
      <c r="AU1788" s="1">
        <f>$A1788*$O1788</f>
        <v>0</v>
      </c>
      <c r="AV1788" s="1">
        <f>IF($R1788=0,0,INT($A1788/$R1788))</f>
        <v>0</v>
      </c>
      <c r="AW1788" s="1">
        <f>$A1788-$AV1788*$R1788</f>
        <v>0</v>
      </c>
    </row>
    <row r="1789" ht="24.95" customHeight="1" outlineLevel="3" s="1" customFormat="1">
      <c r="A1789" s="15"/>
      <c r="B1789" s="17">
        <v>3190</v>
      </c>
      <c r="C1789" s="17">
        <v>4147</v>
      </c>
      <c r="D1789" s="16">
        <v>1039</v>
      </c>
      <c r="E1789" s="18"/>
      <c r="F1789" s="18" t="s">
        <v>5930</v>
      </c>
      <c r="G1789" s="18" t="s">
        <v>5931</v>
      </c>
      <c r="H1789" s="18" t="s">
        <v>86</v>
      </c>
      <c r="I1789" s="18" t="s">
        <v>74</v>
      </c>
      <c r="J1789" s="16">
        <v>2025</v>
      </c>
      <c r="K1789" s="18" t="s">
        <v>5932</v>
      </c>
      <c r="L1789" s="16">
        <v>9785961466508</v>
      </c>
      <c r="M1789" s="18" t="s">
        <v>5933</v>
      </c>
      <c r="N1789" s="17">
        <v>1320</v>
      </c>
      <c r="O1789" s="19">
        <v>1.77</v>
      </c>
      <c r="P1789" s="16">
        <v>170</v>
      </c>
      <c r="Q1789" s="16">
        <v>240</v>
      </c>
      <c r="R1789" s="16">
        <v>2</v>
      </c>
      <c r="S1789" s="18" t="s">
        <v>123</v>
      </c>
      <c r="T1789" s="18"/>
      <c r="U1789" s="17">
        <v>2000</v>
      </c>
      <c r="V1789" s="18" t="s">
        <v>77</v>
      </c>
      <c r="W1789" s="18" t="s">
        <v>184</v>
      </c>
      <c r="X1789" s="16">
        <v>10</v>
      </c>
      <c r="Y1789" s="43" t="str">
        <f>HYPERLINK("https://api-enni.alpina.ru/FilePrivilegesApproval/2","https://api-enni.alpina.ru/FilePrivilegesApproval/2")</f>
        <v>https://api-enni.alpina.ru/FilePrivilegesApproval/2</v>
      </c>
      <c r="Z1789" s="18"/>
      <c r="AS1789" s="1">
        <f>IF($A1789&lt;&gt;0,1,0)</f>
        <v>0</v>
      </c>
      <c r="AT1789" s="1">
        <f>$A1789*$B1789</f>
        <v>0</v>
      </c>
      <c r="AU1789" s="1">
        <f>$A1789*$O1789</f>
        <v>0</v>
      </c>
      <c r="AV1789" s="1">
        <f>IF($R1789=0,0,INT($A1789/$R1789))</f>
        <v>0</v>
      </c>
      <c r="AW1789" s="1">
        <f>$A1789-$AV1789*$R1789</f>
        <v>0</v>
      </c>
    </row>
    <row r="1790" ht="24.95" customHeight="1" outlineLevel="3" s="1" customFormat="1">
      <c r="A1790" s="15"/>
      <c r="B1790" s="16">
        <v>890</v>
      </c>
      <c r="C1790" s="17">
        <v>1246</v>
      </c>
      <c r="D1790" s="16">
        <v>28201</v>
      </c>
      <c r="E1790" s="18"/>
      <c r="F1790" s="18" t="s">
        <v>5934</v>
      </c>
      <c r="G1790" s="18" t="s">
        <v>5935</v>
      </c>
      <c r="H1790" s="18" t="s">
        <v>86</v>
      </c>
      <c r="I1790" s="18"/>
      <c r="J1790" s="16">
        <v>2025</v>
      </c>
      <c r="K1790" s="18" t="s">
        <v>5936</v>
      </c>
      <c r="L1790" s="16">
        <v>9785961487664</v>
      </c>
      <c r="M1790" s="18" t="s">
        <v>5937</v>
      </c>
      <c r="N1790" s="16">
        <v>488</v>
      </c>
      <c r="O1790" s="19">
        <v>0.67</v>
      </c>
      <c r="P1790" s="16">
        <v>150</v>
      </c>
      <c r="Q1790" s="16">
        <v>220</v>
      </c>
      <c r="R1790" s="16">
        <v>8</v>
      </c>
      <c r="S1790" s="18" t="s">
        <v>43</v>
      </c>
      <c r="T1790" s="18"/>
      <c r="U1790" s="17">
        <v>2000</v>
      </c>
      <c r="V1790" s="18" t="s">
        <v>77</v>
      </c>
      <c r="W1790" s="18" t="s">
        <v>69</v>
      </c>
      <c r="X1790" s="16">
        <v>10</v>
      </c>
      <c r="Y1790" s="43" t="str">
        <f>HYPERLINK("https://api-enni.alpina.ru/FilePrivilegesApproval/238","https://api-enni.alpina.ru/FilePrivilegesApproval/238")</f>
        <v>https://api-enni.alpina.ru/FilePrivilegesApproval/238</v>
      </c>
      <c r="Z1790" s="18"/>
      <c r="AS1790" s="1">
        <f>IF($A1790&lt;&gt;0,1,0)</f>
        <v>0</v>
      </c>
      <c r="AT1790" s="1">
        <f>$A1790*$B1790</f>
        <v>0</v>
      </c>
      <c r="AU1790" s="1">
        <f>$A1790*$O1790</f>
        <v>0</v>
      </c>
      <c r="AV1790" s="1">
        <f>IF($R1790=0,0,INT($A1790/$R1790))</f>
        <v>0</v>
      </c>
      <c r="AW1790" s="1">
        <f>$A1790-$AV1790*$R1790</f>
        <v>0</v>
      </c>
    </row>
    <row r="1791" ht="24.95" customHeight="1" outlineLevel="3" s="1" customFormat="1">
      <c r="A1791" s="15"/>
      <c r="B1791" s="16">
        <v>990</v>
      </c>
      <c r="C1791" s="17">
        <v>1386</v>
      </c>
      <c r="D1791" s="16">
        <v>25708</v>
      </c>
      <c r="E1791" s="18"/>
      <c r="F1791" s="18" t="s">
        <v>5938</v>
      </c>
      <c r="G1791" s="18" t="s">
        <v>5939</v>
      </c>
      <c r="H1791" s="18" t="s">
        <v>95</v>
      </c>
      <c r="I1791" s="18" t="s">
        <v>74</v>
      </c>
      <c r="J1791" s="16">
        <v>2024</v>
      </c>
      <c r="K1791" s="18" t="s">
        <v>5940</v>
      </c>
      <c r="L1791" s="16">
        <v>9785206000092</v>
      </c>
      <c r="M1791" s="18" t="s">
        <v>5941</v>
      </c>
      <c r="N1791" s="16">
        <v>464</v>
      </c>
      <c r="O1791" s="19">
        <v>0.65</v>
      </c>
      <c r="P1791" s="16">
        <v>150</v>
      </c>
      <c r="Q1791" s="16">
        <v>220</v>
      </c>
      <c r="R1791" s="16">
        <v>5</v>
      </c>
      <c r="S1791" s="18" t="s">
        <v>43</v>
      </c>
      <c r="T1791" s="18"/>
      <c r="U1791" s="17">
        <v>1000</v>
      </c>
      <c r="V1791" s="18" t="s">
        <v>77</v>
      </c>
      <c r="W1791" s="18" t="s">
        <v>184</v>
      </c>
      <c r="X1791" s="16">
        <v>10</v>
      </c>
      <c r="Y1791" s="43" t="str">
        <f>HYPERLINK("https://api-enni.alpina.ru/FilePrivilegesApproval/168","https://api-enni.alpina.ru/FilePrivilegesApproval/168")</f>
        <v>https://api-enni.alpina.ru/FilePrivilegesApproval/168</v>
      </c>
      <c r="Z1791" s="18"/>
      <c r="AS1791" s="1">
        <f>IF($A1791&lt;&gt;0,1,0)</f>
        <v>0</v>
      </c>
      <c r="AT1791" s="1">
        <f>$A1791*$B1791</f>
        <v>0</v>
      </c>
      <c r="AU1791" s="1">
        <f>$A1791*$O1791</f>
        <v>0</v>
      </c>
      <c r="AV1791" s="1">
        <f>IF($R1791=0,0,INT($A1791/$R1791))</f>
        <v>0</v>
      </c>
      <c r="AW1791" s="1">
        <f>$A1791-$AV1791*$R1791</f>
        <v>0</v>
      </c>
    </row>
    <row r="1792" ht="24.95" customHeight="1" outlineLevel="3" s="1" customFormat="1">
      <c r="A1792" s="15"/>
      <c r="B1792" s="16">
        <v>890</v>
      </c>
      <c r="C1792" s="17">
        <v>1246</v>
      </c>
      <c r="D1792" s="16">
        <v>8718</v>
      </c>
      <c r="E1792" s="18"/>
      <c r="F1792" s="18" t="s">
        <v>5942</v>
      </c>
      <c r="G1792" s="18" t="s">
        <v>5943</v>
      </c>
      <c r="H1792" s="18" t="s">
        <v>86</v>
      </c>
      <c r="I1792" s="18"/>
      <c r="J1792" s="16">
        <v>2025</v>
      </c>
      <c r="K1792" s="18" t="s">
        <v>5944</v>
      </c>
      <c r="L1792" s="16">
        <v>9785961470741</v>
      </c>
      <c r="M1792" s="18" t="s">
        <v>5945</v>
      </c>
      <c r="N1792" s="16">
        <v>247</v>
      </c>
      <c r="O1792" s="19">
        <v>0.53</v>
      </c>
      <c r="P1792" s="16">
        <v>168</v>
      </c>
      <c r="Q1792" s="16">
        <v>241</v>
      </c>
      <c r="R1792" s="16">
        <v>10</v>
      </c>
      <c r="S1792" s="18" t="s">
        <v>123</v>
      </c>
      <c r="T1792" s="18"/>
      <c r="U1792" s="17">
        <v>2000</v>
      </c>
      <c r="V1792" s="18" t="s">
        <v>77</v>
      </c>
      <c r="W1792" s="18" t="s">
        <v>184</v>
      </c>
      <c r="X1792" s="16">
        <v>10</v>
      </c>
      <c r="Y1792" s="43" t="str">
        <f>HYPERLINK("https://api-enni.alpina.ru/FilePrivilegesApproval/2","https://api-enni.alpina.ru/FilePrivilegesApproval/2")</f>
        <v>https://api-enni.alpina.ru/FilePrivilegesApproval/2</v>
      </c>
      <c r="Z1792" s="18"/>
      <c r="AS1792" s="1">
        <f>IF($A1792&lt;&gt;0,1,0)</f>
        <v>0</v>
      </c>
      <c r="AT1792" s="1">
        <f>$A1792*$B1792</f>
        <v>0</v>
      </c>
      <c r="AU1792" s="1">
        <f>$A1792*$O1792</f>
        <v>0</v>
      </c>
      <c r="AV1792" s="1">
        <f>IF($R1792=0,0,INT($A1792/$R1792))</f>
        <v>0</v>
      </c>
      <c r="AW1792" s="1">
        <f>$A1792-$AV1792*$R1792</f>
        <v>0</v>
      </c>
    </row>
    <row r="1793" ht="24.95" customHeight="1" outlineLevel="3" s="1" customFormat="1">
      <c r="A1793" s="25"/>
      <c r="B1793" s="26">
        <v>790</v>
      </c>
      <c r="C1793" s="29">
        <v>1146</v>
      </c>
      <c r="D1793" s="26">
        <v>24084</v>
      </c>
      <c r="E1793" s="27"/>
      <c r="F1793" s="27" t="s">
        <v>5946</v>
      </c>
      <c r="G1793" s="27" t="s">
        <v>5947</v>
      </c>
      <c r="H1793" s="27" t="s">
        <v>95</v>
      </c>
      <c r="I1793" s="27" t="s">
        <v>74</v>
      </c>
      <c r="J1793" s="26">
        <v>2022</v>
      </c>
      <c r="K1793" s="27" t="s">
        <v>5948</v>
      </c>
      <c r="L1793" s="26">
        <v>9785907470705</v>
      </c>
      <c r="M1793" s="27" t="s">
        <v>5949</v>
      </c>
      <c r="N1793" s="26">
        <v>456</v>
      </c>
      <c r="O1793" s="28">
        <v>0.66</v>
      </c>
      <c r="P1793" s="26">
        <v>160</v>
      </c>
      <c r="Q1793" s="26">
        <v>220</v>
      </c>
      <c r="R1793" s="26">
        <v>5</v>
      </c>
      <c r="S1793" s="27" t="s">
        <v>43</v>
      </c>
      <c r="T1793" s="27"/>
      <c r="U1793" s="29">
        <v>1000</v>
      </c>
      <c r="V1793" s="27" t="s">
        <v>77</v>
      </c>
      <c r="W1793" s="27" t="s">
        <v>45</v>
      </c>
      <c r="X1793" s="26">
        <v>10</v>
      </c>
      <c r="Y1793" s="45" t="str">
        <f>HYPERLINK("https://api-enni.alpina.ru/FilePrivilegesApproval/142","https://api-enni.alpina.ru/FilePrivilegesApproval/142")</f>
        <v>https://api-enni.alpina.ru/FilePrivilegesApproval/142</v>
      </c>
      <c r="Z1793" s="27"/>
      <c r="AS1793" s="1">
        <f>IF($A1793&lt;&gt;0,1,0)</f>
        <v>0</v>
      </c>
      <c r="AT1793" s="1">
        <f>$A1793*$B1793</f>
        <v>0</v>
      </c>
      <c r="AU1793" s="1">
        <f>$A1793*$O1793</f>
        <v>0</v>
      </c>
      <c r="AV1793" s="1">
        <f>IF($R1793=0,0,INT($A1793/$R1793))</f>
        <v>0</v>
      </c>
      <c r="AW1793" s="1">
        <f>$A1793-$AV1793*$R1793</f>
        <v>0</v>
      </c>
    </row>
    <row r="1794" ht="24.95" customHeight="1" outlineLevel="3" s="1" customFormat="1">
      <c r="A1794" s="15"/>
      <c r="B1794" s="17">
        <v>1290</v>
      </c>
      <c r="C1794" s="17">
        <v>1742</v>
      </c>
      <c r="D1794" s="16">
        <v>30201</v>
      </c>
      <c r="E1794" s="18"/>
      <c r="F1794" s="18" t="s">
        <v>5950</v>
      </c>
      <c r="G1794" s="18" t="s">
        <v>5951</v>
      </c>
      <c r="H1794" s="18" t="s">
        <v>95</v>
      </c>
      <c r="I1794" s="18"/>
      <c r="J1794" s="16">
        <v>2024</v>
      </c>
      <c r="K1794" s="18" t="s">
        <v>5952</v>
      </c>
      <c r="L1794" s="16">
        <v>9785206003123</v>
      </c>
      <c r="M1794" s="18" t="s">
        <v>5953</v>
      </c>
      <c r="N1794" s="16">
        <v>198</v>
      </c>
      <c r="O1794" s="19">
        <v>0.45</v>
      </c>
      <c r="P1794" s="16">
        <v>170</v>
      </c>
      <c r="Q1794" s="16">
        <v>240</v>
      </c>
      <c r="R1794" s="16">
        <v>10</v>
      </c>
      <c r="S1794" s="18" t="s">
        <v>123</v>
      </c>
      <c r="T1794" s="18"/>
      <c r="U1794" s="17">
        <v>1005</v>
      </c>
      <c r="V1794" s="18" t="s">
        <v>77</v>
      </c>
      <c r="W1794" s="18" t="s">
        <v>69</v>
      </c>
      <c r="X1794" s="16">
        <v>10</v>
      </c>
      <c r="Y1794" s="43" t="str">
        <f>HYPERLINK("https://api-enni.alpina.ru/FilePrivilegesApproval/409","https://api-enni.alpina.ru/FilePrivilegesApproval/409")</f>
        <v>https://api-enni.alpina.ru/FilePrivilegesApproval/409</v>
      </c>
      <c r="Z1794" s="18"/>
      <c r="AS1794" s="1">
        <f>IF($A1794&lt;&gt;0,1,0)</f>
        <v>0</v>
      </c>
      <c r="AT1794" s="1">
        <f>$A1794*$B1794</f>
        <v>0</v>
      </c>
      <c r="AU1794" s="1">
        <f>$A1794*$O1794</f>
        <v>0</v>
      </c>
      <c r="AV1794" s="1">
        <f>IF($R1794=0,0,INT($A1794/$R1794))</f>
        <v>0</v>
      </c>
      <c r="AW1794" s="1">
        <f>$A1794-$AV1794*$R1794</f>
        <v>0</v>
      </c>
    </row>
    <row r="1795" ht="24.95" customHeight="1" outlineLevel="3" s="1" customFormat="1">
      <c r="A1795" s="15"/>
      <c r="B1795" s="16">
        <v>790</v>
      </c>
      <c r="C1795" s="17">
        <v>1146</v>
      </c>
      <c r="D1795" s="16">
        <v>23874</v>
      </c>
      <c r="E1795" s="18"/>
      <c r="F1795" s="18" t="s">
        <v>5954</v>
      </c>
      <c r="G1795" s="18" t="s">
        <v>5955</v>
      </c>
      <c r="H1795" s="18" t="s">
        <v>86</v>
      </c>
      <c r="I1795" s="18"/>
      <c r="J1795" s="16">
        <v>2026</v>
      </c>
      <c r="K1795" s="18" t="s">
        <v>5956</v>
      </c>
      <c r="L1795" s="16">
        <v>9785961474534</v>
      </c>
      <c r="M1795" s="18" t="s">
        <v>5957</v>
      </c>
      <c r="N1795" s="16">
        <v>212</v>
      </c>
      <c r="O1795" s="19">
        <v>0.36</v>
      </c>
      <c r="P1795" s="16">
        <v>150</v>
      </c>
      <c r="Q1795" s="16">
        <v>220</v>
      </c>
      <c r="R1795" s="16">
        <v>10</v>
      </c>
      <c r="S1795" s="18" t="s">
        <v>43</v>
      </c>
      <c r="T1795" s="18"/>
      <c r="U1795" s="17">
        <v>1000</v>
      </c>
      <c r="V1795" s="18" t="s">
        <v>77</v>
      </c>
      <c r="W1795" s="18" t="s">
        <v>91</v>
      </c>
      <c r="X1795" s="16">
        <v>10</v>
      </c>
      <c r="Y1795" s="43" t="str">
        <f>HYPERLINK("https://api-enni.alpina.ru/FilePrivilegesApproval/122","https://api-enni.alpina.ru/FilePrivilegesApproval/122")</f>
        <v>https://api-enni.alpina.ru/FilePrivilegesApproval/122</v>
      </c>
      <c r="Z1795" s="18" t="s">
        <v>843</v>
      </c>
      <c r="AS1795" s="1">
        <f>IF($A1795&lt;&gt;0,1,0)</f>
        <v>0</v>
      </c>
      <c r="AT1795" s="1">
        <f>$A1795*$B1795</f>
        <v>0</v>
      </c>
      <c r="AU1795" s="1">
        <f>$A1795*$O1795</f>
        <v>0</v>
      </c>
      <c r="AV1795" s="1">
        <f>IF($R1795=0,0,INT($A1795/$R1795))</f>
        <v>0</v>
      </c>
      <c r="AW1795" s="1">
        <f>$A1795-$AV1795*$R1795</f>
        <v>0</v>
      </c>
    </row>
    <row r="1796" ht="24.95" customHeight="1" outlineLevel="3" s="1" customFormat="1">
      <c r="A1796" s="15"/>
      <c r="B1796" s="17">
        <v>1390</v>
      </c>
      <c r="C1796" s="17">
        <v>1876</v>
      </c>
      <c r="D1796" s="16">
        <v>11566</v>
      </c>
      <c r="E1796" s="18"/>
      <c r="F1796" s="18" t="s">
        <v>5958</v>
      </c>
      <c r="G1796" s="18" t="s">
        <v>5959</v>
      </c>
      <c r="H1796" s="18" t="s">
        <v>95</v>
      </c>
      <c r="I1796" s="18" t="s">
        <v>74</v>
      </c>
      <c r="J1796" s="16">
        <v>2025</v>
      </c>
      <c r="K1796" s="18" t="s">
        <v>5960</v>
      </c>
      <c r="L1796" s="16">
        <v>9785206000085</v>
      </c>
      <c r="M1796" s="18" t="s">
        <v>5961</v>
      </c>
      <c r="N1796" s="16">
        <v>332</v>
      </c>
      <c r="O1796" s="19">
        <v>0.68</v>
      </c>
      <c r="P1796" s="16">
        <v>170</v>
      </c>
      <c r="Q1796" s="16">
        <v>240</v>
      </c>
      <c r="R1796" s="16">
        <v>5</v>
      </c>
      <c r="S1796" s="18" t="s">
        <v>123</v>
      </c>
      <c r="T1796" s="18"/>
      <c r="U1796" s="17">
        <v>3000</v>
      </c>
      <c r="V1796" s="18" t="s">
        <v>44</v>
      </c>
      <c r="W1796" s="18" t="s">
        <v>91</v>
      </c>
      <c r="X1796" s="16">
        <v>10</v>
      </c>
      <c r="Y1796" s="43" t="str">
        <f>HYPERLINK("https://api-enni.alpina.ru/FilePrivilegesApproval/168","https://api-enni.alpina.ru/FilePrivilegesApproval/168")</f>
        <v>https://api-enni.alpina.ru/FilePrivilegesApproval/168</v>
      </c>
      <c r="Z1796" s="18"/>
      <c r="AS1796" s="1">
        <f>IF($A1796&lt;&gt;0,1,0)</f>
        <v>0</v>
      </c>
      <c r="AT1796" s="1">
        <f>$A1796*$B1796</f>
        <v>0</v>
      </c>
      <c r="AU1796" s="1">
        <f>$A1796*$O1796</f>
        <v>0</v>
      </c>
      <c r="AV1796" s="1">
        <f>IF($R1796=0,0,INT($A1796/$R1796))</f>
        <v>0</v>
      </c>
      <c r="AW1796" s="1">
        <f>$A1796-$AV1796*$R1796</f>
        <v>0</v>
      </c>
    </row>
    <row r="1797" ht="21.95" customHeight="1" outlineLevel="3" s="1" customFormat="1">
      <c r="A1797" s="15"/>
      <c r="B1797" s="17">
        <v>1690</v>
      </c>
      <c r="C1797" s="17">
        <v>2197</v>
      </c>
      <c r="D1797" s="16">
        <v>18501</v>
      </c>
      <c r="E1797" s="18"/>
      <c r="F1797" s="18" t="s">
        <v>5958</v>
      </c>
      <c r="G1797" s="18" t="s">
        <v>5962</v>
      </c>
      <c r="H1797" s="18" t="s">
        <v>86</v>
      </c>
      <c r="I1797" s="18"/>
      <c r="J1797" s="16">
        <v>2026</v>
      </c>
      <c r="K1797" s="18" t="s">
        <v>5963</v>
      </c>
      <c r="L1797" s="16">
        <v>9785961435870</v>
      </c>
      <c r="M1797" s="18" t="s">
        <v>5964</v>
      </c>
      <c r="N1797" s="16">
        <v>471</v>
      </c>
      <c r="O1797" s="19">
        <v>0.75</v>
      </c>
      <c r="P1797" s="16">
        <v>167</v>
      </c>
      <c r="Q1797" s="16">
        <v>240</v>
      </c>
      <c r="R1797" s="16">
        <v>10</v>
      </c>
      <c r="S1797" s="18" t="s">
        <v>123</v>
      </c>
      <c r="T1797" s="18"/>
      <c r="U1797" s="17">
        <v>1000</v>
      </c>
      <c r="V1797" s="18" t="s">
        <v>77</v>
      </c>
      <c r="W1797" s="18" t="s">
        <v>184</v>
      </c>
      <c r="X1797" s="16">
        <v>10</v>
      </c>
      <c r="Y1797" s="43" t="str">
        <f>HYPERLINK("","")</f>
      </c>
      <c r="Z1797" s="18" t="s">
        <v>246</v>
      </c>
      <c r="AS1797" s="1">
        <f>IF($A1797&lt;&gt;0,1,0)</f>
        <v>0</v>
      </c>
      <c r="AT1797" s="1">
        <f>$A1797*$B1797</f>
        <v>0</v>
      </c>
      <c r="AU1797" s="1">
        <f>$A1797*$O1797</f>
        <v>0</v>
      </c>
      <c r="AV1797" s="1">
        <f>IF($R1797=0,0,INT($A1797/$R1797))</f>
        <v>0</v>
      </c>
      <c r="AW1797" s="1">
        <f>$A1797-$AV1797*$R1797</f>
        <v>0</v>
      </c>
    </row>
    <row r="1798" ht="24.95" customHeight="1" outlineLevel="3" s="1" customFormat="1">
      <c r="A1798" s="15"/>
      <c r="B1798" s="16">
        <v>890</v>
      </c>
      <c r="C1798" s="17">
        <v>1246</v>
      </c>
      <c r="D1798" s="16">
        <v>31416</v>
      </c>
      <c r="E1798" s="18"/>
      <c r="F1798" s="18" t="s">
        <v>5965</v>
      </c>
      <c r="G1798" s="18" t="s">
        <v>5966</v>
      </c>
      <c r="H1798" s="18" t="s">
        <v>86</v>
      </c>
      <c r="I1798" s="18"/>
      <c r="J1798" s="16">
        <v>2025</v>
      </c>
      <c r="K1798" s="18" t="s">
        <v>5967</v>
      </c>
      <c r="L1798" s="16">
        <v>9785961498608</v>
      </c>
      <c r="M1798" s="18" t="s">
        <v>5968</v>
      </c>
      <c r="N1798" s="16">
        <v>302</v>
      </c>
      <c r="O1798" s="19">
        <v>0.47</v>
      </c>
      <c r="P1798" s="16">
        <v>150</v>
      </c>
      <c r="Q1798" s="16">
        <v>220</v>
      </c>
      <c r="R1798" s="16">
        <v>14</v>
      </c>
      <c r="S1798" s="18" t="s">
        <v>43</v>
      </c>
      <c r="T1798" s="18"/>
      <c r="U1798" s="17">
        <v>1500</v>
      </c>
      <c r="V1798" s="18" t="s">
        <v>77</v>
      </c>
      <c r="W1798" s="18" t="s">
        <v>184</v>
      </c>
      <c r="X1798" s="16">
        <v>10</v>
      </c>
      <c r="Y1798" s="43" t="str">
        <f>HYPERLINK("https://api-enni.alpina.ru/FilePrivilegesApproval/571","https://api-enni.alpina.ru/FilePrivilegesApproval/571")</f>
        <v>https://api-enni.alpina.ru/FilePrivilegesApproval/571</v>
      </c>
      <c r="Z1798" s="18"/>
      <c r="AS1798" s="1">
        <f>IF($A1798&lt;&gt;0,1,0)</f>
        <v>0</v>
      </c>
      <c r="AT1798" s="1">
        <f>$A1798*$B1798</f>
        <v>0</v>
      </c>
      <c r="AU1798" s="1">
        <f>$A1798*$O1798</f>
        <v>0</v>
      </c>
      <c r="AV1798" s="1">
        <f>IF($R1798=0,0,INT($A1798/$R1798))</f>
        <v>0</v>
      </c>
      <c r="AW1798" s="1">
        <f>$A1798-$AV1798*$R1798</f>
        <v>0</v>
      </c>
    </row>
    <row r="1799" ht="24.95" customHeight="1" outlineLevel="3" s="1" customFormat="1">
      <c r="A1799" s="15"/>
      <c r="B1799" s="17">
        <v>1190</v>
      </c>
      <c r="C1799" s="17">
        <v>1606</v>
      </c>
      <c r="D1799" s="16">
        <v>3448</v>
      </c>
      <c r="E1799" s="18"/>
      <c r="F1799" s="18" t="s">
        <v>5958</v>
      </c>
      <c r="G1799" s="18" t="s">
        <v>5969</v>
      </c>
      <c r="H1799" s="18" t="s">
        <v>86</v>
      </c>
      <c r="I1799" s="18" t="s">
        <v>74</v>
      </c>
      <c r="J1799" s="16">
        <v>2026</v>
      </c>
      <c r="K1799" s="18" t="s">
        <v>5970</v>
      </c>
      <c r="L1799" s="16">
        <v>9785961469233</v>
      </c>
      <c r="M1799" s="18" t="s">
        <v>5971</v>
      </c>
      <c r="N1799" s="16">
        <v>352</v>
      </c>
      <c r="O1799" s="19">
        <v>0.65</v>
      </c>
      <c r="P1799" s="16">
        <v>169</v>
      </c>
      <c r="Q1799" s="16">
        <v>239</v>
      </c>
      <c r="R1799" s="16">
        <v>10</v>
      </c>
      <c r="S1799" s="18" t="s">
        <v>123</v>
      </c>
      <c r="T1799" s="18"/>
      <c r="U1799" s="17">
        <v>1000</v>
      </c>
      <c r="V1799" s="18" t="s">
        <v>77</v>
      </c>
      <c r="W1799" s="18" t="s">
        <v>184</v>
      </c>
      <c r="X1799" s="16">
        <v>10</v>
      </c>
      <c r="Y1799" s="43" t="str">
        <f>HYPERLINK("https://api-enni.alpina.ru/FilePrivilegesApproval/2","https://api-enni.alpina.ru/FilePrivilegesApproval/2")</f>
        <v>https://api-enni.alpina.ru/FilePrivilegesApproval/2</v>
      </c>
      <c r="Z1799" s="18" t="s">
        <v>3230</v>
      </c>
      <c r="AS1799" s="1">
        <f>IF($A1799&lt;&gt;0,1,0)</f>
        <v>0</v>
      </c>
      <c r="AT1799" s="1">
        <f>$A1799*$B1799</f>
        <v>0</v>
      </c>
      <c r="AU1799" s="1">
        <f>$A1799*$O1799</f>
        <v>0</v>
      </c>
      <c r="AV1799" s="1">
        <f>IF($R1799=0,0,INT($A1799/$R1799))</f>
        <v>0</v>
      </c>
      <c r="AW1799" s="1">
        <f>$A1799-$AV1799*$R1799</f>
        <v>0</v>
      </c>
    </row>
    <row r="1800" ht="24.95" customHeight="1" outlineLevel="3" s="1" customFormat="1">
      <c r="A1800" s="15"/>
      <c r="B1800" s="16">
        <v>890</v>
      </c>
      <c r="C1800" s="17">
        <v>1246</v>
      </c>
      <c r="D1800" s="16">
        <v>12437</v>
      </c>
      <c r="E1800" s="18"/>
      <c r="F1800" s="18" t="s">
        <v>5972</v>
      </c>
      <c r="G1800" s="18" t="s">
        <v>5973</v>
      </c>
      <c r="H1800" s="18" t="s">
        <v>86</v>
      </c>
      <c r="I1800" s="18"/>
      <c r="J1800" s="16">
        <v>2022</v>
      </c>
      <c r="K1800" s="18" t="s">
        <v>5974</v>
      </c>
      <c r="L1800" s="16">
        <v>9785961435863</v>
      </c>
      <c r="M1800" s="18" t="s">
        <v>5975</v>
      </c>
      <c r="N1800" s="16">
        <v>274</v>
      </c>
      <c r="O1800" s="19">
        <v>0.5</v>
      </c>
      <c r="P1800" s="16">
        <v>168</v>
      </c>
      <c r="Q1800" s="16">
        <v>241</v>
      </c>
      <c r="R1800" s="16">
        <v>8</v>
      </c>
      <c r="S1800" s="18" t="s">
        <v>123</v>
      </c>
      <c r="T1800" s="18"/>
      <c r="U1800" s="17">
        <v>1500</v>
      </c>
      <c r="V1800" s="18" t="s">
        <v>77</v>
      </c>
      <c r="W1800" s="18" t="s">
        <v>45</v>
      </c>
      <c r="X1800" s="16">
        <v>10</v>
      </c>
      <c r="Y1800" s="43" t="str">
        <f>HYPERLINK("https://api-enni.alpina.ru/FilePrivilegesApproval/125","https://api-enni.alpina.ru/FilePrivilegesApproval/125")</f>
        <v>https://api-enni.alpina.ru/FilePrivilegesApproval/125</v>
      </c>
      <c r="Z1800" s="18"/>
      <c r="AS1800" s="1">
        <f>IF($A1800&lt;&gt;0,1,0)</f>
        <v>0</v>
      </c>
      <c r="AT1800" s="1">
        <f>$A1800*$B1800</f>
        <v>0</v>
      </c>
      <c r="AU1800" s="1">
        <f>$A1800*$O1800</f>
        <v>0</v>
      </c>
      <c r="AV1800" s="1">
        <f>IF($R1800=0,0,INT($A1800/$R1800))</f>
        <v>0</v>
      </c>
      <c r="AW1800" s="1">
        <f>$A1800-$AV1800*$R1800</f>
        <v>0</v>
      </c>
    </row>
    <row r="1801" ht="24.95" customHeight="1" outlineLevel="3" s="1" customFormat="1">
      <c r="A1801" s="15"/>
      <c r="B1801" s="17">
        <v>1090</v>
      </c>
      <c r="C1801" s="17">
        <v>1472</v>
      </c>
      <c r="D1801" s="16">
        <v>2802</v>
      </c>
      <c r="E1801" s="18"/>
      <c r="F1801" s="18" t="s">
        <v>5976</v>
      </c>
      <c r="G1801" s="18" t="s">
        <v>5977</v>
      </c>
      <c r="H1801" s="18" t="s">
        <v>95</v>
      </c>
      <c r="I1801" s="18" t="s">
        <v>74</v>
      </c>
      <c r="J1801" s="16">
        <v>2024</v>
      </c>
      <c r="K1801" s="18" t="s">
        <v>5978</v>
      </c>
      <c r="L1801" s="16">
        <v>9785907394964</v>
      </c>
      <c r="M1801" s="18" t="s">
        <v>5979</v>
      </c>
      <c r="N1801" s="16">
        <v>398</v>
      </c>
      <c r="O1801" s="19">
        <v>0.74</v>
      </c>
      <c r="P1801" s="16">
        <v>171</v>
      </c>
      <c r="Q1801" s="16">
        <v>241</v>
      </c>
      <c r="R1801" s="16">
        <v>5</v>
      </c>
      <c r="S1801" s="18" t="s">
        <v>123</v>
      </c>
      <c r="T1801" s="18"/>
      <c r="U1801" s="17">
        <v>2000</v>
      </c>
      <c r="V1801" s="18" t="s">
        <v>77</v>
      </c>
      <c r="W1801" s="18" t="s">
        <v>184</v>
      </c>
      <c r="X1801" s="16">
        <v>10</v>
      </c>
      <c r="Y1801" s="43" t="str">
        <f>HYPERLINK("https://api-enni.alpina.ru/FilePrivilegesApproval/2","https://api-enni.alpina.ru/FilePrivilegesApproval/2")</f>
        <v>https://api-enni.alpina.ru/FilePrivilegesApproval/2</v>
      </c>
      <c r="Z1801" s="18"/>
      <c r="AS1801" s="1">
        <f>IF($A1801&lt;&gt;0,1,0)</f>
        <v>0</v>
      </c>
      <c r="AT1801" s="1">
        <f>$A1801*$B1801</f>
        <v>0</v>
      </c>
      <c r="AU1801" s="1">
        <f>$A1801*$O1801</f>
        <v>0</v>
      </c>
      <c r="AV1801" s="1">
        <f>IF($R1801=0,0,INT($A1801/$R1801))</f>
        <v>0</v>
      </c>
      <c r="AW1801" s="1">
        <f>$A1801-$AV1801*$R1801</f>
        <v>0</v>
      </c>
    </row>
    <row r="1802" ht="24.95" customHeight="1" outlineLevel="3" s="1" customFormat="1">
      <c r="A1802" s="15"/>
      <c r="B1802" s="16">
        <v>890</v>
      </c>
      <c r="C1802" s="17">
        <v>1246</v>
      </c>
      <c r="D1802" s="16">
        <v>31671</v>
      </c>
      <c r="E1802" s="18"/>
      <c r="F1802" s="18" t="s">
        <v>5934</v>
      </c>
      <c r="G1802" s="18" t="s">
        <v>5980</v>
      </c>
      <c r="H1802" s="18" t="s">
        <v>86</v>
      </c>
      <c r="I1802" s="18"/>
      <c r="J1802" s="16">
        <v>2025</v>
      </c>
      <c r="K1802" s="18" t="s">
        <v>5981</v>
      </c>
      <c r="L1802" s="16">
        <v>9785961499841</v>
      </c>
      <c r="M1802" s="18" t="s">
        <v>5982</v>
      </c>
      <c r="N1802" s="16">
        <v>236</v>
      </c>
      <c r="O1802" s="19">
        <v>0.47</v>
      </c>
      <c r="P1802" s="16">
        <v>150</v>
      </c>
      <c r="Q1802" s="16">
        <v>220</v>
      </c>
      <c r="R1802" s="16">
        <v>10</v>
      </c>
      <c r="S1802" s="18" t="s">
        <v>43</v>
      </c>
      <c r="T1802" s="18"/>
      <c r="U1802" s="17">
        <v>3000</v>
      </c>
      <c r="V1802" s="18" t="s">
        <v>77</v>
      </c>
      <c r="W1802" s="18" t="s">
        <v>69</v>
      </c>
      <c r="X1802" s="16">
        <v>10</v>
      </c>
      <c r="Y1802" s="43" t="str">
        <f>HYPERLINK("https://api-enni.alpina.ru/FilePrivilegesApproval/945","https://api-enni.alpina.ru/FilePrivilegesApproval/945")</f>
        <v>https://api-enni.alpina.ru/FilePrivilegesApproval/945</v>
      </c>
      <c r="Z1802" s="18"/>
      <c r="AS1802" s="1">
        <f>IF($A1802&lt;&gt;0,1,0)</f>
        <v>0</v>
      </c>
      <c r="AT1802" s="1">
        <f>$A1802*$B1802</f>
        <v>0</v>
      </c>
      <c r="AU1802" s="1">
        <f>$A1802*$O1802</f>
        <v>0</v>
      </c>
      <c r="AV1802" s="1">
        <f>IF($R1802=0,0,INT($A1802/$R1802))</f>
        <v>0</v>
      </c>
      <c r="AW1802" s="1">
        <f>$A1802-$AV1802*$R1802</f>
        <v>0</v>
      </c>
    </row>
    <row r="1803" ht="24.95" customHeight="1" outlineLevel="3" s="1" customFormat="1">
      <c r="A1803" s="15"/>
      <c r="B1803" s="17">
        <v>1690</v>
      </c>
      <c r="C1803" s="17">
        <v>2197</v>
      </c>
      <c r="D1803" s="16">
        <v>11409</v>
      </c>
      <c r="E1803" s="18"/>
      <c r="F1803" s="18" t="s">
        <v>701</v>
      </c>
      <c r="G1803" s="18" t="s">
        <v>702</v>
      </c>
      <c r="H1803" s="18" t="s">
        <v>86</v>
      </c>
      <c r="I1803" s="18"/>
      <c r="J1803" s="16">
        <v>2025</v>
      </c>
      <c r="K1803" s="18" t="s">
        <v>703</v>
      </c>
      <c r="L1803" s="16">
        <v>9785961423747</v>
      </c>
      <c r="M1803" s="18" t="s">
        <v>704</v>
      </c>
      <c r="N1803" s="16">
        <v>342</v>
      </c>
      <c r="O1803" s="19">
        <v>0.65</v>
      </c>
      <c r="P1803" s="16">
        <v>170</v>
      </c>
      <c r="Q1803" s="16">
        <v>240</v>
      </c>
      <c r="R1803" s="16">
        <v>6</v>
      </c>
      <c r="S1803" s="18" t="s">
        <v>123</v>
      </c>
      <c r="T1803" s="18"/>
      <c r="U1803" s="17">
        <v>5000</v>
      </c>
      <c r="V1803" s="18" t="s">
        <v>77</v>
      </c>
      <c r="W1803" s="18" t="s">
        <v>55</v>
      </c>
      <c r="X1803" s="16">
        <v>10</v>
      </c>
      <c r="Y1803" s="43" t="str">
        <f>HYPERLINK("https://api-enni.alpina.ru/FilePrivilegesApproval/122","https://api-enni.alpina.ru/FilePrivilegesApproval/122")</f>
        <v>https://api-enni.alpina.ru/FilePrivilegesApproval/122</v>
      </c>
      <c r="Z1803" s="18"/>
      <c r="AS1803" s="1">
        <f>IF($A1803&lt;&gt;0,1,0)</f>
        <v>0</v>
      </c>
      <c r="AT1803" s="1">
        <f>$A1803*$B1803</f>
        <v>0</v>
      </c>
      <c r="AU1803" s="1">
        <f>$A1803*$O1803</f>
        <v>0</v>
      </c>
      <c r="AV1803" s="1">
        <f>IF($R1803=0,0,INT($A1803/$R1803))</f>
        <v>0</v>
      </c>
      <c r="AW1803" s="1">
        <f>$A1803-$AV1803*$R1803</f>
        <v>0</v>
      </c>
    </row>
    <row r="1804" ht="24.95" customHeight="1" outlineLevel="3" s="1" customFormat="1">
      <c r="A1804" s="15"/>
      <c r="B1804" s="17">
        <v>1190</v>
      </c>
      <c r="C1804" s="17">
        <v>1607</v>
      </c>
      <c r="D1804" s="16">
        <v>6507</v>
      </c>
      <c r="E1804" s="18"/>
      <c r="F1804" s="18" t="s">
        <v>5983</v>
      </c>
      <c r="G1804" s="18" t="s">
        <v>5984</v>
      </c>
      <c r="H1804" s="18" t="s">
        <v>86</v>
      </c>
      <c r="I1804" s="18"/>
      <c r="J1804" s="16">
        <v>2025</v>
      </c>
      <c r="K1804" s="18" t="s">
        <v>5985</v>
      </c>
      <c r="L1804" s="16">
        <v>9785961468878</v>
      </c>
      <c r="M1804" s="18" t="s">
        <v>5986</v>
      </c>
      <c r="N1804" s="16">
        <v>460</v>
      </c>
      <c r="O1804" s="19">
        <v>0.83</v>
      </c>
      <c r="P1804" s="16">
        <v>168</v>
      </c>
      <c r="Q1804" s="16">
        <v>241</v>
      </c>
      <c r="R1804" s="16">
        <v>5</v>
      </c>
      <c r="S1804" s="18" t="s">
        <v>123</v>
      </c>
      <c r="T1804" s="18"/>
      <c r="U1804" s="17">
        <v>3000</v>
      </c>
      <c r="V1804" s="18" t="s">
        <v>77</v>
      </c>
      <c r="W1804" s="18" t="s">
        <v>184</v>
      </c>
      <c r="X1804" s="16">
        <v>10</v>
      </c>
      <c r="Y1804" s="43" t="str">
        <f>HYPERLINK("https://api-enni.alpina.ru/FilePrivilegesApproval/2","https://api-enni.alpina.ru/FilePrivilegesApproval/2")</f>
        <v>https://api-enni.alpina.ru/FilePrivilegesApproval/2</v>
      </c>
      <c r="Z1804" s="18"/>
      <c r="AS1804" s="1">
        <f>IF($A1804&lt;&gt;0,1,0)</f>
        <v>0</v>
      </c>
      <c r="AT1804" s="1">
        <f>$A1804*$B1804</f>
        <v>0</v>
      </c>
      <c r="AU1804" s="1">
        <f>$A1804*$O1804</f>
        <v>0</v>
      </c>
      <c r="AV1804" s="1">
        <f>IF($R1804=0,0,INT($A1804/$R1804))</f>
        <v>0</v>
      </c>
      <c r="AW1804" s="1">
        <f>$A1804-$AV1804*$R1804</f>
        <v>0</v>
      </c>
    </row>
    <row r="1805" ht="24.95" customHeight="1" outlineLevel="3" s="1" customFormat="1">
      <c r="A1805" s="15"/>
      <c r="B1805" s="16">
        <v>690</v>
      </c>
      <c r="C1805" s="17">
        <v>1035</v>
      </c>
      <c r="D1805" s="16">
        <v>7944</v>
      </c>
      <c r="E1805" s="18"/>
      <c r="F1805" s="18" t="s">
        <v>5987</v>
      </c>
      <c r="G1805" s="18" t="s">
        <v>5988</v>
      </c>
      <c r="H1805" s="18" t="s">
        <v>95</v>
      </c>
      <c r="I1805" s="18" t="s">
        <v>74</v>
      </c>
      <c r="J1805" s="16">
        <v>2024</v>
      </c>
      <c r="K1805" s="18" t="s">
        <v>5989</v>
      </c>
      <c r="L1805" s="16">
        <v>9785907274112</v>
      </c>
      <c r="M1805" s="18" t="s">
        <v>5990</v>
      </c>
      <c r="N1805" s="16">
        <v>228</v>
      </c>
      <c r="O1805" s="19">
        <v>0.4</v>
      </c>
      <c r="P1805" s="16">
        <v>146</v>
      </c>
      <c r="Q1805" s="16">
        <v>216</v>
      </c>
      <c r="R1805" s="16">
        <v>10</v>
      </c>
      <c r="S1805" s="18" t="s">
        <v>43</v>
      </c>
      <c r="T1805" s="18"/>
      <c r="U1805" s="17">
        <v>1000</v>
      </c>
      <c r="V1805" s="18" t="s">
        <v>77</v>
      </c>
      <c r="W1805" s="18" t="s">
        <v>184</v>
      </c>
      <c r="X1805" s="16">
        <v>10</v>
      </c>
      <c r="Y1805" s="43" t="str">
        <f>HYPERLINK("https://api-enni.alpina.ru/FilePrivilegesApproval/2","https://api-enni.alpina.ru/FilePrivilegesApproval/2")</f>
        <v>https://api-enni.alpina.ru/FilePrivilegesApproval/2</v>
      </c>
      <c r="Z1805" s="18" t="s">
        <v>78</v>
      </c>
      <c r="AS1805" s="1">
        <f>IF($A1805&lt;&gt;0,1,0)</f>
        <v>0</v>
      </c>
      <c r="AT1805" s="1">
        <f>$A1805*$B1805</f>
        <v>0</v>
      </c>
      <c r="AU1805" s="1">
        <f>$A1805*$O1805</f>
        <v>0</v>
      </c>
      <c r="AV1805" s="1">
        <f>IF($R1805=0,0,INT($A1805/$R1805))</f>
        <v>0</v>
      </c>
      <c r="AW1805" s="1">
        <f>$A1805-$AV1805*$R1805</f>
        <v>0</v>
      </c>
    </row>
    <row r="1806" ht="24.95" customHeight="1" outlineLevel="3" s="1" customFormat="1">
      <c r="A1806" s="25"/>
      <c r="B1806" s="29">
        <v>1590</v>
      </c>
      <c r="C1806" s="29">
        <v>2067</v>
      </c>
      <c r="D1806" s="26">
        <v>6116</v>
      </c>
      <c r="E1806" s="27"/>
      <c r="F1806" s="27" t="s">
        <v>5991</v>
      </c>
      <c r="G1806" s="27" t="s">
        <v>5992</v>
      </c>
      <c r="H1806" s="27" t="s">
        <v>95</v>
      </c>
      <c r="I1806" s="27" t="s">
        <v>74</v>
      </c>
      <c r="J1806" s="26">
        <v>2023</v>
      </c>
      <c r="K1806" s="27" t="s">
        <v>5993</v>
      </c>
      <c r="L1806" s="26">
        <v>9785961470529</v>
      </c>
      <c r="M1806" s="27" t="s">
        <v>5994</v>
      </c>
      <c r="N1806" s="26">
        <v>400</v>
      </c>
      <c r="O1806" s="28">
        <v>0.74</v>
      </c>
      <c r="P1806" s="26">
        <v>171</v>
      </c>
      <c r="Q1806" s="26">
        <v>241</v>
      </c>
      <c r="R1806" s="26">
        <v>4</v>
      </c>
      <c r="S1806" s="27" t="s">
        <v>123</v>
      </c>
      <c r="T1806" s="27"/>
      <c r="U1806" s="29">
        <v>1000</v>
      </c>
      <c r="V1806" s="27" t="s">
        <v>77</v>
      </c>
      <c r="W1806" s="27" t="s">
        <v>184</v>
      </c>
      <c r="X1806" s="26">
        <v>10</v>
      </c>
      <c r="Y1806" s="45" t="str">
        <f>HYPERLINK("https://api-enni.alpina.ru/FilePrivilegesApproval/2","https://api-enni.alpina.ru/FilePrivilegesApproval/2")</f>
        <v>https://api-enni.alpina.ru/FilePrivilegesApproval/2</v>
      </c>
      <c r="Z1806" s="27"/>
      <c r="AS1806" s="1">
        <f>IF($A1806&lt;&gt;0,1,0)</f>
        <v>0</v>
      </c>
      <c r="AT1806" s="1">
        <f>$A1806*$B1806</f>
        <v>0</v>
      </c>
      <c r="AU1806" s="1">
        <f>$A1806*$O1806</f>
        <v>0</v>
      </c>
      <c r="AV1806" s="1">
        <f>IF($R1806=0,0,INT($A1806/$R1806))</f>
        <v>0</v>
      </c>
      <c r="AW1806" s="1">
        <f>$A1806-$AV1806*$R1806</f>
        <v>0</v>
      </c>
    </row>
    <row r="1807" ht="24.95" customHeight="1" outlineLevel="3" s="1" customFormat="1">
      <c r="A1807" s="25"/>
      <c r="B1807" s="29">
        <v>1590</v>
      </c>
      <c r="C1807" s="29">
        <v>2067</v>
      </c>
      <c r="D1807" s="26">
        <v>6313</v>
      </c>
      <c r="E1807" s="27"/>
      <c r="F1807" s="27" t="s">
        <v>5886</v>
      </c>
      <c r="G1807" s="27" t="s">
        <v>5995</v>
      </c>
      <c r="H1807" s="27" t="s">
        <v>86</v>
      </c>
      <c r="I1807" s="27" t="s">
        <v>74</v>
      </c>
      <c r="J1807" s="26">
        <v>2026</v>
      </c>
      <c r="K1807" s="27" t="s">
        <v>5996</v>
      </c>
      <c r="L1807" s="26">
        <v>9785961458190</v>
      </c>
      <c r="M1807" s="27" t="s">
        <v>5997</v>
      </c>
      <c r="N1807" s="26">
        <v>300</v>
      </c>
      <c r="O1807" s="28">
        <v>0.59</v>
      </c>
      <c r="P1807" s="26">
        <v>171</v>
      </c>
      <c r="Q1807" s="26">
        <v>241</v>
      </c>
      <c r="R1807" s="26">
        <v>10</v>
      </c>
      <c r="S1807" s="27" t="s">
        <v>123</v>
      </c>
      <c r="T1807" s="27"/>
      <c r="U1807" s="29">
        <v>1000</v>
      </c>
      <c r="V1807" s="27" t="s">
        <v>77</v>
      </c>
      <c r="W1807" s="27" t="s">
        <v>184</v>
      </c>
      <c r="X1807" s="26">
        <v>10</v>
      </c>
      <c r="Y1807" s="45" t="str">
        <f>HYPERLINK("https://api-enni.alpina.ru/FilePrivilegesApproval/2","https://api-enni.alpina.ru/FilePrivilegesApproval/2")</f>
        <v>https://api-enni.alpina.ru/FilePrivilegesApproval/2</v>
      </c>
      <c r="Z1807" s="27" t="s">
        <v>843</v>
      </c>
      <c r="AS1807" s="1">
        <f>IF($A1807&lt;&gt;0,1,0)</f>
        <v>0</v>
      </c>
      <c r="AT1807" s="1">
        <f>$A1807*$B1807</f>
        <v>0</v>
      </c>
      <c r="AU1807" s="1">
        <f>$A1807*$O1807</f>
        <v>0</v>
      </c>
      <c r="AV1807" s="1">
        <f>IF($R1807=0,0,INT($A1807/$R1807))</f>
        <v>0</v>
      </c>
      <c r="AW1807" s="1">
        <f>$A1807-$AV1807*$R1807</f>
        <v>0</v>
      </c>
    </row>
    <row r="1808" ht="24.95" customHeight="1" outlineLevel="3" s="1" customFormat="1">
      <c r="A1808" s="25"/>
      <c r="B1808" s="26">
        <v>980</v>
      </c>
      <c r="C1808" s="29">
        <v>1372</v>
      </c>
      <c r="D1808" s="26">
        <v>2826</v>
      </c>
      <c r="E1808" s="27"/>
      <c r="F1808" s="27" t="s">
        <v>5998</v>
      </c>
      <c r="G1808" s="27" t="s">
        <v>5999</v>
      </c>
      <c r="H1808" s="27" t="s">
        <v>95</v>
      </c>
      <c r="I1808" s="27" t="s">
        <v>74</v>
      </c>
      <c r="J1808" s="26">
        <v>2024</v>
      </c>
      <c r="K1808" s="27" t="s">
        <v>6000</v>
      </c>
      <c r="L1808" s="26">
        <v>9785907394513</v>
      </c>
      <c r="M1808" s="27" t="s">
        <v>6001</v>
      </c>
      <c r="N1808" s="26">
        <v>328</v>
      </c>
      <c r="O1808" s="28">
        <v>0.62</v>
      </c>
      <c r="P1808" s="26">
        <v>170</v>
      </c>
      <c r="Q1808" s="26">
        <v>240</v>
      </c>
      <c r="R1808" s="26">
        <v>5</v>
      </c>
      <c r="S1808" s="27" t="s">
        <v>123</v>
      </c>
      <c r="T1808" s="27"/>
      <c r="U1808" s="29">
        <v>1000</v>
      </c>
      <c r="V1808" s="27" t="s">
        <v>77</v>
      </c>
      <c r="W1808" s="27" t="s">
        <v>184</v>
      </c>
      <c r="X1808" s="26">
        <v>10</v>
      </c>
      <c r="Y1808" s="45" t="str">
        <f>HYPERLINK("https://api-enni.alpina.ru/FilePrivilegesApproval/2","https://api-enni.alpina.ru/FilePrivilegesApproval/2")</f>
        <v>https://api-enni.alpina.ru/FilePrivilegesApproval/2</v>
      </c>
      <c r="Z1808" s="27"/>
      <c r="AS1808" s="1">
        <f>IF($A1808&lt;&gt;0,1,0)</f>
        <v>0</v>
      </c>
      <c r="AT1808" s="1">
        <f>$A1808*$B1808</f>
        <v>0</v>
      </c>
      <c r="AU1808" s="1">
        <f>$A1808*$O1808</f>
        <v>0</v>
      </c>
      <c r="AV1808" s="1">
        <f>IF($R1808=0,0,INT($A1808/$R1808))</f>
        <v>0</v>
      </c>
      <c r="AW1808" s="1">
        <f>$A1808-$AV1808*$R1808</f>
        <v>0</v>
      </c>
    </row>
    <row r="1809" ht="24.95" customHeight="1" outlineLevel="3" s="1" customFormat="1">
      <c r="A1809" s="15"/>
      <c r="B1809" s="17">
        <v>1220</v>
      </c>
      <c r="C1809" s="17">
        <v>1647</v>
      </c>
      <c r="D1809" s="16">
        <v>8155</v>
      </c>
      <c r="E1809" s="18"/>
      <c r="F1809" s="18" t="s">
        <v>6002</v>
      </c>
      <c r="G1809" s="18" t="s">
        <v>6003</v>
      </c>
      <c r="H1809" s="18" t="s">
        <v>95</v>
      </c>
      <c r="I1809" s="18" t="s">
        <v>74</v>
      </c>
      <c r="J1809" s="16">
        <v>2022</v>
      </c>
      <c r="K1809" s="18" t="s">
        <v>6004</v>
      </c>
      <c r="L1809" s="16">
        <v>9785907394742</v>
      </c>
      <c r="M1809" s="18" t="s">
        <v>6005</v>
      </c>
      <c r="N1809" s="16">
        <v>544</v>
      </c>
      <c r="O1809" s="19">
        <v>0.98</v>
      </c>
      <c r="P1809" s="16">
        <v>168</v>
      </c>
      <c r="Q1809" s="16">
        <v>241</v>
      </c>
      <c r="R1809" s="16">
        <v>4</v>
      </c>
      <c r="S1809" s="18" t="s">
        <v>123</v>
      </c>
      <c r="T1809" s="18"/>
      <c r="U1809" s="17">
        <v>1500</v>
      </c>
      <c r="V1809" s="18" t="s">
        <v>77</v>
      </c>
      <c r="W1809" s="18" t="s">
        <v>184</v>
      </c>
      <c r="X1809" s="16">
        <v>10</v>
      </c>
      <c r="Y1809" s="43" t="str">
        <f>HYPERLINK("https://api-enni.alpina.ru/FilePrivilegesApproval/2","https://api-enni.alpina.ru/FilePrivilegesApproval/2")</f>
        <v>https://api-enni.alpina.ru/FilePrivilegesApproval/2</v>
      </c>
      <c r="Z1809" s="18"/>
      <c r="AS1809" s="1">
        <f>IF($A1809&lt;&gt;0,1,0)</f>
        <v>0</v>
      </c>
      <c r="AT1809" s="1">
        <f>$A1809*$B1809</f>
        <v>0</v>
      </c>
      <c r="AU1809" s="1">
        <f>$A1809*$O1809</f>
        <v>0</v>
      </c>
      <c r="AV1809" s="1">
        <f>IF($R1809=0,0,INT($A1809/$R1809))</f>
        <v>0</v>
      </c>
      <c r="AW1809" s="1">
        <f>$A1809-$AV1809*$R1809</f>
        <v>0</v>
      </c>
    </row>
    <row r="1810" ht="24.95" customHeight="1" outlineLevel="3" s="1" customFormat="1">
      <c r="A1810" s="15"/>
      <c r="B1810" s="17">
        <v>1040</v>
      </c>
      <c r="C1810" s="17">
        <v>1404</v>
      </c>
      <c r="D1810" s="16">
        <v>5928</v>
      </c>
      <c r="E1810" s="18"/>
      <c r="F1810" s="18" t="s">
        <v>6006</v>
      </c>
      <c r="G1810" s="18" t="s">
        <v>6007</v>
      </c>
      <c r="H1810" s="18" t="s">
        <v>95</v>
      </c>
      <c r="I1810" s="18" t="s">
        <v>74</v>
      </c>
      <c r="J1810" s="16">
        <v>2023</v>
      </c>
      <c r="K1810" s="18" t="s">
        <v>6008</v>
      </c>
      <c r="L1810" s="16">
        <v>9785961416558</v>
      </c>
      <c r="M1810" s="18" t="s">
        <v>6009</v>
      </c>
      <c r="N1810" s="16">
        <v>338</v>
      </c>
      <c r="O1810" s="19">
        <v>0.65</v>
      </c>
      <c r="P1810" s="16">
        <v>171</v>
      </c>
      <c r="Q1810" s="16">
        <v>241</v>
      </c>
      <c r="R1810" s="16">
        <v>10</v>
      </c>
      <c r="S1810" s="18" t="s">
        <v>123</v>
      </c>
      <c r="T1810" s="18"/>
      <c r="U1810" s="17">
        <v>1000</v>
      </c>
      <c r="V1810" s="18" t="s">
        <v>77</v>
      </c>
      <c r="W1810" s="18" t="s">
        <v>184</v>
      </c>
      <c r="X1810" s="16">
        <v>10</v>
      </c>
      <c r="Y1810" s="43" t="str">
        <f>HYPERLINK("https://api-enni.alpina.ru/FilePrivilegesApproval/142","https://api-enni.alpina.ru/FilePrivilegesApproval/142")</f>
        <v>https://api-enni.alpina.ru/FilePrivilegesApproval/142</v>
      </c>
      <c r="Z1810" s="18"/>
      <c r="AS1810" s="1">
        <f>IF($A1810&lt;&gt;0,1,0)</f>
        <v>0</v>
      </c>
      <c r="AT1810" s="1">
        <f>$A1810*$B1810</f>
        <v>0</v>
      </c>
      <c r="AU1810" s="1">
        <f>$A1810*$O1810</f>
        <v>0</v>
      </c>
      <c r="AV1810" s="1">
        <f>IF($R1810=0,0,INT($A1810/$R1810))</f>
        <v>0</v>
      </c>
      <c r="AW1810" s="1">
        <f>$A1810-$AV1810*$R1810</f>
        <v>0</v>
      </c>
    </row>
    <row r="1811" ht="24.95" customHeight="1" outlineLevel="3" s="1" customFormat="1">
      <c r="A1811" s="15"/>
      <c r="B1811" s="16">
        <v>640</v>
      </c>
      <c r="C1811" s="16">
        <v>960</v>
      </c>
      <c r="D1811" s="16">
        <v>35987</v>
      </c>
      <c r="E1811" s="18"/>
      <c r="F1811" s="18" t="s">
        <v>6010</v>
      </c>
      <c r="G1811" s="18" t="s">
        <v>6011</v>
      </c>
      <c r="H1811" s="18" t="s">
        <v>95</v>
      </c>
      <c r="I1811" s="18"/>
      <c r="J1811" s="16">
        <v>2026</v>
      </c>
      <c r="K1811" s="18" t="s">
        <v>6012</v>
      </c>
      <c r="L1811" s="16">
        <v>9785206006223</v>
      </c>
      <c r="M1811" s="18" t="s">
        <v>6013</v>
      </c>
      <c r="N1811" s="16">
        <v>96</v>
      </c>
      <c r="O1811" s="19">
        <v>0.19</v>
      </c>
      <c r="P1811" s="16">
        <v>130</v>
      </c>
      <c r="Q1811" s="16">
        <v>210</v>
      </c>
      <c r="R1811" s="16">
        <v>16</v>
      </c>
      <c r="S1811" s="18" t="s">
        <v>90</v>
      </c>
      <c r="T1811" s="18"/>
      <c r="U1811" s="17">
        <v>3005</v>
      </c>
      <c r="V1811" s="18" t="s">
        <v>77</v>
      </c>
      <c r="W1811" s="18" t="s">
        <v>91</v>
      </c>
      <c r="X1811" s="16">
        <v>10</v>
      </c>
      <c r="Y1811" s="43" t="str">
        <f>HYPERLINK("https://api-enni.alpina.ru/FilePrivilegesApproval/1146","https://api-enni.alpina.ru/FilePrivilegesApproval/1146")</f>
        <v>https://api-enni.alpina.ru/FilePrivilegesApproval/1146</v>
      </c>
      <c r="Z1811" s="18"/>
      <c r="AS1811" s="1">
        <f>IF($A1811&lt;&gt;0,1,0)</f>
        <v>0</v>
      </c>
      <c r="AT1811" s="1">
        <f>$A1811*$B1811</f>
        <v>0</v>
      </c>
      <c r="AU1811" s="1">
        <f>$A1811*$O1811</f>
        <v>0</v>
      </c>
      <c r="AV1811" s="1">
        <f>IF($R1811=0,0,INT($A1811/$R1811))</f>
        <v>0</v>
      </c>
      <c r="AW1811" s="1">
        <f>$A1811-$AV1811*$R1811</f>
        <v>0</v>
      </c>
    </row>
    <row r="1812" ht="24.95" customHeight="1" outlineLevel="3" s="1" customFormat="1">
      <c r="A1812" s="15"/>
      <c r="B1812" s="16">
        <v>790</v>
      </c>
      <c r="C1812" s="17">
        <v>1146</v>
      </c>
      <c r="D1812" s="16">
        <v>31670</v>
      </c>
      <c r="E1812" s="18"/>
      <c r="F1812" s="18" t="s">
        <v>6014</v>
      </c>
      <c r="G1812" s="18" t="s">
        <v>6015</v>
      </c>
      <c r="H1812" s="18" t="s">
        <v>86</v>
      </c>
      <c r="I1812" s="18" t="s">
        <v>74</v>
      </c>
      <c r="J1812" s="16">
        <v>2025</v>
      </c>
      <c r="K1812" s="18" t="s">
        <v>6016</v>
      </c>
      <c r="L1812" s="16">
        <v>9785961499834</v>
      </c>
      <c r="M1812" s="18" t="s">
        <v>6017</v>
      </c>
      <c r="N1812" s="16">
        <v>236</v>
      </c>
      <c r="O1812" s="19">
        <v>0.39</v>
      </c>
      <c r="P1812" s="16">
        <v>150</v>
      </c>
      <c r="Q1812" s="16">
        <v>220</v>
      </c>
      <c r="R1812" s="16">
        <v>16</v>
      </c>
      <c r="S1812" s="18" t="s">
        <v>43</v>
      </c>
      <c r="T1812" s="18"/>
      <c r="U1812" s="17">
        <v>1500</v>
      </c>
      <c r="V1812" s="18" t="s">
        <v>77</v>
      </c>
      <c r="W1812" s="18" t="s">
        <v>69</v>
      </c>
      <c r="X1812" s="16">
        <v>10</v>
      </c>
      <c r="Y1812" s="43" t="str">
        <f>HYPERLINK("https://api-enni.alpina.ru/FilePrivilegesApproval/831","https://api-enni.alpina.ru/FilePrivilegesApproval/831")</f>
        <v>https://api-enni.alpina.ru/FilePrivilegesApproval/831</v>
      </c>
      <c r="Z1812" s="18"/>
      <c r="AS1812" s="1">
        <f>IF($A1812&lt;&gt;0,1,0)</f>
        <v>0</v>
      </c>
      <c r="AT1812" s="1">
        <f>$A1812*$B1812</f>
        <v>0</v>
      </c>
      <c r="AU1812" s="1">
        <f>$A1812*$O1812</f>
        <v>0</v>
      </c>
      <c r="AV1812" s="1">
        <f>IF($R1812=0,0,INT($A1812/$R1812))</f>
        <v>0</v>
      </c>
      <c r="AW1812" s="1">
        <f>$A1812-$AV1812*$R1812</f>
        <v>0</v>
      </c>
    </row>
    <row r="1813" ht="24.95" customHeight="1" outlineLevel="3" s="1" customFormat="1">
      <c r="A1813" s="15"/>
      <c r="B1813" s="16">
        <v>990</v>
      </c>
      <c r="C1813" s="17">
        <v>1386</v>
      </c>
      <c r="D1813" s="16">
        <v>5182</v>
      </c>
      <c r="E1813" s="18"/>
      <c r="F1813" s="18" t="s">
        <v>6018</v>
      </c>
      <c r="G1813" s="18" t="s">
        <v>6019</v>
      </c>
      <c r="H1813" s="18" t="s">
        <v>86</v>
      </c>
      <c r="I1813" s="18" t="s">
        <v>74</v>
      </c>
      <c r="J1813" s="16">
        <v>2025</v>
      </c>
      <c r="K1813" s="18" t="s">
        <v>6020</v>
      </c>
      <c r="L1813" s="16">
        <v>9785961471410</v>
      </c>
      <c r="M1813" s="18" t="s">
        <v>6021</v>
      </c>
      <c r="N1813" s="16">
        <v>376</v>
      </c>
      <c r="O1813" s="19">
        <v>0.69</v>
      </c>
      <c r="P1813" s="16">
        <v>170</v>
      </c>
      <c r="Q1813" s="16">
        <v>240</v>
      </c>
      <c r="R1813" s="16">
        <v>6</v>
      </c>
      <c r="S1813" s="18" t="s">
        <v>123</v>
      </c>
      <c r="T1813" s="18"/>
      <c r="U1813" s="17">
        <v>3000</v>
      </c>
      <c r="V1813" s="18" t="s">
        <v>77</v>
      </c>
      <c r="W1813" s="18" t="s">
        <v>184</v>
      </c>
      <c r="X1813" s="16">
        <v>10</v>
      </c>
      <c r="Y1813" s="43" t="str">
        <f>HYPERLINK("https://api-enni.alpina.ru/FilePrivilegesApproval/2","https://api-enni.alpina.ru/FilePrivilegesApproval/2")</f>
        <v>https://api-enni.alpina.ru/FilePrivilegesApproval/2</v>
      </c>
      <c r="Z1813" s="18"/>
      <c r="AS1813" s="1">
        <f>IF($A1813&lt;&gt;0,1,0)</f>
        <v>0</v>
      </c>
      <c r="AT1813" s="1">
        <f>$A1813*$B1813</f>
        <v>0</v>
      </c>
      <c r="AU1813" s="1">
        <f>$A1813*$O1813</f>
        <v>0</v>
      </c>
      <c r="AV1813" s="1">
        <f>IF($R1813=0,0,INT($A1813/$R1813))</f>
        <v>0</v>
      </c>
      <c r="AW1813" s="1">
        <f>$A1813-$AV1813*$R1813</f>
        <v>0</v>
      </c>
    </row>
    <row r="1814" ht="24.95" customHeight="1" outlineLevel="3" s="1" customFormat="1">
      <c r="A1814" s="25"/>
      <c r="B1814" s="26">
        <v>890</v>
      </c>
      <c r="C1814" s="29">
        <v>1246</v>
      </c>
      <c r="D1814" s="26">
        <v>23718</v>
      </c>
      <c r="E1814" s="27"/>
      <c r="F1814" s="27" t="s">
        <v>6022</v>
      </c>
      <c r="G1814" s="27" t="s">
        <v>6023</v>
      </c>
      <c r="H1814" s="27" t="s">
        <v>95</v>
      </c>
      <c r="I1814" s="27" t="s">
        <v>74</v>
      </c>
      <c r="J1814" s="26">
        <v>2026</v>
      </c>
      <c r="K1814" s="27" t="s">
        <v>6024</v>
      </c>
      <c r="L1814" s="26">
        <v>9785907470217</v>
      </c>
      <c r="M1814" s="27" t="s">
        <v>6025</v>
      </c>
      <c r="N1814" s="26">
        <v>192</v>
      </c>
      <c r="O1814" s="28">
        <v>0.33</v>
      </c>
      <c r="P1814" s="26">
        <v>150</v>
      </c>
      <c r="Q1814" s="26">
        <v>220</v>
      </c>
      <c r="R1814" s="26">
        <v>10</v>
      </c>
      <c r="S1814" s="27" t="s">
        <v>43</v>
      </c>
      <c r="T1814" s="27"/>
      <c r="U1814" s="29">
        <v>1000</v>
      </c>
      <c r="V1814" s="27" t="s">
        <v>77</v>
      </c>
      <c r="W1814" s="27" t="s">
        <v>91</v>
      </c>
      <c r="X1814" s="26">
        <v>10</v>
      </c>
      <c r="Y1814" s="45" t="str">
        <f>HYPERLINK("https://api-enni.alpina.ru/FilePrivilegesApproval/154","https://api-enni.alpina.ru/FilePrivilegesApproval/154")</f>
        <v>https://api-enni.alpina.ru/FilePrivilegesApproval/154</v>
      </c>
      <c r="Z1814" s="27" t="s">
        <v>950</v>
      </c>
      <c r="AS1814" s="1">
        <f>IF($A1814&lt;&gt;0,1,0)</f>
        <v>0</v>
      </c>
      <c r="AT1814" s="1">
        <f>$A1814*$B1814</f>
        <v>0</v>
      </c>
      <c r="AU1814" s="1">
        <f>$A1814*$O1814</f>
        <v>0</v>
      </c>
      <c r="AV1814" s="1">
        <f>IF($R1814=0,0,INT($A1814/$R1814))</f>
        <v>0</v>
      </c>
      <c r="AW1814" s="1">
        <f>$A1814-$AV1814*$R1814</f>
        <v>0</v>
      </c>
    </row>
    <row r="1815" ht="24.95" customHeight="1" outlineLevel="3" s="1" customFormat="1">
      <c r="A1815" s="15"/>
      <c r="B1815" s="16">
        <v>790</v>
      </c>
      <c r="C1815" s="17">
        <v>1146</v>
      </c>
      <c r="D1815" s="16">
        <v>20869</v>
      </c>
      <c r="E1815" s="18"/>
      <c r="F1815" s="18" t="s">
        <v>6026</v>
      </c>
      <c r="G1815" s="18" t="s">
        <v>6027</v>
      </c>
      <c r="H1815" s="18" t="s">
        <v>86</v>
      </c>
      <c r="I1815" s="18" t="s">
        <v>74</v>
      </c>
      <c r="J1815" s="16">
        <v>2026</v>
      </c>
      <c r="K1815" s="18" t="s">
        <v>6028</v>
      </c>
      <c r="L1815" s="16">
        <v>9785961441451</v>
      </c>
      <c r="M1815" s="18" t="s">
        <v>6029</v>
      </c>
      <c r="N1815" s="16">
        <v>208</v>
      </c>
      <c r="O1815" s="19">
        <v>0.34</v>
      </c>
      <c r="P1815" s="16">
        <v>150</v>
      </c>
      <c r="Q1815" s="16">
        <v>220</v>
      </c>
      <c r="R1815" s="16">
        <v>10</v>
      </c>
      <c r="S1815" s="18" t="s">
        <v>43</v>
      </c>
      <c r="T1815" s="18"/>
      <c r="U1815" s="17">
        <v>1000</v>
      </c>
      <c r="V1815" s="18" t="s">
        <v>77</v>
      </c>
      <c r="W1815" s="18" t="s">
        <v>91</v>
      </c>
      <c r="X1815" s="16">
        <v>10</v>
      </c>
      <c r="Y1815" s="43" t="str">
        <f>HYPERLINK("https://api-enni.alpina.ru/FilePrivilegesApproval/128","https://api-enni.alpina.ru/FilePrivilegesApproval/128")</f>
        <v>https://api-enni.alpina.ru/FilePrivilegesApproval/128</v>
      </c>
      <c r="Z1815" s="18"/>
      <c r="AS1815" s="1">
        <f>IF($A1815&lt;&gt;0,1,0)</f>
        <v>0</v>
      </c>
      <c r="AT1815" s="1">
        <f>$A1815*$B1815</f>
        <v>0</v>
      </c>
      <c r="AU1815" s="1">
        <f>$A1815*$O1815</f>
        <v>0</v>
      </c>
      <c r="AV1815" s="1">
        <f>IF($R1815=0,0,INT($A1815/$R1815))</f>
        <v>0</v>
      </c>
      <c r="AW1815" s="1">
        <f>$A1815-$AV1815*$R1815</f>
        <v>0</v>
      </c>
    </row>
    <row r="1816" ht="24.95" customHeight="1" outlineLevel="3" s="1" customFormat="1">
      <c r="A1816" s="15"/>
      <c r="B1816" s="16">
        <v>990</v>
      </c>
      <c r="C1816" s="17">
        <v>1386</v>
      </c>
      <c r="D1816" s="16">
        <v>7945</v>
      </c>
      <c r="E1816" s="18"/>
      <c r="F1816" s="18" t="s">
        <v>6030</v>
      </c>
      <c r="G1816" s="18" t="s">
        <v>6031</v>
      </c>
      <c r="H1816" s="18" t="s">
        <v>95</v>
      </c>
      <c r="I1816" s="18" t="s">
        <v>74</v>
      </c>
      <c r="J1816" s="16">
        <v>2024</v>
      </c>
      <c r="K1816" s="18" t="s">
        <v>6032</v>
      </c>
      <c r="L1816" s="16">
        <v>9785907274143</v>
      </c>
      <c r="M1816" s="18" t="s">
        <v>6033</v>
      </c>
      <c r="N1816" s="16">
        <v>364</v>
      </c>
      <c r="O1816" s="19">
        <v>0.7</v>
      </c>
      <c r="P1816" s="16">
        <v>168</v>
      </c>
      <c r="Q1816" s="16">
        <v>241</v>
      </c>
      <c r="R1816" s="16">
        <v>4</v>
      </c>
      <c r="S1816" s="18" t="s">
        <v>123</v>
      </c>
      <c r="T1816" s="18"/>
      <c r="U1816" s="17">
        <v>1500</v>
      </c>
      <c r="V1816" s="18" t="s">
        <v>77</v>
      </c>
      <c r="W1816" s="18" t="s">
        <v>45</v>
      </c>
      <c r="X1816" s="16">
        <v>10</v>
      </c>
      <c r="Y1816" s="43" t="str">
        <f>HYPERLINK("https://api-enni.alpina.ru/FilePrivilegesApproval/154","https://api-enni.alpina.ru/FilePrivilegesApproval/154")</f>
        <v>https://api-enni.alpina.ru/FilePrivilegesApproval/154</v>
      </c>
      <c r="Z1816" s="18"/>
      <c r="AS1816" s="1">
        <f>IF($A1816&lt;&gt;0,1,0)</f>
        <v>0</v>
      </c>
      <c r="AT1816" s="1">
        <f>$A1816*$B1816</f>
        <v>0</v>
      </c>
      <c r="AU1816" s="1">
        <f>$A1816*$O1816</f>
        <v>0</v>
      </c>
      <c r="AV1816" s="1">
        <f>IF($R1816=0,0,INT($A1816/$R1816))</f>
        <v>0</v>
      </c>
      <c r="AW1816" s="1">
        <f>$A1816-$AV1816*$R1816</f>
        <v>0</v>
      </c>
    </row>
    <row r="1817" ht="24.95" customHeight="1" outlineLevel="3" s="1" customFormat="1">
      <c r="A1817" s="15"/>
      <c r="B1817" s="17">
        <v>1190</v>
      </c>
      <c r="C1817" s="17">
        <v>1606</v>
      </c>
      <c r="D1817" s="16">
        <v>35257</v>
      </c>
      <c r="E1817" s="18"/>
      <c r="F1817" s="18" t="s">
        <v>6034</v>
      </c>
      <c r="G1817" s="18" t="s">
        <v>6035</v>
      </c>
      <c r="H1817" s="18" t="s">
        <v>95</v>
      </c>
      <c r="I1817" s="18"/>
      <c r="J1817" s="16">
        <v>2026</v>
      </c>
      <c r="K1817" s="18" t="s">
        <v>6036</v>
      </c>
      <c r="L1817" s="16">
        <v>9785206005738</v>
      </c>
      <c r="M1817" s="18" t="s">
        <v>6037</v>
      </c>
      <c r="N1817" s="16">
        <v>328</v>
      </c>
      <c r="O1817" s="19">
        <v>0.65</v>
      </c>
      <c r="P1817" s="16">
        <v>170</v>
      </c>
      <c r="Q1817" s="16">
        <v>240</v>
      </c>
      <c r="R1817" s="16">
        <v>10</v>
      </c>
      <c r="S1817" s="18" t="s">
        <v>123</v>
      </c>
      <c r="T1817" s="18"/>
      <c r="U1817" s="17">
        <v>1005</v>
      </c>
      <c r="V1817" s="18" t="s">
        <v>77</v>
      </c>
      <c r="W1817" s="18" t="s">
        <v>69</v>
      </c>
      <c r="X1817" s="16">
        <v>10</v>
      </c>
      <c r="Y1817" s="43" t="str">
        <f>HYPERLINK("https://api-enni.alpina.ru/FilePrivilegesApproval/1100","https://api-enni.alpina.ru/FilePrivilegesApproval/1100")</f>
        <v>https://api-enni.alpina.ru/FilePrivilegesApproval/1100</v>
      </c>
      <c r="Z1817" s="18"/>
      <c r="AS1817" s="1">
        <f>IF($A1817&lt;&gt;0,1,0)</f>
        <v>0</v>
      </c>
      <c r="AT1817" s="1">
        <f>$A1817*$B1817</f>
        <v>0</v>
      </c>
      <c r="AU1817" s="1">
        <f>$A1817*$O1817</f>
        <v>0</v>
      </c>
      <c r="AV1817" s="1">
        <f>IF($R1817=0,0,INT($A1817/$R1817))</f>
        <v>0</v>
      </c>
      <c r="AW1817" s="1">
        <f>$A1817-$AV1817*$R1817</f>
        <v>0</v>
      </c>
    </row>
    <row r="1818" ht="24.95" customHeight="1" outlineLevel="3" s="1" customFormat="1">
      <c r="A1818" s="15"/>
      <c r="B1818" s="17">
        <v>1390</v>
      </c>
      <c r="C1818" s="17">
        <v>1876</v>
      </c>
      <c r="D1818" s="16">
        <v>32874</v>
      </c>
      <c r="E1818" s="18"/>
      <c r="F1818" s="18" t="s">
        <v>852</v>
      </c>
      <c r="G1818" s="18" t="s">
        <v>853</v>
      </c>
      <c r="H1818" s="18" t="s">
        <v>86</v>
      </c>
      <c r="I1818" s="18" t="s">
        <v>74</v>
      </c>
      <c r="J1818" s="16">
        <v>2025</v>
      </c>
      <c r="K1818" s="18" t="s">
        <v>854</v>
      </c>
      <c r="L1818" s="16">
        <v>9785006304833</v>
      </c>
      <c r="M1818" s="18" t="s">
        <v>855</v>
      </c>
      <c r="N1818" s="16">
        <v>576</v>
      </c>
      <c r="O1818" s="19">
        <v>0.85</v>
      </c>
      <c r="P1818" s="16">
        <v>170</v>
      </c>
      <c r="Q1818" s="16">
        <v>240</v>
      </c>
      <c r="R1818" s="16">
        <v>5</v>
      </c>
      <c r="S1818" s="18" t="s">
        <v>123</v>
      </c>
      <c r="T1818" s="18"/>
      <c r="U1818" s="17">
        <v>5000</v>
      </c>
      <c r="V1818" s="18" t="s">
        <v>77</v>
      </c>
      <c r="W1818" s="18" t="s">
        <v>184</v>
      </c>
      <c r="X1818" s="16">
        <v>10</v>
      </c>
      <c r="Y1818" s="43" t="str">
        <f>HYPERLINK("https://api-enni.alpina.ru/FilePrivilegesApproval/2","https://api-enni.alpina.ru/FilePrivilegesApproval/2")</f>
        <v>https://api-enni.alpina.ru/FilePrivilegesApproval/2</v>
      </c>
      <c r="Z1818" s="18"/>
      <c r="AS1818" s="1">
        <f>IF($A1818&lt;&gt;0,1,0)</f>
        <v>0</v>
      </c>
      <c r="AT1818" s="1">
        <f>$A1818*$B1818</f>
        <v>0</v>
      </c>
      <c r="AU1818" s="1">
        <f>$A1818*$O1818</f>
        <v>0</v>
      </c>
      <c r="AV1818" s="1">
        <f>IF($R1818=0,0,INT($A1818/$R1818))</f>
        <v>0</v>
      </c>
      <c r="AW1818" s="1">
        <f>$A1818-$AV1818*$R1818</f>
        <v>0</v>
      </c>
    </row>
    <row r="1819" ht="24.95" customHeight="1" outlineLevel="3" s="1" customFormat="1">
      <c r="A1819" s="15"/>
      <c r="B1819" s="17">
        <v>1190</v>
      </c>
      <c r="C1819" s="17">
        <v>1606</v>
      </c>
      <c r="D1819" s="16">
        <v>22662</v>
      </c>
      <c r="E1819" s="18"/>
      <c r="F1819" s="18" t="s">
        <v>6038</v>
      </c>
      <c r="G1819" s="18" t="s">
        <v>6039</v>
      </c>
      <c r="H1819" s="18" t="s">
        <v>86</v>
      </c>
      <c r="I1819" s="18" t="s">
        <v>74</v>
      </c>
      <c r="J1819" s="16">
        <v>2022</v>
      </c>
      <c r="K1819" s="18" t="s">
        <v>6040</v>
      </c>
      <c r="L1819" s="16">
        <v>9785961474060</v>
      </c>
      <c r="M1819" s="18" t="s">
        <v>6041</v>
      </c>
      <c r="N1819" s="16">
        <v>376</v>
      </c>
      <c r="O1819" s="19">
        <v>0.54</v>
      </c>
      <c r="P1819" s="16">
        <v>146</v>
      </c>
      <c r="Q1819" s="16">
        <v>216</v>
      </c>
      <c r="R1819" s="16">
        <v>10</v>
      </c>
      <c r="S1819" s="18" t="s">
        <v>43</v>
      </c>
      <c r="T1819" s="18"/>
      <c r="U1819" s="17">
        <v>3000</v>
      </c>
      <c r="V1819" s="18" t="s">
        <v>77</v>
      </c>
      <c r="W1819" s="18" t="s">
        <v>91</v>
      </c>
      <c r="X1819" s="16">
        <v>10</v>
      </c>
      <c r="Y1819" s="43" t="str">
        <f>HYPERLINK("https://api-enni.alpina.ru/FilePrivilegesApproval/122","https://api-enni.alpina.ru/FilePrivilegesApproval/122")</f>
        <v>https://api-enni.alpina.ru/FilePrivilegesApproval/122</v>
      </c>
      <c r="Z1819" s="18"/>
      <c r="AS1819" s="1">
        <f>IF($A1819&lt;&gt;0,1,0)</f>
        <v>0</v>
      </c>
      <c r="AT1819" s="1">
        <f>$A1819*$B1819</f>
        <v>0</v>
      </c>
      <c r="AU1819" s="1">
        <f>$A1819*$O1819</f>
        <v>0</v>
      </c>
      <c r="AV1819" s="1">
        <f>IF($R1819=0,0,INT($A1819/$R1819))</f>
        <v>0</v>
      </c>
      <c r="AW1819" s="1">
        <f>$A1819-$AV1819*$R1819</f>
        <v>0</v>
      </c>
    </row>
    <row r="1820" ht="24.95" customHeight="1" outlineLevel="3" s="1" customFormat="1">
      <c r="A1820" s="15"/>
      <c r="B1820" s="16">
        <v>740</v>
      </c>
      <c r="C1820" s="17">
        <v>1073</v>
      </c>
      <c r="D1820" s="16">
        <v>18900</v>
      </c>
      <c r="E1820" s="18"/>
      <c r="F1820" s="18" t="s">
        <v>6002</v>
      </c>
      <c r="G1820" s="18" t="s">
        <v>6042</v>
      </c>
      <c r="H1820" s="18" t="s">
        <v>86</v>
      </c>
      <c r="I1820" s="18" t="s">
        <v>74</v>
      </c>
      <c r="J1820" s="16">
        <v>2025</v>
      </c>
      <c r="K1820" s="18" t="s">
        <v>6043</v>
      </c>
      <c r="L1820" s="16">
        <v>9785961471854</v>
      </c>
      <c r="M1820" s="18" t="s">
        <v>6044</v>
      </c>
      <c r="N1820" s="16">
        <v>254</v>
      </c>
      <c r="O1820" s="19">
        <v>0.35</v>
      </c>
      <c r="P1820" s="16">
        <v>150</v>
      </c>
      <c r="Q1820" s="16">
        <v>220</v>
      </c>
      <c r="R1820" s="16">
        <v>16</v>
      </c>
      <c r="S1820" s="18" t="s">
        <v>43</v>
      </c>
      <c r="T1820" s="18"/>
      <c r="U1820" s="17">
        <v>2000</v>
      </c>
      <c r="V1820" s="18" t="s">
        <v>77</v>
      </c>
      <c r="W1820" s="18" t="s">
        <v>184</v>
      </c>
      <c r="X1820" s="16">
        <v>10</v>
      </c>
      <c r="Y1820" s="43" t="str">
        <f>HYPERLINK("https://api-enni.alpina.ru/FilePrivilegesApproval/125","https://api-enni.alpina.ru/FilePrivilegesApproval/125")</f>
        <v>https://api-enni.alpina.ru/FilePrivilegesApproval/125</v>
      </c>
      <c r="Z1820" s="18"/>
      <c r="AS1820" s="1">
        <f>IF($A1820&lt;&gt;0,1,0)</f>
        <v>0</v>
      </c>
      <c r="AT1820" s="1">
        <f>$A1820*$B1820</f>
        <v>0</v>
      </c>
      <c r="AU1820" s="1">
        <f>$A1820*$O1820</f>
        <v>0</v>
      </c>
      <c r="AV1820" s="1">
        <f>IF($R1820=0,0,INT($A1820/$R1820))</f>
        <v>0</v>
      </c>
      <c r="AW1820" s="1">
        <f>$A1820-$AV1820*$R1820</f>
        <v>0</v>
      </c>
    </row>
    <row r="1821" ht="24.95" customHeight="1" outlineLevel="3" s="1" customFormat="1">
      <c r="A1821" s="15"/>
      <c r="B1821" s="16">
        <v>890</v>
      </c>
      <c r="C1821" s="17">
        <v>1246</v>
      </c>
      <c r="D1821" s="16">
        <v>32613</v>
      </c>
      <c r="E1821" s="18"/>
      <c r="F1821" s="18" t="s">
        <v>6045</v>
      </c>
      <c r="G1821" s="18" t="s">
        <v>6046</v>
      </c>
      <c r="H1821" s="18" t="s">
        <v>95</v>
      </c>
      <c r="I1821" s="18"/>
      <c r="J1821" s="16">
        <v>2025</v>
      </c>
      <c r="K1821" s="18" t="s">
        <v>6047</v>
      </c>
      <c r="L1821" s="16">
        <v>9785206004274</v>
      </c>
      <c r="M1821" s="18" t="s">
        <v>6048</v>
      </c>
      <c r="N1821" s="16">
        <v>128</v>
      </c>
      <c r="O1821" s="19">
        <v>0.34</v>
      </c>
      <c r="P1821" s="16">
        <v>150</v>
      </c>
      <c r="Q1821" s="16">
        <v>220</v>
      </c>
      <c r="R1821" s="16">
        <v>16</v>
      </c>
      <c r="S1821" s="18" t="s">
        <v>43</v>
      </c>
      <c r="T1821" s="18"/>
      <c r="U1821" s="17">
        <v>1005</v>
      </c>
      <c r="V1821" s="18" t="s">
        <v>77</v>
      </c>
      <c r="W1821" s="18" t="s">
        <v>69</v>
      </c>
      <c r="X1821" s="16">
        <v>10</v>
      </c>
      <c r="Y1821" s="43" t="str">
        <f>HYPERLINK("https://api-enni.alpina.ru/FilePrivilegesApproval/863","https://api-enni.alpina.ru/FilePrivilegesApproval/863")</f>
        <v>https://api-enni.alpina.ru/FilePrivilegesApproval/863</v>
      </c>
      <c r="Z1821" s="18"/>
      <c r="AS1821" s="1">
        <f>IF($A1821&lt;&gt;0,1,0)</f>
        <v>0</v>
      </c>
      <c r="AT1821" s="1">
        <f>$A1821*$B1821</f>
        <v>0</v>
      </c>
      <c r="AU1821" s="1">
        <f>$A1821*$O1821</f>
        <v>0</v>
      </c>
      <c r="AV1821" s="1">
        <f>IF($R1821=0,0,INT($A1821/$R1821))</f>
        <v>0</v>
      </c>
      <c r="AW1821" s="1">
        <f>$A1821-$AV1821*$R1821</f>
        <v>0</v>
      </c>
    </row>
    <row r="1822" ht="24.95" customHeight="1" outlineLevel="3" s="1" customFormat="1">
      <c r="A1822" s="15"/>
      <c r="B1822" s="17">
        <v>2300</v>
      </c>
      <c r="C1822" s="17">
        <v>2990</v>
      </c>
      <c r="D1822" s="16">
        <v>668</v>
      </c>
      <c r="E1822" s="18"/>
      <c r="F1822" s="18" t="s">
        <v>6049</v>
      </c>
      <c r="G1822" s="18" t="s">
        <v>6050</v>
      </c>
      <c r="H1822" s="18" t="s">
        <v>86</v>
      </c>
      <c r="I1822" s="18" t="s">
        <v>74</v>
      </c>
      <c r="J1822" s="16">
        <v>2026</v>
      </c>
      <c r="K1822" s="18" t="s">
        <v>6051</v>
      </c>
      <c r="L1822" s="16">
        <v>9785961454420</v>
      </c>
      <c r="M1822" s="18" t="s">
        <v>6052</v>
      </c>
      <c r="N1822" s="17">
        <v>1200</v>
      </c>
      <c r="O1822" s="19">
        <v>1.65</v>
      </c>
      <c r="P1822" s="16">
        <v>168</v>
      </c>
      <c r="Q1822" s="16">
        <v>240</v>
      </c>
      <c r="R1822" s="16">
        <v>3</v>
      </c>
      <c r="S1822" s="18" t="s">
        <v>123</v>
      </c>
      <c r="T1822" s="18"/>
      <c r="U1822" s="17">
        <v>2000</v>
      </c>
      <c r="V1822" s="18" t="s">
        <v>77</v>
      </c>
      <c r="W1822" s="18" t="s">
        <v>184</v>
      </c>
      <c r="X1822" s="16">
        <v>10</v>
      </c>
      <c r="Y1822" s="43" t="str">
        <f>HYPERLINK("https://api-enni.alpina.ru/FilePrivilegesApproval/2","https://api-enni.alpina.ru/FilePrivilegesApproval/2")</f>
        <v>https://api-enni.alpina.ru/FilePrivilegesApproval/2</v>
      </c>
      <c r="Z1822" s="18" t="s">
        <v>1958</v>
      </c>
      <c r="AS1822" s="1">
        <f>IF($A1822&lt;&gt;0,1,0)</f>
        <v>0</v>
      </c>
      <c r="AT1822" s="1">
        <f>$A1822*$B1822</f>
        <v>0</v>
      </c>
      <c r="AU1822" s="1">
        <f>$A1822*$O1822</f>
        <v>0</v>
      </c>
      <c r="AV1822" s="1">
        <f>IF($R1822=0,0,INT($A1822/$R1822))</f>
        <v>0</v>
      </c>
      <c r="AW1822" s="1">
        <f>$A1822-$AV1822*$R1822</f>
        <v>0</v>
      </c>
    </row>
    <row r="1823" ht="24.95" customHeight="1" outlineLevel="3" s="1" customFormat="1">
      <c r="A1823" s="15"/>
      <c r="B1823" s="17">
        <v>1040</v>
      </c>
      <c r="C1823" s="17">
        <v>1404</v>
      </c>
      <c r="D1823" s="16">
        <v>11868</v>
      </c>
      <c r="E1823" s="18"/>
      <c r="F1823" s="18" t="s">
        <v>6053</v>
      </c>
      <c r="G1823" s="18" t="s">
        <v>6054</v>
      </c>
      <c r="H1823" s="18" t="s">
        <v>95</v>
      </c>
      <c r="I1823" s="18" t="s">
        <v>74</v>
      </c>
      <c r="J1823" s="16">
        <v>2026</v>
      </c>
      <c r="K1823" s="18" t="s">
        <v>6055</v>
      </c>
      <c r="L1823" s="16">
        <v>9785604288146</v>
      </c>
      <c r="M1823" s="18" t="s">
        <v>6056</v>
      </c>
      <c r="N1823" s="16">
        <v>266</v>
      </c>
      <c r="O1823" s="19">
        <v>0.55</v>
      </c>
      <c r="P1823" s="16">
        <v>168</v>
      </c>
      <c r="Q1823" s="16">
        <v>241</v>
      </c>
      <c r="R1823" s="16">
        <v>10</v>
      </c>
      <c r="S1823" s="18" t="s">
        <v>123</v>
      </c>
      <c r="T1823" s="18"/>
      <c r="U1823" s="17">
        <v>1000</v>
      </c>
      <c r="V1823" s="18" t="s">
        <v>77</v>
      </c>
      <c r="W1823" s="18" t="s">
        <v>91</v>
      </c>
      <c r="X1823" s="16">
        <v>10</v>
      </c>
      <c r="Y1823" s="43" t="str">
        <f>HYPERLINK("https://api-enni.alpina.ru/FilePrivilegesApproval/400","https://api-enni.alpina.ru/FilePrivilegesApproval/400")</f>
        <v>https://api-enni.alpina.ru/FilePrivilegesApproval/400</v>
      </c>
      <c r="Z1823" s="18" t="s">
        <v>950</v>
      </c>
      <c r="AS1823" s="1">
        <f>IF($A1823&lt;&gt;0,1,0)</f>
        <v>0</v>
      </c>
      <c r="AT1823" s="1">
        <f>$A1823*$B1823</f>
        <v>0</v>
      </c>
      <c r="AU1823" s="1">
        <f>$A1823*$O1823</f>
        <v>0</v>
      </c>
      <c r="AV1823" s="1">
        <f>IF($R1823=0,0,INT($A1823/$R1823))</f>
        <v>0</v>
      </c>
      <c r="AW1823" s="1">
        <f>$A1823-$AV1823*$R1823</f>
        <v>0</v>
      </c>
    </row>
    <row r="1824" ht="24.95" customHeight="1" outlineLevel="3" s="1" customFormat="1">
      <c r="A1824" s="15"/>
      <c r="B1824" s="17">
        <v>1090</v>
      </c>
      <c r="C1824" s="17">
        <v>1472</v>
      </c>
      <c r="D1824" s="16">
        <v>6117</v>
      </c>
      <c r="E1824" s="18"/>
      <c r="F1824" s="18" t="s">
        <v>6030</v>
      </c>
      <c r="G1824" s="18" t="s">
        <v>6057</v>
      </c>
      <c r="H1824" s="18" t="s">
        <v>95</v>
      </c>
      <c r="I1824" s="18" t="s">
        <v>74</v>
      </c>
      <c r="J1824" s="16">
        <v>2026</v>
      </c>
      <c r="K1824" s="18" t="s">
        <v>6058</v>
      </c>
      <c r="L1824" s="16">
        <v>9785604288030</v>
      </c>
      <c r="M1824" s="18" t="s">
        <v>6059</v>
      </c>
      <c r="N1824" s="16">
        <v>326</v>
      </c>
      <c r="O1824" s="19">
        <v>0.63</v>
      </c>
      <c r="P1824" s="16">
        <v>171</v>
      </c>
      <c r="Q1824" s="16">
        <v>241</v>
      </c>
      <c r="R1824" s="16">
        <v>10</v>
      </c>
      <c r="S1824" s="18" t="s">
        <v>123</v>
      </c>
      <c r="T1824" s="18"/>
      <c r="U1824" s="17">
        <v>1000</v>
      </c>
      <c r="V1824" s="18" t="s">
        <v>77</v>
      </c>
      <c r="W1824" s="18" t="s">
        <v>45</v>
      </c>
      <c r="X1824" s="16">
        <v>10</v>
      </c>
      <c r="Y1824" s="43" t="str">
        <f>HYPERLINK("https://api-enni.alpina.ru/FilePrivilegesApproval/2","https://api-enni.alpina.ru/FilePrivilegesApproval/2")</f>
        <v>https://api-enni.alpina.ru/FilePrivilegesApproval/2</v>
      </c>
      <c r="Z1824" s="18"/>
      <c r="AS1824" s="1">
        <f>IF($A1824&lt;&gt;0,1,0)</f>
        <v>0</v>
      </c>
      <c r="AT1824" s="1">
        <f>$A1824*$B1824</f>
        <v>0</v>
      </c>
      <c r="AU1824" s="1">
        <f>$A1824*$O1824</f>
        <v>0</v>
      </c>
      <c r="AV1824" s="1">
        <f>IF($R1824=0,0,INT($A1824/$R1824))</f>
        <v>0</v>
      </c>
      <c r="AW1824" s="1">
        <f>$A1824-$AV1824*$R1824</f>
        <v>0</v>
      </c>
    </row>
    <row r="1825" ht="24.95" customHeight="1" outlineLevel="3" s="1" customFormat="1">
      <c r="A1825" s="15"/>
      <c r="B1825" s="16">
        <v>840</v>
      </c>
      <c r="C1825" s="17">
        <v>1218</v>
      </c>
      <c r="D1825" s="16">
        <v>5500</v>
      </c>
      <c r="E1825" s="18"/>
      <c r="F1825" s="18" t="s">
        <v>6060</v>
      </c>
      <c r="G1825" s="18" t="s">
        <v>6061</v>
      </c>
      <c r="H1825" s="18" t="s">
        <v>95</v>
      </c>
      <c r="I1825" s="18" t="s">
        <v>74</v>
      </c>
      <c r="J1825" s="16">
        <v>2024</v>
      </c>
      <c r="K1825" s="18" t="s">
        <v>6062</v>
      </c>
      <c r="L1825" s="16">
        <v>9785907274044</v>
      </c>
      <c r="M1825" s="18" t="s">
        <v>6063</v>
      </c>
      <c r="N1825" s="16">
        <v>232</v>
      </c>
      <c r="O1825" s="19">
        <v>0.49</v>
      </c>
      <c r="P1825" s="16">
        <v>171</v>
      </c>
      <c r="Q1825" s="16">
        <v>241</v>
      </c>
      <c r="R1825" s="16">
        <v>10</v>
      </c>
      <c r="S1825" s="18" t="s">
        <v>123</v>
      </c>
      <c r="T1825" s="18"/>
      <c r="U1825" s="17">
        <v>1000</v>
      </c>
      <c r="V1825" s="18" t="s">
        <v>77</v>
      </c>
      <c r="W1825" s="18" t="s">
        <v>184</v>
      </c>
      <c r="X1825" s="16">
        <v>10</v>
      </c>
      <c r="Y1825" s="43" t="str">
        <f>HYPERLINK("https://api-enni.alpina.ru/FilePrivilegesApproval/154","https://api-enni.alpina.ru/FilePrivilegesApproval/154")</f>
        <v>https://api-enni.alpina.ru/FilePrivilegesApproval/154</v>
      </c>
      <c r="Z1825" s="18" t="s">
        <v>950</v>
      </c>
      <c r="AS1825" s="1">
        <f>IF($A1825&lt;&gt;0,1,0)</f>
        <v>0</v>
      </c>
      <c r="AT1825" s="1">
        <f>$A1825*$B1825</f>
        <v>0</v>
      </c>
      <c r="AU1825" s="1">
        <f>$A1825*$O1825</f>
        <v>0</v>
      </c>
      <c r="AV1825" s="1">
        <f>IF($R1825=0,0,INT($A1825/$R1825))</f>
        <v>0</v>
      </c>
      <c r="AW1825" s="1">
        <f>$A1825-$AV1825*$R1825</f>
        <v>0</v>
      </c>
    </row>
    <row r="1826" ht="24.95" customHeight="1" outlineLevel="3" s="1" customFormat="1">
      <c r="A1826" s="15"/>
      <c r="B1826" s="17">
        <v>3490</v>
      </c>
      <c r="C1826" s="17">
        <v>4537</v>
      </c>
      <c r="D1826" s="16">
        <v>23431</v>
      </c>
      <c r="E1826" s="18"/>
      <c r="F1826" s="18" t="s">
        <v>6064</v>
      </c>
      <c r="G1826" s="18" t="s">
        <v>6065</v>
      </c>
      <c r="H1826" s="18" t="s">
        <v>95</v>
      </c>
      <c r="I1826" s="18" t="s">
        <v>74</v>
      </c>
      <c r="J1826" s="16">
        <v>2026</v>
      </c>
      <c r="K1826" s="18" t="s">
        <v>6066</v>
      </c>
      <c r="L1826" s="16">
        <v>9785206000078</v>
      </c>
      <c r="M1826" s="18" t="s">
        <v>6067</v>
      </c>
      <c r="N1826" s="17">
        <v>1248</v>
      </c>
      <c r="O1826" s="19">
        <v>7.77</v>
      </c>
      <c r="P1826" s="16">
        <v>170</v>
      </c>
      <c r="Q1826" s="16">
        <v>240</v>
      </c>
      <c r="R1826" s="16">
        <v>5</v>
      </c>
      <c r="S1826" s="18" t="s">
        <v>123</v>
      </c>
      <c r="T1826" s="18"/>
      <c r="U1826" s="17">
        <v>1000</v>
      </c>
      <c r="V1826" s="18" t="s">
        <v>77</v>
      </c>
      <c r="W1826" s="18" t="s">
        <v>69</v>
      </c>
      <c r="X1826" s="16">
        <v>10</v>
      </c>
      <c r="Y1826" s="43" t="str">
        <f>HYPERLINK("https://api-enni.alpina.ru/FilePrivilegesApproval/168","https://api-enni.alpina.ru/FilePrivilegesApproval/168")</f>
        <v>https://api-enni.alpina.ru/FilePrivilegesApproval/168</v>
      </c>
      <c r="Z1826" s="18" t="s">
        <v>178</v>
      </c>
      <c r="AS1826" s="1">
        <f>IF($A1826&lt;&gt;0,1,0)</f>
        <v>0</v>
      </c>
      <c r="AT1826" s="1">
        <f>$A1826*$B1826</f>
        <v>0</v>
      </c>
      <c r="AU1826" s="1">
        <f>$A1826*$O1826</f>
        <v>0</v>
      </c>
      <c r="AV1826" s="1">
        <f>IF($R1826=0,0,INT($A1826/$R1826))</f>
        <v>0</v>
      </c>
      <c r="AW1826" s="1">
        <f>$A1826-$AV1826*$R1826</f>
        <v>0</v>
      </c>
    </row>
    <row r="1827" ht="24.95" customHeight="1" outlineLevel="3" s="1" customFormat="1">
      <c r="A1827" s="15"/>
      <c r="B1827" s="16">
        <v>690</v>
      </c>
      <c r="C1827" s="17">
        <v>1035</v>
      </c>
      <c r="D1827" s="16">
        <v>23163</v>
      </c>
      <c r="E1827" s="18"/>
      <c r="F1827" s="18" t="s">
        <v>5965</v>
      </c>
      <c r="G1827" s="18" t="s">
        <v>6068</v>
      </c>
      <c r="H1827" s="18" t="s">
        <v>86</v>
      </c>
      <c r="I1827" s="18"/>
      <c r="J1827" s="16">
        <v>2021</v>
      </c>
      <c r="K1827" s="18" t="s">
        <v>6069</v>
      </c>
      <c r="L1827" s="16">
        <v>9785961474312</v>
      </c>
      <c r="M1827" s="18" t="s">
        <v>6070</v>
      </c>
      <c r="N1827" s="16">
        <v>179</v>
      </c>
      <c r="O1827" s="19">
        <v>0.32</v>
      </c>
      <c r="P1827" s="16">
        <v>146</v>
      </c>
      <c r="Q1827" s="16">
        <v>216</v>
      </c>
      <c r="R1827" s="16">
        <v>16</v>
      </c>
      <c r="S1827" s="18" t="s">
        <v>43</v>
      </c>
      <c r="T1827" s="18"/>
      <c r="U1827" s="17">
        <v>2000</v>
      </c>
      <c r="V1827" s="18" t="s">
        <v>77</v>
      </c>
      <c r="W1827" s="18" t="s">
        <v>184</v>
      </c>
      <c r="X1827" s="16">
        <v>10</v>
      </c>
      <c r="Y1827" s="43" t="str">
        <f>HYPERLINK("https://api-enni.alpina.ru/FilePrivilegesApproval/121","https://api-enni.alpina.ru/FilePrivilegesApproval/121")</f>
        <v>https://api-enni.alpina.ru/FilePrivilegesApproval/121</v>
      </c>
      <c r="Z1827" s="18"/>
      <c r="AS1827" s="1">
        <f>IF($A1827&lt;&gt;0,1,0)</f>
        <v>0</v>
      </c>
      <c r="AT1827" s="1">
        <f>$A1827*$B1827</f>
        <v>0</v>
      </c>
      <c r="AU1827" s="1">
        <f>$A1827*$O1827</f>
        <v>0</v>
      </c>
      <c r="AV1827" s="1">
        <f>IF($R1827=0,0,INT($A1827/$R1827))</f>
        <v>0</v>
      </c>
      <c r="AW1827" s="1">
        <f>$A1827-$AV1827*$R1827</f>
        <v>0</v>
      </c>
    </row>
    <row r="1828" ht="21.95" customHeight="1" outlineLevel="3" s="1" customFormat="1">
      <c r="A1828" s="15"/>
      <c r="B1828" s="17">
        <v>1312</v>
      </c>
      <c r="C1828" s="17">
        <v>1771</v>
      </c>
      <c r="D1828" s="16">
        <v>32703</v>
      </c>
      <c r="E1828" s="18"/>
      <c r="F1828" s="18" t="s">
        <v>5882</v>
      </c>
      <c r="G1828" s="18" t="s">
        <v>6071</v>
      </c>
      <c r="H1828" s="18" t="s">
        <v>95</v>
      </c>
      <c r="I1828" s="18" t="s">
        <v>74</v>
      </c>
      <c r="J1828" s="16">
        <v>2025</v>
      </c>
      <c r="K1828" s="18" t="s">
        <v>6072</v>
      </c>
      <c r="L1828" s="16">
        <v>9785206004304</v>
      </c>
      <c r="M1828" s="18" t="s">
        <v>6073</v>
      </c>
      <c r="N1828" s="16">
        <v>480</v>
      </c>
      <c r="O1828" s="19">
        <v>0.8</v>
      </c>
      <c r="P1828" s="16">
        <v>170</v>
      </c>
      <c r="Q1828" s="16">
        <v>220</v>
      </c>
      <c r="R1828" s="16">
        <v>5</v>
      </c>
      <c r="S1828" s="18" t="s">
        <v>52</v>
      </c>
      <c r="T1828" s="18"/>
      <c r="U1828" s="17">
        <v>2000</v>
      </c>
      <c r="V1828" s="18" t="s">
        <v>77</v>
      </c>
      <c r="W1828" s="18" t="s">
        <v>45</v>
      </c>
      <c r="X1828" s="16">
        <v>22</v>
      </c>
      <c r="Y1828" s="43" t="str">
        <f>HYPERLINK("","")</f>
      </c>
      <c r="Z1828" s="18"/>
      <c r="AS1828" s="1">
        <f>IF($A1828&lt;&gt;0,1,0)</f>
        <v>0</v>
      </c>
      <c r="AT1828" s="1">
        <f>$A1828*$B1828</f>
        <v>0</v>
      </c>
      <c r="AU1828" s="1">
        <f>$A1828*$O1828</f>
        <v>0</v>
      </c>
      <c r="AV1828" s="1">
        <f>IF($R1828=0,0,INT($A1828/$R1828))</f>
        <v>0</v>
      </c>
      <c r="AW1828" s="1">
        <f>$A1828-$AV1828*$R1828</f>
        <v>0</v>
      </c>
    </row>
    <row r="1829" ht="24.95" customHeight="1" outlineLevel="3" s="1" customFormat="1">
      <c r="A1829" s="15"/>
      <c r="B1829" s="17">
        <v>1990</v>
      </c>
      <c r="C1829" s="17">
        <v>2587</v>
      </c>
      <c r="D1829" s="16">
        <v>5277</v>
      </c>
      <c r="E1829" s="18"/>
      <c r="F1829" s="18" t="s">
        <v>5886</v>
      </c>
      <c r="G1829" s="18" t="s">
        <v>6074</v>
      </c>
      <c r="H1829" s="18" t="s">
        <v>86</v>
      </c>
      <c r="I1829" s="18" t="s">
        <v>74</v>
      </c>
      <c r="J1829" s="16">
        <v>2026</v>
      </c>
      <c r="K1829" s="18" t="s">
        <v>6075</v>
      </c>
      <c r="L1829" s="16">
        <v>9785961467710</v>
      </c>
      <c r="M1829" s="18" t="s">
        <v>6076</v>
      </c>
      <c r="N1829" s="16">
        <v>610</v>
      </c>
      <c r="O1829" s="19">
        <v>0.8</v>
      </c>
      <c r="P1829" s="16">
        <v>168</v>
      </c>
      <c r="Q1829" s="16">
        <v>220</v>
      </c>
      <c r="R1829" s="16">
        <v>4</v>
      </c>
      <c r="S1829" s="18" t="s">
        <v>123</v>
      </c>
      <c r="T1829" s="18"/>
      <c r="U1829" s="17">
        <v>2000</v>
      </c>
      <c r="V1829" s="18" t="s">
        <v>77</v>
      </c>
      <c r="W1829" s="18" t="s">
        <v>184</v>
      </c>
      <c r="X1829" s="16">
        <v>10</v>
      </c>
      <c r="Y1829" s="43" t="str">
        <f>HYPERLINK("https://api-enni.alpina.ru/FilePrivilegesApproval/141","https://api-enni.alpina.ru/FilePrivilegesApproval/141")</f>
        <v>https://api-enni.alpina.ru/FilePrivilegesApproval/141</v>
      </c>
      <c r="Z1829" s="18"/>
      <c r="AS1829" s="1">
        <f>IF($A1829&lt;&gt;0,1,0)</f>
        <v>0</v>
      </c>
      <c r="AT1829" s="1">
        <f>$A1829*$B1829</f>
        <v>0</v>
      </c>
      <c r="AU1829" s="1">
        <f>$A1829*$O1829</f>
        <v>0</v>
      </c>
      <c r="AV1829" s="1">
        <f>IF($R1829=0,0,INT($A1829/$R1829))</f>
        <v>0</v>
      </c>
      <c r="AW1829" s="1">
        <f>$A1829-$AV1829*$R1829</f>
        <v>0</v>
      </c>
    </row>
    <row r="1830" ht="24.95" customHeight="1" outlineLevel="3" s="1" customFormat="1">
      <c r="A1830" s="15"/>
      <c r="B1830" s="17">
        <v>1990</v>
      </c>
      <c r="C1830" s="17">
        <v>2587</v>
      </c>
      <c r="D1830" s="16">
        <v>919</v>
      </c>
      <c r="E1830" s="18"/>
      <c r="F1830" s="18" t="s">
        <v>5882</v>
      </c>
      <c r="G1830" s="18" t="s">
        <v>6077</v>
      </c>
      <c r="H1830" s="18" t="s">
        <v>86</v>
      </c>
      <c r="I1830" s="18" t="s">
        <v>74</v>
      </c>
      <c r="J1830" s="16">
        <v>2025</v>
      </c>
      <c r="K1830" s="18" t="s">
        <v>6078</v>
      </c>
      <c r="L1830" s="16">
        <v>9785961467826</v>
      </c>
      <c r="M1830" s="18" t="s">
        <v>6079</v>
      </c>
      <c r="N1830" s="16">
        <v>808</v>
      </c>
      <c r="O1830" s="19">
        <v>1.19</v>
      </c>
      <c r="P1830" s="16">
        <v>170</v>
      </c>
      <c r="Q1830" s="16">
        <v>240</v>
      </c>
      <c r="R1830" s="16">
        <v>4</v>
      </c>
      <c r="S1830" s="18" t="s">
        <v>123</v>
      </c>
      <c r="T1830" s="18"/>
      <c r="U1830" s="17">
        <v>3000</v>
      </c>
      <c r="V1830" s="18" t="s">
        <v>77</v>
      </c>
      <c r="W1830" s="18" t="s">
        <v>184</v>
      </c>
      <c r="X1830" s="16">
        <v>10</v>
      </c>
      <c r="Y1830" s="43" t="str">
        <f>HYPERLINK("https://api-enni.alpina.ru/FilePrivilegesApproval/2","https://api-enni.alpina.ru/FilePrivilegesApproval/2")</f>
        <v>https://api-enni.alpina.ru/FilePrivilegesApproval/2</v>
      </c>
      <c r="Z1830" s="18"/>
      <c r="AS1830" s="1">
        <f>IF($A1830&lt;&gt;0,1,0)</f>
        <v>0</v>
      </c>
      <c r="AT1830" s="1">
        <f>$A1830*$B1830</f>
        <v>0</v>
      </c>
      <c r="AU1830" s="1">
        <f>$A1830*$O1830</f>
        <v>0</v>
      </c>
      <c r="AV1830" s="1">
        <f>IF($R1830=0,0,INT($A1830/$R1830))</f>
        <v>0</v>
      </c>
      <c r="AW1830" s="1">
        <f>$A1830-$AV1830*$R1830</f>
        <v>0</v>
      </c>
    </row>
    <row r="1831" ht="24.95" customHeight="1" outlineLevel="3" s="1" customFormat="1">
      <c r="A1831" s="15"/>
      <c r="B1831" s="16">
        <v>940</v>
      </c>
      <c r="C1831" s="17">
        <v>1316</v>
      </c>
      <c r="D1831" s="16">
        <v>4951</v>
      </c>
      <c r="E1831" s="18"/>
      <c r="F1831" s="18" t="s">
        <v>6080</v>
      </c>
      <c r="G1831" s="18" t="s">
        <v>6081</v>
      </c>
      <c r="H1831" s="18" t="s">
        <v>95</v>
      </c>
      <c r="I1831" s="18" t="s">
        <v>74</v>
      </c>
      <c r="J1831" s="16">
        <v>2024</v>
      </c>
      <c r="K1831" s="18" t="s">
        <v>6082</v>
      </c>
      <c r="L1831" s="16">
        <v>9785907274990</v>
      </c>
      <c r="M1831" s="18" t="s">
        <v>6083</v>
      </c>
      <c r="N1831" s="16">
        <v>310</v>
      </c>
      <c r="O1831" s="19">
        <v>0.41</v>
      </c>
      <c r="P1831" s="16">
        <v>171</v>
      </c>
      <c r="Q1831" s="16">
        <v>241</v>
      </c>
      <c r="R1831" s="16">
        <v>5</v>
      </c>
      <c r="S1831" s="18" t="s">
        <v>123</v>
      </c>
      <c r="T1831" s="18"/>
      <c r="U1831" s="17">
        <v>1000</v>
      </c>
      <c r="V1831" s="18" t="s">
        <v>77</v>
      </c>
      <c r="W1831" s="18" t="s">
        <v>184</v>
      </c>
      <c r="X1831" s="16">
        <v>10</v>
      </c>
      <c r="Y1831" s="43" t="str">
        <f>HYPERLINK("https://api-enni.alpina.ru/FilePrivilegesApproval/2","https://api-enni.alpina.ru/FilePrivilegesApproval/2")</f>
        <v>https://api-enni.alpina.ru/FilePrivilegesApproval/2</v>
      </c>
      <c r="Z1831" s="18" t="s">
        <v>251</v>
      </c>
      <c r="AS1831" s="1">
        <f>IF($A1831&lt;&gt;0,1,0)</f>
        <v>0</v>
      </c>
      <c r="AT1831" s="1">
        <f>$A1831*$B1831</f>
        <v>0</v>
      </c>
      <c r="AU1831" s="1">
        <f>$A1831*$O1831</f>
        <v>0</v>
      </c>
      <c r="AV1831" s="1">
        <f>IF($R1831=0,0,INT($A1831/$R1831))</f>
        <v>0</v>
      </c>
      <c r="AW1831" s="1">
        <f>$A1831-$AV1831*$R1831</f>
        <v>0</v>
      </c>
    </row>
    <row r="1832" ht="24.95" customHeight="1" outlineLevel="3" s="1" customFormat="1">
      <c r="A1832" s="15"/>
      <c r="B1832" s="16">
        <v>790</v>
      </c>
      <c r="C1832" s="17">
        <v>1146</v>
      </c>
      <c r="D1832" s="16">
        <v>4895</v>
      </c>
      <c r="E1832" s="18"/>
      <c r="F1832" s="18" t="s">
        <v>6084</v>
      </c>
      <c r="G1832" s="18" t="s">
        <v>6085</v>
      </c>
      <c r="H1832" s="18" t="s">
        <v>95</v>
      </c>
      <c r="I1832" s="18" t="s">
        <v>74</v>
      </c>
      <c r="J1832" s="16">
        <v>2023</v>
      </c>
      <c r="K1832" s="18" t="s">
        <v>6086</v>
      </c>
      <c r="L1832" s="16">
        <v>9785907274938</v>
      </c>
      <c r="M1832" s="18" t="s">
        <v>6087</v>
      </c>
      <c r="N1832" s="16">
        <v>285</v>
      </c>
      <c r="O1832" s="19">
        <v>0.58</v>
      </c>
      <c r="P1832" s="16">
        <v>150</v>
      </c>
      <c r="Q1832" s="16">
        <v>220</v>
      </c>
      <c r="R1832" s="16">
        <v>5</v>
      </c>
      <c r="S1832" s="18" t="s">
        <v>123</v>
      </c>
      <c r="T1832" s="18"/>
      <c r="U1832" s="17">
        <v>1000</v>
      </c>
      <c r="V1832" s="18" t="s">
        <v>77</v>
      </c>
      <c r="W1832" s="18" t="s">
        <v>184</v>
      </c>
      <c r="X1832" s="16">
        <v>10</v>
      </c>
      <c r="Y1832" s="43" t="str">
        <f>HYPERLINK("https://api-enni.alpina.ru/FilePrivilegesApproval/2","https://api-enni.alpina.ru/FilePrivilegesApproval/2")</f>
        <v>https://api-enni.alpina.ru/FilePrivilegesApproval/2</v>
      </c>
      <c r="Z1832" s="18"/>
      <c r="AS1832" s="1">
        <f>IF($A1832&lt;&gt;0,1,0)</f>
        <v>0</v>
      </c>
      <c r="AT1832" s="1">
        <f>$A1832*$B1832</f>
        <v>0</v>
      </c>
      <c r="AU1832" s="1">
        <f>$A1832*$O1832</f>
        <v>0</v>
      </c>
      <c r="AV1832" s="1">
        <f>IF($R1832=0,0,INT($A1832/$R1832))</f>
        <v>0</v>
      </c>
      <c r="AW1832" s="1">
        <f>$A1832-$AV1832*$R1832</f>
        <v>0</v>
      </c>
    </row>
    <row r="1833" ht="24.95" customHeight="1" outlineLevel="3" s="1" customFormat="1">
      <c r="A1833" s="15"/>
      <c r="B1833" s="16">
        <v>990</v>
      </c>
      <c r="C1833" s="17">
        <v>1386</v>
      </c>
      <c r="D1833" s="16">
        <v>6015</v>
      </c>
      <c r="E1833" s="18"/>
      <c r="F1833" s="18" t="s">
        <v>6088</v>
      </c>
      <c r="G1833" s="18" t="s">
        <v>6089</v>
      </c>
      <c r="H1833" s="18" t="s">
        <v>95</v>
      </c>
      <c r="I1833" s="18" t="s">
        <v>74</v>
      </c>
      <c r="J1833" s="16">
        <v>2025</v>
      </c>
      <c r="K1833" s="18" t="s">
        <v>6090</v>
      </c>
      <c r="L1833" s="16">
        <v>9785907274952</v>
      </c>
      <c r="M1833" s="18" t="s">
        <v>6091</v>
      </c>
      <c r="N1833" s="16">
        <v>460</v>
      </c>
      <c r="O1833" s="19">
        <v>0.83</v>
      </c>
      <c r="P1833" s="16">
        <v>171</v>
      </c>
      <c r="Q1833" s="16">
        <v>241</v>
      </c>
      <c r="R1833" s="16">
        <v>6</v>
      </c>
      <c r="S1833" s="18" t="s">
        <v>123</v>
      </c>
      <c r="T1833" s="18"/>
      <c r="U1833" s="17">
        <v>1000</v>
      </c>
      <c r="V1833" s="18" t="s">
        <v>77</v>
      </c>
      <c r="W1833" s="18" t="s">
        <v>184</v>
      </c>
      <c r="X1833" s="16">
        <v>10</v>
      </c>
      <c r="Y1833" s="43" t="str">
        <f>HYPERLINK("https://api-enni.alpina.ru/FilePrivilegesApproval/2","https://api-enni.alpina.ru/FilePrivilegesApproval/2")</f>
        <v>https://api-enni.alpina.ru/FilePrivilegesApproval/2</v>
      </c>
      <c r="Z1833" s="18"/>
      <c r="AS1833" s="1">
        <f>IF($A1833&lt;&gt;0,1,0)</f>
        <v>0</v>
      </c>
      <c r="AT1833" s="1">
        <f>$A1833*$B1833</f>
        <v>0</v>
      </c>
      <c r="AU1833" s="1">
        <f>$A1833*$O1833</f>
        <v>0</v>
      </c>
      <c r="AV1833" s="1">
        <f>IF($R1833=0,0,INT($A1833/$R1833))</f>
        <v>0</v>
      </c>
      <c r="AW1833" s="1">
        <f>$A1833-$AV1833*$R1833</f>
        <v>0</v>
      </c>
    </row>
    <row r="1834" ht="24.95" customHeight="1" outlineLevel="3" s="1" customFormat="1">
      <c r="A1834" s="15"/>
      <c r="B1834" s="17">
        <v>1390</v>
      </c>
      <c r="C1834" s="17">
        <v>1876</v>
      </c>
      <c r="D1834" s="16">
        <v>1879</v>
      </c>
      <c r="E1834" s="18"/>
      <c r="F1834" s="18" t="s">
        <v>5958</v>
      </c>
      <c r="G1834" s="18" t="s">
        <v>6092</v>
      </c>
      <c r="H1834" s="18" t="s">
        <v>86</v>
      </c>
      <c r="I1834" s="18"/>
      <c r="J1834" s="16">
        <v>2026</v>
      </c>
      <c r="K1834" s="18" t="s">
        <v>6093</v>
      </c>
      <c r="L1834" s="16">
        <v>9785961469189</v>
      </c>
      <c r="M1834" s="18" t="s">
        <v>6094</v>
      </c>
      <c r="N1834" s="16">
        <v>488</v>
      </c>
      <c r="O1834" s="19">
        <v>0.89</v>
      </c>
      <c r="P1834" s="16">
        <v>170</v>
      </c>
      <c r="Q1834" s="16">
        <v>240</v>
      </c>
      <c r="R1834" s="16">
        <v>5</v>
      </c>
      <c r="S1834" s="18" t="s">
        <v>123</v>
      </c>
      <c r="T1834" s="18"/>
      <c r="U1834" s="17">
        <v>1000</v>
      </c>
      <c r="V1834" s="18" t="s">
        <v>77</v>
      </c>
      <c r="W1834" s="18" t="s">
        <v>184</v>
      </c>
      <c r="X1834" s="16">
        <v>10</v>
      </c>
      <c r="Y1834" s="43" t="str">
        <f>HYPERLINK("https://api-enni.alpina.ru/FilePrivilegesApproval/2","https://api-enni.alpina.ru/FilePrivilegesApproval/2")</f>
        <v>https://api-enni.alpina.ru/FilePrivilegesApproval/2</v>
      </c>
      <c r="Z1834" s="18" t="s">
        <v>144</v>
      </c>
      <c r="AS1834" s="1">
        <f>IF($A1834&lt;&gt;0,1,0)</f>
        <v>0</v>
      </c>
      <c r="AT1834" s="1">
        <f>$A1834*$B1834</f>
        <v>0</v>
      </c>
      <c r="AU1834" s="1">
        <f>$A1834*$O1834</f>
        <v>0</v>
      </c>
      <c r="AV1834" s="1">
        <f>IF($R1834=0,0,INT($A1834/$R1834))</f>
        <v>0</v>
      </c>
      <c r="AW1834" s="1">
        <f>$A1834-$AV1834*$R1834</f>
        <v>0</v>
      </c>
    </row>
    <row r="1835" ht="24.95" customHeight="1" outlineLevel="3" s="1" customFormat="1">
      <c r="A1835" s="15"/>
      <c r="B1835" s="16">
        <v>390</v>
      </c>
      <c r="C1835" s="16">
        <v>624</v>
      </c>
      <c r="D1835" s="16">
        <v>6209</v>
      </c>
      <c r="E1835" s="18"/>
      <c r="F1835" s="18" t="s">
        <v>5958</v>
      </c>
      <c r="G1835" s="18" t="s">
        <v>6095</v>
      </c>
      <c r="H1835" s="18" t="s">
        <v>86</v>
      </c>
      <c r="I1835" s="18" t="s">
        <v>74</v>
      </c>
      <c r="J1835" s="16">
        <v>2025</v>
      </c>
      <c r="K1835" s="18" t="s">
        <v>6096</v>
      </c>
      <c r="L1835" s="16">
        <v>9785961469066</v>
      </c>
      <c r="M1835" s="18" t="s">
        <v>6097</v>
      </c>
      <c r="N1835" s="16">
        <v>120</v>
      </c>
      <c r="O1835" s="19">
        <v>0.12</v>
      </c>
      <c r="P1835" s="16">
        <v>130</v>
      </c>
      <c r="Q1835" s="17">
        <v>20600</v>
      </c>
      <c r="R1835" s="16">
        <v>26</v>
      </c>
      <c r="S1835" s="18" t="s">
        <v>90</v>
      </c>
      <c r="T1835" s="18"/>
      <c r="U1835" s="17">
        <v>2000</v>
      </c>
      <c r="V1835" s="18" t="s">
        <v>77</v>
      </c>
      <c r="W1835" s="18" t="s">
        <v>184</v>
      </c>
      <c r="X1835" s="16">
        <v>10</v>
      </c>
      <c r="Y1835" s="43" t="str">
        <f>HYPERLINK("https://api-enni.alpina.ru/FilePrivilegesApproval/158","https://api-enni.alpina.ru/FilePrivilegesApproval/158")</f>
        <v>https://api-enni.alpina.ru/FilePrivilegesApproval/158</v>
      </c>
      <c r="Z1835" s="18"/>
      <c r="AS1835" s="1">
        <f>IF($A1835&lt;&gt;0,1,0)</f>
        <v>0</v>
      </c>
      <c r="AT1835" s="1">
        <f>$A1835*$B1835</f>
        <v>0</v>
      </c>
      <c r="AU1835" s="1">
        <f>$A1835*$O1835</f>
        <v>0</v>
      </c>
      <c r="AV1835" s="1">
        <f>IF($R1835=0,0,INT($A1835/$R1835))</f>
        <v>0</v>
      </c>
      <c r="AW1835" s="1">
        <f>$A1835-$AV1835*$R1835</f>
        <v>0</v>
      </c>
    </row>
    <row r="1836" ht="24.95" customHeight="1" outlineLevel="3" s="1" customFormat="1">
      <c r="A1836" s="15"/>
      <c r="B1836" s="16">
        <v>890</v>
      </c>
      <c r="C1836" s="17">
        <v>1246</v>
      </c>
      <c r="D1836" s="16">
        <v>34673</v>
      </c>
      <c r="E1836" s="18"/>
      <c r="F1836" s="18" t="s">
        <v>6098</v>
      </c>
      <c r="G1836" s="18" t="s">
        <v>6099</v>
      </c>
      <c r="H1836" s="18" t="s">
        <v>95</v>
      </c>
      <c r="I1836" s="18"/>
      <c r="J1836" s="16">
        <v>2025</v>
      </c>
      <c r="K1836" s="18" t="s">
        <v>6100</v>
      </c>
      <c r="L1836" s="16">
        <v>9785206005141</v>
      </c>
      <c r="M1836" s="18" t="s">
        <v>6101</v>
      </c>
      <c r="N1836" s="16">
        <v>216</v>
      </c>
      <c r="O1836" s="19">
        <v>0.36</v>
      </c>
      <c r="P1836" s="16">
        <v>150</v>
      </c>
      <c r="Q1836" s="16">
        <v>220</v>
      </c>
      <c r="R1836" s="16">
        <v>10</v>
      </c>
      <c r="S1836" s="18" t="s">
        <v>43</v>
      </c>
      <c r="T1836" s="18"/>
      <c r="U1836" s="17">
        <v>1000</v>
      </c>
      <c r="V1836" s="18" t="s">
        <v>77</v>
      </c>
      <c r="W1836" s="18" t="s">
        <v>45</v>
      </c>
      <c r="X1836" s="16">
        <v>10</v>
      </c>
      <c r="Y1836" s="43" t="str">
        <f>HYPERLINK("https://api-enni.alpina.ru/FilePrivilegesApproval/994","https://api-enni.alpina.ru/FilePrivilegesApproval/994")</f>
        <v>https://api-enni.alpina.ru/FilePrivilegesApproval/994</v>
      </c>
      <c r="Z1836" s="18"/>
      <c r="AS1836" s="1">
        <f>IF($A1836&lt;&gt;0,1,0)</f>
        <v>0</v>
      </c>
      <c r="AT1836" s="1">
        <f>$A1836*$B1836</f>
        <v>0</v>
      </c>
      <c r="AU1836" s="1">
        <f>$A1836*$O1836</f>
        <v>0</v>
      </c>
      <c r="AV1836" s="1">
        <f>IF($R1836=0,0,INT($A1836/$R1836))</f>
        <v>0</v>
      </c>
      <c r="AW1836" s="1">
        <f>$A1836-$AV1836*$R1836</f>
        <v>0</v>
      </c>
    </row>
    <row r="1837" ht="24.95" customHeight="1" outlineLevel="3" s="1" customFormat="1">
      <c r="A1837" s="15"/>
      <c r="B1837" s="16">
        <v>890</v>
      </c>
      <c r="C1837" s="17">
        <v>1246</v>
      </c>
      <c r="D1837" s="16">
        <v>30777</v>
      </c>
      <c r="E1837" s="18"/>
      <c r="F1837" s="18" t="s">
        <v>6045</v>
      </c>
      <c r="G1837" s="18" t="s">
        <v>6102</v>
      </c>
      <c r="H1837" s="18" t="s">
        <v>95</v>
      </c>
      <c r="I1837" s="18"/>
      <c r="J1837" s="16">
        <v>2024</v>
      </c>
      <c r="K1837" s="18" t="s">
        <v>6103</v>
      </c>
      <c r="L1837" s="16">
        <v>9785206003406</v>
      </c>
      <c r="M1837" s="18" t="s">
        <v>6104</v>
      </c>
      <c r="N1837" s="16">
        <v>128</v>
      </c>
      <c r="O1837" s="19">
        <v>0.45</v>
      </c>
      <c r="P1837" s="16">
        <v>170</v>
      </c>
      <c r="Q1837" s="16">
        <v>240</v>
      </c>
      <c r="R1837" s="16">
        <v>10</v>
      </c>
      <c r="S1837" s="18" t="s">
        <v>123</v>
      </c>
      <c r="T1837" s="18"/>
      <c r="U1837" s="17">
        <v>1505</v>
      </c>
      <c r="V1837" s="18" t="s">
        <v>77</v>
      </c>
      <c r="W1837" s="18" t="s">
        <v>69</v>
      </c>
      <c r="X1837" s="16">
        <v>10</v>
      </c>
      <c r="Y1837" s="43" t="str">
        <f>HYPERLINK("https://api-enni.alpina.ru/FilePrivilegesApproval/538","https://api-enni.alpina.ru/FilePrivilegesApproval/538")</f>
        <v>https://api-enni.alpina.ru/FilePrivilegesApproval/538</v>
      </c>
      <c r="Z1837" s="18"/>
      <c r="AS1837" s="1">
        <f>IF($A1837&lt;&gt;0,1,0)</f>
        <v>0</v>
      </c>
      <c r="AT1837" s="1">
        <f>$A1837*$B1837</f>
        <v>0</v>
      </c>
      <c r="AU1837" s="1">
        <f>$A1837*$O1837</f>
        <v>0</v>
      </c>
      <c r="AV1837" s="1">
        <f>IF($R1837=0,0,INT($A1837/$R1837))</f>
        <v>0</v>
      </c>
      <c r="AW1837" s="1">
        <f>$A1837-$AV1837*$R1837</f>
        <v>0</v>
      </c>
    </row>
    <row r="1838" ht="24.95" customHeight="1" outlineLevel="3" s="1" customFormat="1">
      <c r="A1838" s="15"/>
      <c r="B1838" s="17">
        <v>1290</v>
      </c>
      <c r="C1838" s="17">
        <v>1742</v>
      </c>
      <c r="D1838" s="16">
        <v>7658</v>
      </c>
      <c r="E1838" s="18"/>
      <c r="F1838" s="18" t="s">
        <v>5910</v>
      </c>
      <c r="G1838" s="18" t="s">
        <v>6105</v>
      </c>
      <c r="H1838" s="18" t="s">
        <v>95</v>
      </c>
      <c r="I1838" s="18" t="s">
        <v>74</v>
      </c>
      <c r="J1838" s="16">
        <v>2025</v>
      </c>
      <c r="K1838" s="18" t="s">
        <v>6106</v>
      </c>
      <c r="L1838" s="16">
        <v>9785604288207</v>
      </c>
      <c r="M1838" s="18" t="s">
        <v>6107</v>
      </c>
      <c r="N1838" s="16">
        <v>290</v>
      </c>
      <c r="O1838" s="19">
        <v>0.61</v>
      </c>
      <c r="P1838" s="16">
        <v>170</v>
      </c>
      <c r="Q1838" s="16">
        <v>240</v>
      </c>
      <c r="R1838" s="16">
        <v>6</v>
      </c>
      <c r="S1838" s="18" t="s">
        <v>123</v>
      </c>
      <c r="T1838" s="18"/>
      <c r="U1838" s="17">
        <v>5000</v>
      </c>
      <c r="V1838" s="18" t="s">
        <v>77</v>
      </c>
      <c r="W1838" s="18" t="s">
        <v>184</v>
      </c>
      <c r="X1838" s="16">
        <v>10</v>
      </c>
      <c r="Y1838" s="43" t="str">
        <f>HYPERLINK("https://api-enni.alpina.ru/FilePrivilegesApproval/120","https://api-enni.alpina.ru/FilePrivilegesApproval/120")</f>
        <v>https://api-enni.alpina.ru/FilePrivilegesApproval/120</v>
      </c>
      <c r="Z1838" s="18"/>
      <c r="AS1838" s="1">
        <f>IF($A1838&lt;&gt;0,1,0)</f>
        <v>0</v>
      </c>
      <c r="AT1838" s="1">
        <f>$A1838*$B1838</f>
        <v>0</v>
      </c>
      <c r="AU1838" s="1">
        <f>$A1838*$O1838</f>
        <v>0</v>
      </c>
      <c r="AV1838" s="1">
        <f>IF($R1838=0,0,INT($A1838/$R1838))</f>
        <v>0</v>
      </c>
      <c r="AW1838" s="1">
        <f>$A1838-$AV1838*$R1838</f>
        <v>0</v>
      </c>
    </row>
    <row r="1839" ht="11.1" customHeight="1" outlineLevel="2">
      <c r="A1839" s="41" t="s">
        <v>6108</v>
      </c>
      <c r="B1839" s="41"/>
      <c r="C1839" s="41"/>
      <c r="D1839" s="41"/>
      <c r="E1839" s="41"/>
      <c r="F1839" s="41"/>
      <c r="G1839" s="41"/>
      <c r="H1839" s="41"/>
      <c r="I1839" s="41"/>
      <c r="J1839" s="41"/>
      <c r="K1839" s="41"/>
      <c r="L1839" s="41"/>
      <c r="M1839" s="41"/>
      <c r="N1839" s="41"/>
      <c r="O1839" s="41"/>
      <c r="P1839" s="41"/>
      <c r="Q1839" s="41"/>
      <c r="R1839" s="41"/>
      <c r="S1839" s="41"/>
      <c r="T1839" s="41"/>
      <c r="U1839" s="41"/>
      <c r="V1839" s="41"/>
      <c r="W1839" s="41"/>
      <c r="X1839" s="41"/>
      <c r="Y1839" s="41"/>
      <c r="Z1839" s="24"/>
    </row>
    <row r="1840" ht="24.95" customHeight="1" outlineLevel="3" s="1" customFormat="1">
      <c r="A1840" s="15"/>
      <c r="B1840" s="16">
        <v>840</v>
      </c>
      <c r="C1840" s="17">
        <v>1218</v>
      </c>
      <c r="D1840" s="16">
        <v>18524</v>
      </c>
      <c r="E1840" s="18"/>
      <c r="F1840" s="18" t="s">
        <v>6109</v>
      </c>
      <c r="G1840" s="18" t="s">
        <v>6110</v>
      </c>
      <c r="H1840" s="18" t="s">
        <v>95</v>
      </c>
      <c r="I1840" s="18"/>
      <c r="J1840" s="16">
        <v>2024</v>
      </c>
      <c r="K1840" s="18" t="s">
        <v>6111</v>
      </c>
      <c r="L1840" s="16">
        <v>9785907274655</v>
      </c>
      <c r="M1840" s="18" t="s">
        <v>6112</v>
      </c>
      <c r="N1840" s="16">
        <v>275</v>
      </c>
      <c r="O1840" s="19">
        <v>0.38</v>
      </c>
      <c r="P1840" s="16">
        <v>150</v>
      </c>
      <c r="Q1840" s="16">
        <v>220</v>
      </c>
      <c r="R1840" s="16">
        <v>10</v>
      </c>
      <c r="S1840" s="18" t="s">
        <v>43</v>
      </c>
      <c r="T1840" s="18"/>
      <c r="U1840" s="17">
        <v>1000</v>
      </c>
      <c r="V1840" s="18" t="s">
        <v>77</v>
      </c>
      <c r="W1840" s="18" t="s">
        <v>91</v>
      </c>
      <c r="X1840" s="16">
        <v>10</v>
      </c>
      <c r="Y1840" s="43" t="str">
        <f>HYPERLINK("https://api-enni.alpina.ru/FilePrivilegesApproval/67","https://api-enni.alpina.ru/FilePrivilegesApproval/67")</f>
        <v>https://api-enni.alpina.ru/FilePrivilegesApproval/67</v>
      </c>
      <c r="Z1840" s="18"/>
      <c r="AS1840" s="1">
        <f>IF($A1840&lt;&gt;0,1,0)</f>
        <v>0</v>
      </c>
      <c r="AT1840" s="1">
        <f>$A1840*$B1840</f>
        <v>0</v>
      </c>
      <c r="AU1840" s="1">
        <f>$A1840*$O1840</f>
        <v>0</v>
      </c>
      <c r="AV1840" s="1">
        <f>IF($R1840=0,0,INT($A1840/$R1840))</f>
        <v>0</v>
      </c>
      <c r="AW1840" s="1">
        <f>$A1840-$AV1840*$R1840</f>
        <v>0</v>
      </c>
    </row>
    <row r="1841" ht="21.95" customHeight="1" outlineLevel="3" s="1" customFormat="1">
      <c r="A1841" s="15"/>
      <c r="B1841" s="17">
        <v>1006</v>
      </c>
      <c r="C1841" s="17">
        <v>1358</v>
      </c>
      <c r="D1841" s="16">
        <v>23261</v>
      </c>
      <c r="E1841" s="18"/>
      <c r="F1841" s="18" t="s">
        <v>57</v>
      </c>
      <c r="G1841" s="18" t="s">
        <v>6113</v>
      </c>
      <c r="H1841" s="18" t="s">
        <v>86</v>
      </c>
      <c r="I1841" s="18" t="s">
        <v>65</v>
      </c>
      <c r="J1841" s="16">
        <v>2025</v>
      </c>
      <c r="K1841" s="18" t="s">
        <v>6114</v>
      </c>
      <c r="L1841" s="16">
        <v>9785961437102</v>
      </c>
      <c r="M1841" s="18" t="s">
        <v>6115</v>
      </c>
      <c r="N1841" s="16">
        <v>208</v>
      </c>
      <c r="O1841" s="19">
        <v>0.37</v>
      </c>
      <c r="P1841" s="16">
        <v>150</v>
      </c>
      <c r="Q1841" s="16">
        <v>220</v>
      </c>
      <c r="R1841" s="16">
        <v>16</v>
      </c>
      <c r="S1841" s="18" t="s">
        <v>43</v>
      </c>
      <c r="T1841" s="18"/>
      <c r="U1841" s="17">
        <v>3000</v>
      </c>
      <c r="V1841" s="18" t="s">
        <v>77</v>
      </c>
      <c r="W1841" s="18" t="s">
        <v>45</v>
      </c>
      <c r="X1841" s="16">
        <v>22</v>
      </c>
      <c r="Y1841" s="43" t="str">
        <f>HYPERLINK("","")</f>
      </c>
      <c r="Z1841" s="18"/>
      <c r="AS1841" s="1">
        <f>IF($A1841&lt;&gt;0,1,0)</f>
        <v>0</v>
      </c>
      <c r="AT1841" s="1">
        <f>$A1841*$B1841</f>
        <v>0</v>
      </c>
      <c r="AU1841" s="1">
        <f>$A1841*$O1841</f>
        <v>0</v>
      </c>
      <c r="AV1841" s="1">
        <f>IF($R1841=0,0,INT($A1841/$R1841))</f>
        <v>0</v>
      </c>
      <c r="AW1841" s="1">
        <f>$A1841-$AV1841*$R1841</f>
        <v>0</v>
      </c>
    </row>
    <row r="1842" ht="24.95" customHeight="1" outlineLevel="3" s="1" customFormat="1">
      <c r="A1842" s="15"/>
      <c r="B1842" s="16">
        <v>490</v>
      </c>
      <c r="C1842" s="16">
        <v>760</v>
      </c>
      <c r="D1842" s="16">
        <v>31659</v>
      </c>
      <c r="E1842" s="18"/>
      <c r="F1842" s="18" t="s">
        <v>6116</v>
      </c>
      <c r="G1842" s="18" t="s">
        <v>6117</v>
      </c>
      <c r="H1842" s="18" t="s">
        <v>86</v>
      </c>
      <c r="I1842" s="18"/>
      <c r="J1842" s="16">
        <v>2025</v>
      </c>
      <c r="K1842" s="18" t="s">
        <v>6118</v>
      </c>
      <c r="L1842" s="16">
        <v>9785961499773</v>
      </c>
      <c r="M1842" s="18" t="s">
        <v>6119</v>
      </c>
      <c r="N1842" s="16">
        <v>192</v>
      </c>
      <c r="O1842" s="19">
        <v>0.36</v>
      </c>
      <c r="P1842" s="16">
        <v>170</v>
      </c>
      <c r="Q1842" s="16">
        <v>220</v>
      </c>
      <c r="R1842" s="16">
        <v>10</v>
      </c>
      <c r="S1842" s="18" t="s">
        <v>52</v>
      </c>
      <c r="T1842" s="18"/>
      <c r="U1842" s="17">
        <v>2000</v>
      </c>
      <c r="V1842" s="18" t="s">
        <v>44</v>
      </c>
      <c r="W1842" s="18" t="s">
        <v>91</v>
      </c>
      <c r="X1842" s="16">
        <v>10</v>
      </c>
      <c r="Y1842" s="43" t="str">
        <f>HYPERLINK("https://api-enni.alpina.ru/FilePrivilegesApproval/1036","https://api-enni.alpina.ru/FilePrivilegesApproval/1036")</f>
        <v>https://api-enni.alpina.ru/FilePrivilegesApproval/1036</v>
      </c>
      <c r="Z1842" s="18"/>
      <c r="AS1842" s="1">
        <f>IF($A1842&lt;&gt;0,1,0)</f>
        <v>0</v>
      </c>
      <c r="AT1842" s="1">
        <f>$A1842*$B1842</f>
        <v>0</v>
      </c>
      <c r="AU1842" s="1">
        <f>$A1842*$O1842</f>
        <v>0</v>
      </c>
      <c r="AV1842" s="1">
        <f>IF($R1842=0,0,INT($A1842/$R1842))</f>
        <v>0</v>
      </c>
      <c r="AW1842" s="1">
        <f>$A1842-$AV1842*$R1842</f>
        <v>0</v>
      </c>
    </row>
    <row r="1843" ht="24.95" customHeight="1" outlineLevel="3" s="1" customFormat="1">
      <c r="A1843" s="15"/>
      <c r="B1843" s="16">
        <v>590</v>
      </c>
      <c r="C1843" s="16">
        <v>885</v>
      </c>
      <c r="D1843" s="16">
        <v>13897</v>
      </c>
      <c r="E1843" s="18"/>
      <c r="F1843" s="18" t="s">
        <v>6116</v>
      </c>
      <c r="G1843" s="18" t="s">
        <v>6120</v>
      </c>
      <c r="H1843" s="18" t="s">
        <v>86</v>
      </c>
      <c r="I1843" s="18"/>
      <c r="J1843" s="16">
        <v>2025</v>
      </c>
      <c r="K1843" s="18" t="s">
        <v>6121</v>
      </c>
      <c r="L1843" s="16">
        <v>9785961428001</v>
      </c>
      <c r="M1843" s="18" t="s">
        <v>6122</v>
      </c>
      <c r="N1843" s="16">
        <v>202</v>
      </c>
      <c r="O1843" s="19">
        <v>0.39</v>
      </c>
      <c r="P1843" s="16">
        <v>160</v>
      </c>
      <c r="Q1843" s="16">
        <v>220</v>
      </c>
      <c r="R1843" s="16">
        <v>10</v>
      </c>
      <c r="S1843" s="18" t="s">
        <v>52</v>
      </c>
      <c r="T1843" s="18"/>
      <c r="U1843" s="17">
        <v>5000</v>
      </c>
      <c r="V1843" s="18" t="s">
        <v>44</v>
      </c>
      <c r="W1843" s="18" t="s">
        <v>91</v>
      </c>
      <c r="X1843" s="16">
        <v>10</v>
      </c>
      <c r="Y1843" s="43" t="str">
        <f>HYPERLINK("https://api-enni.alpina.ru/FilePrivilegesApproval/125","https://api-enni.alpina.ru/FilePrivilegesApproval/125")</f>
        <v>https://api-enni.alpina.ru/FilePrivilegesApproval/125</v>
      </c>
      <c r="Z1843" s="18"/>
      <c r="AS1843" s="1">
        <f>IF($A1843&lt;&gt;0,1,0)</f>
        <v>0</v>
      </c>
      <c r="AT1843" s="1">
        <f>$A1843*$B1843</f>
        <v>0</v>
      </c>
      <c r="AU1843" s="1">
        <f>$A1843*$O1843</f>
        <v>0</v>
      </c>
      <c r="AV1843" s="1">
        <f>IF($R1843=0,0,INT($A1843/$R1843))</f>
        <v>0</v>
      </c>
      <c r="AW1843" s="1">
        <f>$A1843-$AV1843*$R1843</f>
        <v>0</v>
      </c>
    </row>
    <row r="1844" ht="21.95" customHeight="1" outlineLevel="3" s="1" customFormat="1">
      <c r="A1844" s="15"/>
      <c r="B1844" s="16">
        <v>447</v>
      </c>
      <c r="C1844" s="16">
        <v>900</v>
      </c>
      <c r="D1844" s="16">
        <v>23671</v>
      </c>
      <c r="E1844" s="18"/>
      <c r="F1844" s="18" t="s">
        <v>6116</v>
      </c>
      <c r="G1844" s="18" t="s">
        <v>6123</v>
      </c>
      <c r="H1844" s="18" t="s">
        <v>86</v>
      </c>
      <c r="I1844" s="18"/>
      <c r="J1844" s="16">
        <v>2026</v>
      </c>
      <c r="K1844" s="18" t="s">
        <v>6124</v>
      </c>
      <c r="L1844" s="16">
        <v>9785961475975</v>
      </c>
      <c r="M1844" s="18" t="s">
        <v>6125</v>
      </c>
      <c r="N1844" s="16">
        <v>119</v>
      </c>
      <c r="O1844" s="19">
        <v>0.24</v>
      </c>
      <c r="P1844" s="16">
        <v>170</v>
      </c>
      <c r="Q1844" s="16">
        <v>220</v>
      </c>
      <c r="R1844" s="16">
        <v>14</v>
      </c>
      <c r="S1844" s="18" t="s">
        <v>52</v>
      </c>
      <c r="T1844" s="18"/>
      <c r="U1844" s="17">
        <v>3000</v>
      </c>
      <c r="V1844" s="18" t="s">
        <v>1667</v>
      </c>
      <c r="W1844" s="18" t="s">
        <v>91</v>
      </c>
      <c r="X1844" s="16">
        <v>22</v>
      </c>
      <c r="Y1844" s="43" t="str">
        <f>HYPERLINK("","")</f>
      </c>
      <c r="Z1844" s="18"/>
      <c r="AS1844" s="1">
        <f>IF($A1844&lt;&gt;0,1,0)</f>
        <v>0</v>
      </c>
      <c r="AT1844" s="1">
        <f>$A1844*$B1844</f>
        <v>0</v>
      </c>
      <c r="AU1844" s="1">
        <f>$A1844*$O1844</f>
        <v>0</v>
      </c>
      <c r="AV1844" s="1">
        <f>IF($R1844=0,0,INT($A1844/$R1844))</f>
        <v>0</v>
      </c>
      <c r="AW1844" s="1">
        <f>$A1844-$AV1844*$R1844</f>
        <v>0</v>
      </c>
    </row>
    <row r="1845" ht="24.95" customHeight="1" outlineLevel="3" s="1" customFormat="1">
      <c r="A1845" s="15"/>
      <c r="B1845" s="16">
        <v>640</v>
      </c>
      <c r="C1845" s="16">
        <v>960</v>
      </c>
      <c r="D1845" s="16">
        <v>11345</v>
      </c>
      <c r="E1845" s="18"/>
      <c r="F1845" s="18" t="s">
        <v>6126</v>
      </c>
      <c r="G1845" s="18" t="s">
        <v>6127</v>
      </c>
      <c r="H1845" s="18" t="s">
        <v>86</v>
      </c>
      <c r="I1845" s="18"/>
      <c r="J1845" s="16">
        <v>2025</v>
      </c>
      <c r="K1845" s="18" t="s">
        <v>6128</v>
      </c>
      <c r="L1845" s="16">
        <v>9785961426649</v>
      </c>
      <c r="M1845" s="18" t="s">
        <v>6129</v>
      </c>
      <c r="N1845" s="16">
        <v>422</v>
      </c>
      <c r="O1845" s="19">
        <v>0.76</v>
      </c>
      <c r="P1845" s="16">
        <v>168</v>
      </c>
      <c r="Q1845" s="16">
        <v>241</v>
      </c>
      <c r="R1845" s="16">
        <v>5</v>
      </c>
      <c r="S1845" s="18" t="s">
        <v>123</v>
      </c>
      <c r="T1845" s="18"/>
      <c r="U1845" s="17">
        <v>2000</v>
      </c>
      <c r="V1845" s="18" t="s">
        <v>77</v>
      </c>
      <c r="W1845" s="18" t="s">
        <v>69</v>
      </c>
      <c r="X1845" s="16">
        <v>10</v>
      </c>
      <c r="Y1845" s="43" t="str">
        <f>HYPERLINK("https://api-enni.alpina.ru/FilePrivilegesApproval/122","https://api-enni.alpina.ru/FilePrivilegesApproval/122")</f>
        <v>https://api-enni.alpina.ru/FilePrivilegesApproval/122</v>
      </c>
      <c r="Z1845" s="18"/>
      <c r="AS1845" s="1">
        <f>IF($A1845&lt;&gt;0,1,0)</f>
        <v>0</v>
      </c>
      <c r="AT1845" s="1">
        <f>$A1845*$B1845</f>
        <v>0</v>
      </c>
      <c r="AU1845" s="1">
        <f>$A1845*$O1845</f>
        <v>0</v>
      </c>
      <c r="AV1845" s="1">
        <f>IF($R1845=0,0,INT($A1845/$R1845))</f>
        <v>0</v>
      </c>
      <c r="AW1845" s="1">
        <f>$A1845-$AV1845*$R1845</f>
        <v>0</v>
      </c>
    </row>
    <row r="1846" ht="24.95" customHeight="1" outlineLevel="3" s="1" customFormat="1">
      <c r="A1846" s="15"/>
      <c r="B1846" s="16">
        <v>790</v>
      </c>
      <c r="C1846" s="17">
        <v>1146</v>
      </c>
      <c r="D1846" s="16">
        <v>17739</v>
      </c>
      <c r="E1846" s="18"/>
      <c r="F1846" s="18" t="s">
        <v>104</v>
      </c>
      <c r="G1846" s="18" t="s">
        <v>105</v>
      </c>
      <c r="H1846" s="18" t="s">
        <v>86</v>
      </c>
      <c r="I1846" s="18"/>
      <c r="J1846" s="16">
        <v>2025</v>
      </c>
      <c r="K1846" s="18" t="s">
        <v>580</v>
      </c>
      <c r="L1846" s="16">
        <v>9785961433180</v>
      </c>
      <c r="M1846" s="18" t="s">
        <v>581</v>
      </c>
      <c r="N1846" s="16">
        <v>240</v>
      </c>
      <c r="O1846" s="19">
        <v>0.4</v>
      </c>
      <c r="P1846" s="16">
        <v>146</v>
      </c>
      <c r="Q1846" s="16">
        <v>216</v>
      </c>
      <c r="R1846" s="16">
        <v>16</v>
      </c>
      <c r="S1846" s="18" t="s">
        <v>43</v>
      </c>
      <c r="T1846" s="18"/>
      <c r="U1846" s="17">
        <v>6000</v>
      </c>
      <c r="V1846" s="18" t="s">
        <v>77</v>
      </c>
      <c r="W1846" s="18" t="s">
        <v>55</v>
      </c>
      <c r="X1846" s="16">
        <v>10</v>
      </c>
      <c r="Y1846" s="43" t="str">
        <f>HYPERLINK("https://api-enni.alpina.ru/FilePrivilegesApproval/77","https://api-enni.alpina.ru/FilePrivilegesApproval/77")</f>
        <v>https://api-enni.alpina.ru/FilePrivilegesApproval/77</v>
      </c>
      <c r="Z1846" s="18"/>
      <c r="AS1846" s="1">
        <f>IF($A1846&lt;&gt;0,1,0)</f>
        <v>0</v>
      </c>
      <c r="AT1846" s="1">
        <f>$A1846*$B1846</f>
        <v>0</v>
      </c>
      <c r="AU1846" s="1">
        <f>$A1846*$O1846</f>
        <v>0</v>
      </c>
      <c r="AV1846" s="1">
        <f>IF($R1846=0,0,INT($A1846/$R1846))</f>
        <v>0</v>
      </c>
      <c r="AW1846" s="1">
        <f>$A1846-$AV1846*$R1846</f>
        <v>0</v>
      </c>
    </row>
    <row r="1847" ht="24.95" customHeight="1" outlineLevel="3" s="1" customFormat="1">
      <c r="A1847" s="15"/>
      <c r="B1847" s="16">
        <v>590</v>
      </c>
      <c r="C1847" s="16">
        <v>885</v>
      </c>
      <c r="D1847" s="16">
        <v>37415</v>
      </c>
      <c r="E1847" s="18"/>
      <c r="F1847" s="18" t="s">
        <v>104</v>
      </c>
      <c r="G1847" s="18" t="s">
        <v>105</v>
      </c>
      <c r="H1847" s="18" t="s">
        <v>86</v>
      </c>
      <c r="I1847" s="18"/>
      <c r="J1847" s="16">
        <v>2026</v>
      </c>
      <c r="K1847" s="18" t="s">
        <v>106</v>
      </c>
      <c r="L1847" s="16">
        <v>9785006320116</v>
      </c>
      <c r="M1847" s="18" t="s">
        <v>107</v>
      </c>
      <c r="N1847" s="16">
        <v>240</v>
      </c>
      <c r="O1847" s="19">
        <v>0.3</v>
      </c>
      <c r="P1847" s="16">
        <v>140</v>
      </c>
      <c r="Q1847" s="16">
        <v>210</v>
      </c>
      <c r="R1847" s="16">
        <v>18</v>
      </c>
      <c r="S1847" s="18" t="s">
        <v>43</v>
      </c>
      <c r="T1847" s="18"/>
      <c r="U1847" s="17">
        <v>3000</v>
      </c>
      <c r="V1847" s="18" t="s">
        <v>44</v>
      </c>
      <c r="W1847" s="18" t="s">
        <v>55</v>
      </c>
      <c r="X1847" s="16">
        <v>10</v>
      </c>
      <c r="Y1847" s="43" t="str">
        <f>HYPERLINK("https://api-enni.alpina.ru/FilePrivilegesApproval/1195","https://api-enni.alpina.ru/FilePrivilegesApproval/1195")</f>
        <v>https://api-enni.alpina.ru/FilePrivilegesApproval/1195</v>
      </c>
      <c r="Z1847" s="18" t="s">
        <v>108</v>
      </c>
      <c r="AS1847" s="1">
        <f>IF($A1847&lt;&gt;0,1,0)</f>
        <v>0</v>
      </c>
      <c r="AT1847" s="1">
        <f>$A1847*$B1847</f>
        <v>0</v>
      </c>
      <c r="AU1847" s="1">
        <f>$A1847*$O1847</f>
        <v>0</v>
      </c>
      <c r="AV1847" s="1">
        <f>IF($R1847=0,0,INT($A1847/$R1847))</f>
        <v>0</v>
      </c>
      <c r="AW1847" s="1">
        <f>$A1847-$AV1847*$R1847</f>
        <v>0</v>
      </c>
    </row>
    <row r="1848" ht="21.95" customHeight="1" outlineLevel="3" s="1" customFormat="1">
      <c r="A1848" s="15"/>
      <c r="B1848" s="16">
        <v>752</v>
      </c>
      <c r="C1848" s="17">
        <v>1090</v>
      </c>
      <c r="D1848" s="16">
        <v>30066</v>
      </c>
      <c r="E1848" s="18"/>
      <c r="F1848" s="18" t="s">
        <v>6130</v>
      </c>
      <c r="G1848" s="18" t="s">
        <v>6131</v>
      </c>
      <c r="H1848" s="18" t="s">
        <v>592</v>
      </c>
      <c r="I1848" s="18"/>
      <c r="J1848" s="16">
        <v>2024</v>
      </c>
      <c r="K1848" s="18" t="s">
        <v>6132</v>
      </c>
      <c r="L1848" s="16">
        <v>9786010927155</v>
      </c>
      <c r="M1848" s="18" t="s">
        <v>6133</v>
      </c>
      <c r="N1848" s="16">
        <v>128</v>
      </c>
      <c r="O1848" s="19">
        <v>0.36</v>
      </c>
      <c r="P1848" s="16">
        <v>170</v>
      </c>
      <c r="Q1848" s="16">
        <v>220</v>
      </c>
      <c r="R1848" s="16">
        <v>10</v>
      </c>
      <c r="S1848" s="18" t="s">
        <v>52</v>
      </c>
      <c r="T1848" s="18"/>
      <c r="U1848" s="17">
        <v>1005</v>
      </c>
      <c r="V1848" s="18" t="s">
        <v>77</v>
      </c>
      <c r="W1848" s="18" t="s">
        <v>69</v>
      </c>
      <c r="X1848" s="16">
        <v>22</v>
      </c>
      <c r="Y1848" s="43" t="str">
        <f>HYPERLINK("","")</f>
      </c>
      <c r="Z1848" s="18"/>
      <c r="AS1848" s="1">
        <f>IF($A1848&lt;&gt;0,1,0)</f>
        <v>0</v>
      </c>
      <c r="AT1848" s="1">
        <f>$A1848*$B1848</f>
        <v>0</v>
      </c>
      <c r="AU1848" s="1">
        <f>$A1848*$O1848</f>
        <v>0</v>
      </c>
      <c r="AV1848" s="1">
        <f>IF($R1848=0,0,INT($A1848/$R1848))</f>
        <v>0</v>
      </c>
      <c r="AW1848" s="1">
        <f>$A1848-$AV1848*$R1848</f>
        <v>0</v>
      </c>
    </row>
    <row r="1849" ht="24.95" customHeight="1" outlineLevel="3" s="1" customFormat="1">
      <c r="A1849" s="15"/>
      <c r="B1849" s="16">
        <v>940</v>
      </c>
      <c r="C1849" s="17">
        <v>1316</v>
      </c>
      <c r="D1849" s="16">
        <v>28063</v>
      </c>
      <c r="E1849" s="18"/>
      <c r="F1849" s="18" t="s">
        <v>6134</v>
      </c>
      <c r="G1849" s="18" t="s">
        <v>6135</v>
      </c>
      <c r="H1849" s="18" t="s">
        <v>95</v>
      </c>
      <c r="I1849" s="18"/>
      <c r="J1849" s="16">
        <v>2025</v>
      </c>
      <c r="K1849" s="18" t="s">
        <v>6136</v>
      </c>
      <c r="L1849" s="16">
        <v>9785206001914</v>
      </c>
      <c r="M1849" s="18" t="s">
        <v>6137</v>
      </c>
      <c r="N1849" s="16">
        <v>341</v>
      </c>
      <c r="O1849" s="19">
        <v>0.66</v>
      </c>
      <c r="P1849" s="16">
        <v>170</v>
      </c>
      <c r="Q1849" s="16">
        <v>240</v>
      </c>
      <c r="R1849" s="16">
        <v>5</v>
      </c>
      <c r="S1849" s="18" t="s">
        <v>123</v>
      </c>
      <c r="T1849" s="18"/>
      <c r="U1849" s="17">
        <v>5000</v>
      </c>
      <c r="V1849" s="18" t="s">
        <v>77</v>
      </c>
      <c r="W1849" s="18" t="s">
        <v>45</v>
      </c>
      <c r="X1849" s="16">
        <v>10</v>
      </c>
      <c r="Y1849" s="43" t="str">
        <f>HYPERLINK("https://api-enni.alpina.ru/FilePrivilegesApproval/237","https://api-enni.alpina.ru/FilePrivilegesApproval/237")</f>
        <v>https://api-enni.alpina.ru/FilePrivilegesApproval/237</v>
      </c>
      <c r="Z1849" s="18"/>
      <c r="AS1849" s="1">
        <f>IF($A1849&lt;&gt;0,1,0)</f>
        <v>0</v>
      </c>
      <c r="AT1849" s="1">
        <f>$A1849*$B1849</f>
        <v>0</v>
      </c>
      <c r="AU1849" s="1">
        <f>$A1849*$O1849</f>
        <v>0</v>
      </c>
      <c r="AV1849" s="1">
        <f>IF($R1849=0,0,INT($A1849/$R1849))</f>
        <v>0</v>
      </c>
      <c r="AW1849" s="1">
        <f>$A1849-$AV1849*$R1849</f>
        <v>0</v>
      </c>
    </row>
    <row r="1850" ht="24.95" customHeight="1" outlineLevel="3" s="1" customFormat="1">
      <c r="A1850" s="15"/>
      <c r="B1850" s="17">
        <v>1040</v>
      </c>
      <c r="C1850" s="17">
        <v>1404</v>
      </c>
      <c r="D1850" s="16">
        <v>26026</v>
      </c>
      <c r="E1850" s="18"/>
      <c r="F1850" s="18" t="s">
        <v>5862</v>
      </c>
      <c r="G1850" s="18" t="s">
        <v>6138</v>
      </c>
      <c r="H1850" s="18" t="s">
        <v>95</v>
      </c>
      <c r="I1850" s="18" t="s">
        <v>74</v>
      </c>
      <c r="J1850" s="16">
        <v>2025</v>
      </c>
      <c r="K1850" s="18" t="s">
        <v>6139</v>
      </c>
      <c r="L1850" s="16">
        <v>9785206000528</v>
      </c>
      <c r="M1850" s="18" t="s">
        <v>6140</v>
      </c>
      <c r="N1850" s="16">
        <v>329</v>
      </c>
      <c r="O1850" s="19">
        <v>0.6</v>
      </c>
      <c r="P1850" s="16">
        <v>170</v>
      </c>
      <c r="Q1850" s="16">
        <v>240</v>
      </c>
      <c r="R1850" s="16">
        <v>10</v>
      </c>
      <c r="S1850" s="18" t="s">
        <v>123</v>
      </c>
      <c r="T1850" s="18"/>
      <c r="U1850" s="17">
        <v>1000</v>
      </c>
      <c r="V1850" s="18" t="s">
        <v>77</v>
      </c>
      <c r="W1850" s="18" t="s">
        <v>91</v>
      </c>
      <c r="X1850" s="16">
        <v>10</v>
      </c>
      <c r="Y1850" s="43" t="str">
        <f>HYPERLINK("https://api-enni.alpina.ru/FilePrivilegesApproval/167","https://api-enni.alpina.ru/FilePrivilegesApproval/167")</f>
        <v>https://api-enni.alpina.ru/FilePrivilegesApproval/167</v>
      </c>
      <c r="Z1850" s="18"/>
      <c r="AS1850" s="1">
        <f>IF($A1850&lt;&gt;0,1,0)</f>
        <v>0</v>
      </c>
      <c r="AT1850" s="1">
        <f>$A1850*$B1850</f>
        <v>0</v>
      </c>
      <c r="AU1850" s="1">
        <f>$A1850*$O1850</f>
        <v>0</v>
      </c>
      <c r="AV1850" s="1">
        <f>IF($R1850=0,0,INT($A1850/$R1850))</f>
        <v>0</v>
      </c>
      <c r="AW1850" s="1">
        <f>$A1850-$AV1850*$R1850</f>
        <v>0</v>
      </c>
    </row>
    <row r="1851" ht="21.95" customHeight="1" outlineLevel="3" s="1" customFormat="1">
      <c r="A1851" s="15"/>
      <c r="B1851" s="16">
        <v>440</v>
      </c>
      <c r="C1851" s="16">
        <v>682</v>
      </c>
      <c r="D1851" s="16">
        <v>36441</v>
      </c>
      <c r="E1851" s="18"/>
      <c r="F1851" s="18" t="s">
        <v>343</v>
      </c>
      <c r="G1851" s="18" t="s">
        <v>344</v>
      </c>
      <c r="H1851" s="18" t="s">
        <v>86</v>
      </c>
      <c r="I1851" s="18" t="s">
        <v>74</v>
      </c>
      <c r="J1851" s="16">
        <v>2026</v>
      </c>
      <c r="K1851" s="18" t="s">
        <v>345</v>
      </c>
      <c r="L1851" s="16">
        <v>9785006317017</v>
      </c>
      <c r="M1851" s="18" t="s">
        <v>346</v>
      </c>
      <c r="N1851" s="16">
        <v>176</v>
      </c>
      <c r="O1851" s="19">
        <v>0.14</v>
      </c>
      <c r="P1851" s="16">
        <v>120</v>
      </c>
      <c r="Q1851" s="16">
        <v>170</v>
      </c>
      <c r="R1851" s="16">
        <v>24</v>
      </c>
      <c r="S1851" s="18" t="s">
        <v>190</v>
      </c>
      <c r="T1851" s="18" t="s">
        <v>347</v>
      </c>
      <c r="U1851" s="17">
        <v>3000</v>
      </c>
      <c r="V1851" s="18" t="s">
        <v>44</v>
      </c>
      <c r="W1851" s="18" t="s">
        <v>91</v>
      </c>
      <c r="X1851" s="16">
        <v>10</v>
      </c>
      <c r="Y1851" s="43" t="str">
        <f>HYPERLINK("","")</f>
      </c>
      <c r="Z1851" s="18" t="s">
        <v>144</v>
      </c>
      <c r="AS1851" s="1">
        <f>IF($A1851&lt;&gt;0,1,0)</f>
        <v>0</v>
      </c>
      <c r="AT1851" s="1">
        <f>$A1851*$B1851</f>
        <v>0</v>
      </c>
      <c r="AU1851" s="1">
        <f>$A1851*$O1851</f>
        <v>0</v>
      </c>
      <c r="AV1851" s="1">
        <f>IF($R1851=0,0,INT($A1851/$R1851))</f>
        <v>0</v>
      </c>
      <c r="AW1851" s="1">
        <f>$A1851-$AV1851*$R1851</f>
        <v>0</v>
      </c>
    </row>
    <row r="1852" ht="24.95" customHeight="1" outlineLevel="3" s="1" customFormat="1">
      <c r="A1852" s="15"/>
      <c r="B1852" s="16">
        <v>690</v>
      </c>
      <c r="C1852" s="17">
        <v>1035</v>
      </c>
      <c r="D1852" s="16">
        <v>26596</v>
      </c>
      <c r="E1852" s="18"/>
      <c r="F1852" s="18" t="s">
        <v>6141</v>
      </c>
      <c r="G1852" s="18" t="s">
        <v>6142</v>
      </c>
      <c r="H1852" s="18" t="s">
        <v>86</v>
      </c>
      <c r="I1852" s="18"/>
      <c r="J1852" s="16">
        <v>2026</v>
      </c>
      <c r="K1852" s="18" t="s">
        <v>6143</v>
      </c>
      <c r="L1852" s="16">
        <v>9785961482362</v>
      </c>
      <c r="M1852" s="18" t="s">
        <v>6144</v>
      </c>
      <c r="N1852" s="16">
        <v>352</v>
      </c>
      <c r="O1852" s="19">
        <v>0.43</v>
      </c>
      <c r="P1852" s="16">
        <v>150</v>
      </c>
      <c r="Q1852" s="16">
        <v>210</v>
      </c>
      <c r="R1852" s="16">
        <v>10</v>
      </c>
      <c r="S1852" s="18" t="s">
        <v>43</v>
      </c>
      <c r="T1852" s="18"/>
      <c r="U1852" s="17">
        <v>1000</v>
      </c>
      <c r="V1852" s="18" t="s">
        <v>44</v>
      </c>
      <c r="W1852" s="18" t="s">
        <v>91</v>
      </c>
      <c r="X1852" s="16">
        <v>10</v>
      </c>
      <c r="Y1852" s="43" t="str">
        <f>HYPERLINK("https://api-enni.alpina.ru/FilePrivilegesApproval/302","https://api-enni.alpina.ru/FilePrivilegesApproval/302")</f>
        <v>https://api-enni.alpina.ru/FilePrivilegesApproval/302</v>
      </c>
      <c r="Z1852" s="18"/>
      <c r="AS1852" s="1">
        <f>IF($A1852&lt;&gt;0,1,0)</f>
        <v>0</v>
      </c>
      <c r="AT1852" s="1">
        <f>$A1852*$B1852</f>
        <v>0</v>
      </c>
      <c r="AU1852" s="1">
        <f>$A1852*$O1852</f>
        <v>0</v>
      </c>
      <c r="AV1852" s="1">
        <f>IF($R1852=0,0,INT($A1852/$R1852))</f>
        <v>0</v>
      </c>
      <c r="AW1852" s="1">
        <f>$A1852-$AV1852*$R1852</f>
        <v>0</v>
      </c>
    </row>
    <row r="1853" ht="24.95" customHeight="1" outlineLevel="3" s="1" customFormat="1">
      <c r="A1853" s="15"/>
      <c r="B1853" s="16">
        <v>990</v>
      </c>
      <c r="C1853" s="17">
        <v>1386</v>
      </c>
      <c r="D1853" s="16">
        <v>25949</v>
      </c>
      <c r="E1853" s="18"/>
      <c r="F1853" s="18" t="s">
        <v>6145</v>
      </c>
      <c r="G1853" s="18" t="s">
        <v>6146</v>
      </c>
      <c r="H1853" s="18" t="s">
        <v>95</v>
      </c>
      <c r="I1853" s="18" t="s">
        <v>74</v>
      </c>
      <c r="J1853" s="16">
        <v>2022</v>
      </c>
      <c r="K1853" s="18" t="s">
        <v>6147</v>
      </c>
      <c r="L1853" s="16">
        <v>9785206000474</v>
      </c>
      <c r="M1853" s="18" t="s">
        <v>6148</v>
      </c>
      <c r="N1853" s="16">
        <v>197</v>
      </c>
      <c r="O1853" s="19">
        <v>0.4</v>
      </c>
      <c r="P1853" s="16">
        <v>168</v>
      </c>
      <c r="Q1853" s="16">
        <v>241</v>
      </c>
      <c r="R1853" s="16">
        <v>10</v>
      </c>
      <c r="S1853" s="18" t="s">
        <v>123</v>
      </c>
      <c r="T1853" s="18"/>
      <c r="U1853" s="17">
        <v>1500</v>
      </c>
      <c r="V1853" s="18" t="s">
        <v>77</v>
      </c>
      <c r="W1853" s="18" t="s">
        <v>91</v>
      </c>
      <c r="X1853" s="16">
        <v>10</v>
      </c>
      <c r="Y1853" s="43" t="str">
        <f>HYPERLINK("https://api-enni.alpina.ru/FilePrivilegesApproval/251","https://api-enni.alpina.ru/FilePrivilegesApproval/251")</f>
        <v>https://api-enni.alpina.ru/FilePrivilegesApproval/251</v>
      </c>
      <c r="Z1853" s="18"/>
      <c r="AS1853" s="1">
        <f>IF($A1853&lt;&gt;0,1,0)</f>
        <v>0</v>
      </c>
      <c r="AT1853" s="1">
        <f>$A1853*$B1853</f>
        <v>0</v>
      </c>
      <c r="AU1853" s="1">
        <f>$A1853*$O1853</f>
        <v>0</v>
      </c>
      <c r="AV1853" s="1">
        <f>IF($R1853=0,0,INT($A1853/$R1853))</f>
        <v>0</v>
      </c>
      <c r="AW1853" s="1">
        <f>$A1853-$AV1853*$R1853</f>
        <v>0</v>
      </c>
    </row>
    <row r="1854" ht="11.1" customHeight="1" outlineLevel="2">
      <c r="A1854" s="41" t="s">
        <v>6149</v>
      </c>
      <c r="B1854" s="41"/>
      <c r="C1854" s="41"/>
      <c r="D1854" s="41"/>
      <c r="E1854" s="41"/>
      <c r="F1854" s="41"/>
      <c r="G1854" s="41"/>
      <c r="H1854" s="41"/>
      <c r="I1854" s="41"/>
      <c r="J1854" s="41"/>
      <c r="K1854" s="41"/>
      <c r="L1854" s="41"/>
      <c r="M1854" s="41"/>
      <c r="N1854" s="41"/>
      <c r="O1854" s="41"/>
      <c r="P1854" s="41"/>
      <c r="Q1854" s="41"/>
      <c r="R1854" s="41"/>
      <c r="S1854" s="41"/>
      <c r="T1854" s="41"/>
      <c r="U1854" s="41"/>
      <c r="V1854" s="41"/>
      <c r="W1854" s="41"/>
      <c r="X1854" s="41"/>
      <c r="Y1854" s="41"/>
      <c r="Z1854" s="24"/>
    </row>
    <row r="1855" ht="24.95" customHeight="1" outlineLevel="3" s="1" customFormat="1">
      <c r="A1855" s="15"/>
      <c r="B1855" s="16">
        <v>890</v>
      </c>
      <c r="C1855" s="17">
        <v>1246</v>
      </c>
      <c r="D1855" s="16">
        <v>6709</v>
      </c>
      <c r="E1855" s="18"/>
      <c r="F1855" s="18" t="s">
        <v>6150</v>
      </c>
      <c r="G1855" s="18" t="s">
        <v>6151</v>
      </c>
      <c r="H1855" s="18" t="s">
        <v>95</v>
      </c>
      <c r="I1855" s="18"/>
      <c r="J1855" s="16">
        <v>2017</v>
      </c>
      <c r="K1855" s="18" t="s">
        <v>6152</v>
      </c>
      <c r="L1855" s="16">
        <v>9785990813342</v>
      </c>
      <c r="M1855" s="18" t="s">
        <v>6153</v>
      </c>
      <c r="N1855" s="16">
        <v>320</v>
      </c>
      <c r="O1855" s="19">
        <v>0.4</v>
      </c>
      <c r="P1855" s="16">
        <v>141</v>
      </c>
      <c r="Q1855" s="16">
        <v>210</v>
      </c>
      <c r="R1855" s="16">
        <v>10</v>
      </c>
      <c r="S1855" s="18" t="s">
        <v>43</v>
      </c>
      <c r="T1855" s="18"/>
      <c r="U1855" s="17">
        <v>1000</v>
      </c>
      <c r="V1855" s="18" t="s">
        <v>44</v>
      </c>
      <c r="W1855" s="18" t="s">
        <v>184</v>
      </c>
      <c r="X1855" s="16">
        <v>10</v>
      </c>
      <c r="Y1855" s="43" t="str">
        <f>HYPERLINK("","")</f>
      </c>
      <c r="Z1855" s="18"/>
      <c r="AS1855" s="1">
        <f>IF($A1855&lt;&gt;0,1,0)</f>
        <v>0</v>
      </c>
      <c r="AT1855" s="1">
        <f>$A1855*$B1855</f>
        <v>0</v>
      </c>
      <c r="AU1855" s="1">
        <f>$A1855*$O1855</f>
        <v>0</v>
      </c>
      <c r="AV1855" s="1">
        <f>IF($R1855=0,0,INT($A1855/$R1855))</f>
        <v>0</v>
      </c>
      <c r="AW1855" s="1">
        <f>$A1855-$AV1855*$R1855</f>
        <v>0</v>
      </c>
    </row>
    <row r="1856" ht="24.95" customHeight="1" outlineLevel="3" s="1" customFormat="1">
      <c r="A1856" s="15"/>
      <c r="B1856" s="16">
        <v>690</v>
      </c>
      <c r="C1856" s="17">
        <v>1035</v>
      </c>
      <c r="D1856" s="16">
        <v>25054</v>
      </c>
      <c r="E1856" s="18"/>
      <c r="F1856" s="18" t="s">
        <v>6154</v>
      </c>
      <c r="G1856" s="18" t="s">
        <v>6155</v>
      </c>
      <c r="H1856" s="18" t="s">
        <v>95</v>
      </c>
      <c r="I1856" s="18"/>
      <c r="J1856" s="16">
        <v>2022</v>
      </c>
      <c r="K1856" s="18" t="s">
        <v>6156</v>
      </c>
      <c r="L1856" s="16">
        <v>9785907534414</v>
      </c>
      <c r="M1856" s="18" t="s">
        <v>6157</v>
      </c>
      <c r="N1856" s="16">
        <v>116</v>
      </c>
      <c r="O1856" s="19">
        <v>0.26</v>
      </c>
      <c r="P1856" s="16">
        <v>146</v>
      </c>
      <c r="Q1856" s="16">
        <v>216</v>
      </c>
      <c r="R1856" s="16">
        <v>2</v>
      </c>
      <c r="S1856" s="18" t="s">
        <v>43</v>
      </c>
      <c r="T1856" s="18"/>
      <c r="U1856" s="17">
        <v>1510</v>
      </c>
      <c r="V1856" s="18" t="s">
        <v>77</v>
      </c>
      <c r="W1856" s="18" t="s">
        <v>91</v>
      </c>
      <c r="X1856" s="16">
        <v>10</v>
      </c>
      <c r="Y1856" s="43" t="str">
        <f>HYPERLINK("https://api-enni.alpina.ru/FilePrivilegesApproval/143","https://api-enni.alpina.ru/FilePrivilegesApproval/143")</f>
        <v>https://api-enni.alpina.ru/FilePrivilegesApproval/143</v>
      </c>
      <c r="Z1856" s="18"/>
      <c r="AS1856" s="1">
        <f>IF($A1856&lt;&gt;0,1,0)</f>
        <v>0</v>
      </c>
      <c r="AT1856" s="1">
        <f>$A1856*$B1856</f>
        <v>0</v>
      </c>
      <c r="AU1856" s="1">
        <f>$A1856*$O1856</f>
        <v>0</v>
      </c>
      <c r="AV1856" s="1">
        <f>IF($R1856=0,0,INT($A1856/$R1856))</f>
        <v>0</v>
      </c>
      <c r="AW1856" s="1">
        <f>$A1856-$AV1856*$R1856</f>
        <v>0</v>
      </c>
    </row>
    <row r="1857" ht="24.95" customHeight="1" outlineLevel="3" s="1" customFormat="1">
      <c r="A1857" s="15"/>
      <c r="B1857" s="16">
        <v>690</v>
      </c>
      <c r="C1857" s="17">
        <v>1035</v>
      </c>
      <c r="D1857" s="16">
        <v>25340</v>
      </c>
      <c r="E1857" s="18"/>
      <c r="F1857" s="18" t="s">
        <v>6158</v>
      </c>
      <c r="G1857" s="18" t="s">
        <v>6159</v>
      </c>
      <c r="H1857" s="18" t="s">
        <v>86</v>
      </c>
      <c r="I1857" s="18"/>
      <c r="J1857" s="16">
        <v>2023</v>
      </c>
      <c r="K1857" s="18" t="s">
        <v>6160</v>
      </c>
      <c r="L1857" s="16">
        <v>9785961477566</v>
      </c>
      <c r="M1857" s="18" t="s">
        <v>6161</v>
      </c>
      <c r="N1857" s="16">
        <v>400</v>
      </c>
      <c r="O1857" s="19">
        <v>0.57</v>
      </c>
      <c r="P1857" s="16">
        <v>140</v>
      </c>
      <c r="Q1857" s="16">
        <v>200</v>
      </c>
      <c r="R1857" s="16">
        <v>10</v>
      </c>
      <c r="S1857" s="18" t="s">
        <v>43</v>
      </c>
      <c r="T1857" s="18"/>
      <c r="U1857" s="17">
        <v>2000</v>
      </c>
      <c r="V1857" s="18" t="s">
        <v>44</v>
      </c>
      <c r="W1857" s="18" t="s">
        <v>69</v>
      </c>
      <c r="X1857" s="16">
        <v>10</v>
      </c>
      <c r="Y1857" s="43" t="str">
        <f>HYPERLINK("https://api-enni.alpina.ru/FilePrivilegesApproval/163","https://api-enni.alpina.ru/FilePrivilegesApproval/163")</f>
        <v>https://api-enni.alpina.ru/FilePrivilegesApproval/163</v>
      </c>
      <c r="Z1857" s="18"/>
      <c r="AS1857" s="1">
        <f>IF($A1857&lt;&gt;0,1,0)</f>
        <v>0</v>
      </c>
      <c r="AT1857" s="1">
        <f>$A1857*$B1857</f>
        <v>0</v>
      </c>
      <c r="AU1857" s="1">
        <f>$A1857*$O1857</f>
        <v>0</v>
      </c>
      <c r="AV1857" s="1">
        <f>IF($R1857=0,0,INT($A1857/$R1857))</f>
        <v>0</v>
      </c>
      <c r="AW1857" s="1">
        <f>$A1857-$AV1857*$R1857</f>
        <v>0</v>
      </c>
    </row>
    <row r="1858" ht="24.95" customHeight="1" outlineLevel="3" s="1" customFormat="1">
      <c r="A1858" s="15"/>
      <c r="B1858" s="17">
        <v>1290</v>
      </c>
      <c r="C1858" s="17">
        <v>1742</v>
      </c>
      <c r="D1858" s="16">
        <v>32243</v>
      </c>
      <c r="E1858" s="18"/>
      <c r="F1858" s="18" t="s">
        <v>6158</v>
      </c>
      <c r="G1858" s="18" t="s">
        <v>6159</v>
      </c>
      <c r="H1858" s="18" t="s">
        <v>86</v>
      </c>
      <c r="I1858" s="18"/>
      <c r="J1858" s="16">
        <v>2025</v>
      </c>
      <c r="K1858" s="18" t="s">
        <v>6162</v>
      </c>
      <c r="L1858" s="16">
        <v>9785006301702</v>
      </c>
      <c r="M1858" s="18" t="s">
        <v>6163</v>
      </c>
      <c r="N1858" s="16">
        <v>400</v>
      </c>
      <c r="O1858" s="19">
        <v>0.65</v>
      </c>
      <c r="P1858" s="16">
        <v>150</v>
      </c>
      <c r="Q1858" s="16">
        <v>210</v>
      </c>
      <c r="R1858" s="16">
        <v>8</v>
      </c>
      <c r="S1858" s="18" t="s">
        <v>43</v>
      </c>
      <c r="T1858" s="18"/>
      <c r="U1858" s="17">
        <v>1500</v>
      </c>
      <c r="V1858" s="18" t="s">
        <v>77</v>
      </c>
      <c r="W1858" s="18" t="s">
        <v>69</v>
      </c>
      <c r="X1858" s="16">
        <v>10</v>
      </c>
      <c r="Y1858" s="43" t="str">
        <f>HYPERLINK("https://api-enni.alpina.ru/FilePrivilegesApproval/163","https://api-enni.alpina.ru/FilePrivilegesApproval/163")</f>
        <v>https://api-enni.alpina.ru/FilePrivilegesApproval/163</v>
      </c>
      <c r="Z1858" s="18"/>
      <c r="AS1858" s="1">
        <f>IF($A1858&lt;&gt;0,1,0)</f>
        <v>0</v>
      </c>
      <c r="AT1858" s="1">
        <f>$A1858*$B1858</f>
        <v>0</v>
      </c>
      <c r="AU1858" s="1">
        <f>$A1858*$O1858</f>
        <v>0</v>
      </c>
      <c r="AV1858" s="1">
        <f>IF($R1858=0,0,INT($A1858/$R1858))</f>
        <v>0</v>
      </c>
      <c r="AW1858" s="1">
        <f>$A1858-$AV1858*$R1858</f>
        <v>0</v>
      </c>
    </row>
    <row r="1859" ht="15" customHeight="1" outlineLevel="1">
      <c r="A1859" s="40" t="s">
        <v>6164</v>
      </c>
      <c r="B1859" s="40"/>
      <c r="C1859" s="40"/>
      <c r="D1859" s="40"/>
      <c r="E1859" s="40"/>
      <c r="F1859" s="40"/>
      <c r="G1859" s="40"/>
      <c r="H1859" s="40"/>
      <c r="I1859" s="40"/>
      <c r="J1859" s="40"/>
      <c r="K1859" s="40"/>
      <c r="L1859" s="40"/>
      <c r="M1859" s="40"/>
      <c r="N1859" s="40"/>
      <c r="O1859" s="40"/>
      <c r="P1859" s="40"/>
      <c r="Q1859" s="40"/>
      <c r="R1859" s="40"/>
      <c r="S1859" s="40"/>
      <c r="T1859" s="40"/>
      <c r="U1859" s="40"/>
      <c r="V1859" s="40"/>
      <c r="W1859" s="40"/>
      <c r="X1859" s="40"/>
      <c r="Y1859" s="40"/>
      <c r="Z1859" s="23"/>
    </row>
    <row r="1860" ht="11.1" customHeight="1" outlineLevel="2">
      <c r="A1860" s="41" t="s">
        <v>6165</v>
      </c>
      <c r="B1860" s="41"/>
      <c r="C1860" s="41"/>
      <c r="D1860" s="41"/>
      <c r="E1860" s="41"/>
      <c r="F1860" s="41"/>
      <c r="G1860" s="41"/>
      <c r="H1860" s="41"/>
      <c r="I1860" s="41"/>
      <c r="J1860" s="41"/>
      <c r="K1860" s="41"/>
      <c r="L1860" s="41"/>
      <c r="M1860" s="41"/>
      <c r="N1860" s="41"/>
      <c r="O1860" s="41"/>
      <c r="P1860" s="41"/>
      <c r="Q1860" s="41"/>
      <c r="R1860" s="41"/>
      <c r="S1860" s="41"/>
      <c r="T1860" s="41"/>
      <c r="U1860" s="41"/>
      <c r="V1860" s="41"/>
      <c r="W1860" s="41"/>
      <c r="X1860" s="41"/>
      <c r="Y1860" s="41"/>
      <c r="Z1860" s="24"/>
    </row>
    <row r="1861" ht="24.95" customHeight="1" outlineLevel="3" s="1" customFormat="1">
      <c r="A1861" s="15"/>
      <c r="B1861" s="16">
        <v>990</v>
      </c>
      <c r="C1861" s="17">
        <v>1386</v>
      </c>
      <c r="D1861" s="16">
        <v>28512</v>
      </c>
      <c r="E1861" s="18"/>
      <c r="F1861" s="18" t="s">
        <v>1416</v>
      </c>
      <c r="G1861" s="18" t="s">
        <v>6166</v>
      </c>
      <c r="H1861" s="18" t="s">
        <v>86</v>
      </c>
      <c r="I1861" s="18"/>
      <c r="J1861" s="16">
        <v>2026</v>
      </c>
      <c r="K1861" s="18" t="s">
        <v>6167</v>
      </c>
      <c r="L1861" s="16">
        <v>9785961489200</v>
      </c>
      <c r="M1861" s="18" t="s">
        <v>6168</v>
      </c>
      <c r="N1861" s="16">
        <v>296</v>
      </c>
      <c r="O1861" s="19">
        <v>0.71</v>
      </c>
      <c r="P1861" s="16">
        <v>170</v>
      </c>
      <c r="Q1861" s="16">
        <v>220</v>
      </c>
      <c r="R1861" s="16">
        <v>6</v>
      </c>
      <c r="S1861" s="18" t="s">
        <v>52</v>
      </c>
      <c r="T1861" s="18"/>
      <c r="U1861" s="17">
        <v>2000</v>
      </c>
      <c r="V1861" s="18" t="s">
        <v>44</v>
      </c>
      <c r="W1861" s="18" t="s">
        <v>45</v>
      </c>
      <c r="X1861" s="16">
        <v>10</v>
      </c>
      <c r="Y1861" s="43" t="str">
        <f>HYPERLINK("https://api-enni.alpina.ru/FilePrivilegesApproval/132","https://api-enni.alpina.ru/FilePrivilegesApproval/132")</f>
        <v>https://api-enni.alpina.ru/FilePrivilegesApproval/132</v>
      </c>
      <c r="Z1861" s="18"/>
      <c r="AS1861" s="1">
        <f>IF($A1861&lt;&gt;0,1,0)</f>
        <v>0</v>
      </c>
      <c r="AT1861" s="1">
        <f>$A1861*$B1861</f>
        <v>0</v>
      </c>
      <c r="AU1861" s="1">
        <f>$A1861*$O1861</f>
        <v>0</v>
      </c>
      <c r="AV1861" s="1">
        <f>IF($R1861=0,0,INT($A1861/$R1861))</f>
        <v>0</v>
      </c>
      <c r="AW1861" s="1">
        <f>$A1861-$AV1861*$R1861</f>
        <v>0</v>
      </c>
    </row>
    <row r="1862" ht="24.95" customHeight="1" outlineLevel="3" s="1" customFormat="1">
      <c r="A1862" s="15"/>
      <c r="B1862" s="17">
        <v>2080</v>
      </c>
      <c r="C1862" s="17">
        <v>2704</v>
      </c>
      <c r="D1862" s="16">
        <v>27388</v>
      </c>
      <c r="E1862" s="18"/>
      <c r="F1862" s="18" t="s">
        <v>6169</v>
      </c>
      <c r="G1862" s="18" t="s">
        <v>6170</v>
      </c>
      <c r="H1862" s="18" t="s">
        <v>73</v>
      </c>
      <c r="I1862" s="18" t="s">
        <v>74</v>
      </c>
      <c r="J1862" s="16">
        <v>2026</v>
      </c>
      <c r="K1862" s="18" t="s">
        <v>6171</v>
      </c>
      <c r="L1862" s="16">
        <v>9785001399278</v>
      </c>
      <c r="M1862" s="18" t="s">
        <v>6172</v>
      </c>
      <c r="N1862" s="17">
        <v>1184</v>
      </c>
      <c r="O1862" s="19">
        <v>1.55</v>
      </c>
      <c r="P1862" s="16">
        <v>150</v>
      </c>
      <c r="Q1862" s="16">
        <v>220</v>
      </c>
      <c r="R1862" s="16">
        <v>4</v>
      </c>
      <c r="S1862" s="18" t="s">
        <v>43</v>
      </c>
      <c r="T1862" s="18"/>
      <c r="U1862" s="17">
        <v>3000</v>
      </c>
      <c r="V1862" s="18" t="s">
        <v>77</v>
      </c>
      <c r="W1862" s="18" t="s">
        <v>69</v>
      </c>
      <c r="X1862" s="16">
        <v>10</v>
      </c>
      <c r="Y1862" s="43" t="str">
        <f>HYPERLINK("https://api-enni.alpina.ru/FilePrivilegesApproval/975","https://api-enni.alpina.ru/FilePrivilegesApproval/975")</f>
        <v>https://api-enni.alpina.ru/FilePrivilegesApproval/975</v>
      </c>
      <c r="Z1862" s="18"/>
      <c r="AS1862" s="1">
        <f>IF($A1862&lt;&gt;0,1,0)</f>
        <v>0</v>
      </c>
      <c r="AT1862" s="1">
        <f>$A1862*$B1862</f>
        <v>0</v>
      </c>
      <c r="AU1862" s="1">
        <f>$A1862*$O1862</f>
        <v>0</v>
      </c>
      <c r="AV1862" s="1">
        <f>IF($R1862=0,0,INT($A1862/$R1862))</f>
        <v>0</v>
      </c>
      <c r="AW1862" s="1">
        <f>$A1862-$AV1862*$R1862</f>
        <v>0</v>
      </c>
    </row>
    <row r="1863" ht="21.95" customHeight="1" outlineLevel="3" s="1" customFormat="1">
      <c r="A1863" s="15"/>
      <c r="B1863" s="17">
        <v>2328</v>
      </c>
      <c r="C1863" s="17">
        <v>3026</v>
      </c>
      <c r="D1863" s="16">
        <v>31656</v>
      </c>
      <c r="E1863" s="18"/>
      <c r="F1863" s="18" t="s">
        <v>6173</v>
      </c>
      <c r="G1863" s="18" t="s">
        <v>6174</v>
      </c>
      <c r="H1863" s="18" t="s">
        <v>592</v>
      </c>
      <c r="I1863" s="18"/>
      <c r="J1863" s="16">
        <v>2025</v>
      </c>
      <c r="K1863" s="18" t="s">
        <v>6175</v>
      </c>
      <c r="L1863" s="16">
        <v>9786018224034</v>
      </c>
      <c r="M1863" s="18" t="s">
        <v>6176</v>
      </c>
      <c r="N1863" s="16">
        <v>880</v>
      </c>
      <c r="O1863" s="19">
        <v>1.57</v>
      </c>
      <c r="P1863" s="16">
        <v>180</v>
      </c>
      <c r="Q1863" s="16">
        <v>250</v>
      </c>
      <c r="R1863" s="16">
        <v>2</v>
      </c>
      <c r="S1863" s="18" t="s">
        <v>123</v>
      </c>
      <c r="T1863" s="18"/>
      <c r="U1863" s="17">
        <v>2000</v>
      </c>
      <c r="V1863" s="18" t="s">
        <v>54</v>
      </c>
      <c r="W1863" s="18" t="s">
        <v>91</v>
      </c>
      <c r="X1863" s="16">
        <v>22</v>
      </c>
      <c r="Y1863" s="43" t="str">
        <f>HYPERLINK("","")</f>
      </c>
      <c r="Z1863" s="18"/>
      <c r="AS1863" s="1">
        <f>IF($A1863&lt;&gt;0,1,0)</f>
        <v>0</v>
      </c>
      <c r="AT1863" s="1">
        <f>$A1863*$B1863</f>
        <v>0</v>
      </c>
      <c r="AU1863" s="1">
        <f>$A1863*$O1863</f>
        <v>0</v>
      </c>
      <c r="AV1863" s="1">
        <f>IF($R1863=0,0,INT($A1863/$R1863))</f>
        <v>0</v>
      </c>
      <c r="AW1863" s="1">
        <f>$A1863-$AV1863*$R1863</f>
        <v>0</v>
      </c>
    </row>
    <row r="1864" ht="24.95" customHeight="1" outlineLevel="3" s="1" customFormat="1">
      <c r="A1864" s="25"/>
      <c r="B1864" s="26">
        <v>520</v>
      </c>
      <c r="C1864" s="26">
        <v>806</v>
      </c>
      <c r="D1864" s="26">
        <v>11149</v>
      </c>
      <c r="E1864" s="27"/>
      <c r="F1864" s="27" t="s">
        <v>6177</v>
      </c>
      <c r="G1864" s="27" t="s">
        <v>6178</v>
      </c>
      <c r="H1864" s="27" t="s">
        <v>86</v>
      </c>
      <c r="I1864" s="27"/>
      <c r="J1864" s="26">
        <v>2020</v>
      </c>
      <c r="K1864" s="27" t="s">
        <v>6179</v>
      </c>
      <c r="L1864" s="26">
        <v>9785961415490</v>
      </c>
      <c r="M1864" s="27" t="s">
        <v>6180</v>
      </c>
      <c r="N1864" s="26">
        <v>132</v>
      </c>
      <c r="O1864" s="28">
        <v>0.26</v>
      </c>
      <c r="P1864" s="26">
        <v>163</v>
      </c>
      <c r="Q1864" s="26">
        <v>215</v>
      </c>
      <c r="R1864" s="26">
        <v>14</v>
      </c>
      <c r="S1864" s="27" t="s">
        <v>52</v>
      </c>
      <c r="T1864" s="27"/>
      <c r="U1864" s="29">
        <v>1500</v>
      </c>
      <c r="V1864" s="27" t="s">
        <v>44</v>
      </c>
      <c r="W1864" s="27" t="s">
        <v>69</v>
      </c>
      <c r="X1864" s="26">
        <v>10</v>
      </c>
      <c r="Y1864" s="45" t="str">
        <f>HYPERLINK("https://api-enni.alpina.ru/FilePrivilegesApproval/2","https://api-enni.alpina.ru/FilePrivilegesApproval/2")</f>
        <v>https://api-enni.alpina.ru/FilePrivilegesApproval/2</v>
      </c>
      <c r="Z1864" s="27"/>
      <c r="AS1864" s="1">
        <f>IF($A1864&lt;&gt;0,1,0)</f>
        <v>0</v>
      </c>
      <c r="AT1864" s="1">
        <f>$A1864*$B1864</f>
        <v>0</v>
      </c>
      <c r="AU1864" s="1">
        <f>$A1864*$O1864</f>
        <v>0</v>
      </c>
      <c r="AV1864" s="1">
        <f>IF($R1864=0,0,INT($A1864/$R1864))</f>
        <v>0</v>
      </c>
      <c r="AW1864" s="1">
        <f>$A1864-$AV1864*$R1864</f>
        <v>0</v>
      </c>
    </row>
    <row r="1865" ht="24.95" customHeight="1" outlineLevel="3" s="1" customFormat="1">
      <c r="A1865" s="15"/>
      <c r="B1865" s="16">
        <v>890</v>
      </c>
      <c r="C1865" s="17">
        <v>1246</v>
      </c>
      <c r="D1865" s="16">
        <v>17358</v>
      </c>
      <c r="E1865" s="18"/>
      <c r="F1865" s="18" t="s">
        <v>6181</v>
      </c>
      <c r="G1865" s="18" t="s">
        <v>6182</v>
      </c>
      <c r="H1865" s="18" t="s">
        <v>73</v>
      </c>
      <c r="I1865" s="18" t="s">
        <v>74</v>
      </c>
      <c r="J1865" s="16">
        <v>2026</v>
      </c>
      <c r="K1865" s="18" t="s">
        <v>6183</v>
      </c>
      <c r="L1865" s="16">
        <v>9785001393269</v>
      </c>
      <c r="M1865" s="18" t="s">
        <v>6184</v>
      </c>
      <c r="N1865" s="16">
        <v>314</v>
      </c>
      <c r="O1865" s="19">
        <v>0.46</v>
      </c>
      <c r="P1865" s="16">
        <v>150</v>
      </c>
      <c r="Q1865" s="16">
        <v>220</v>
      </c>
      <c r="R1865" s="16">
        <v>12</v>
      </c>
      <c r="S1865" s="18" t="s">
        <v>43</v>
      </c>
      <c r="T1865" s="18"/>
      <c r="U1865" s="17">
        <v>2000</v>
      </c>
      <c r="V1865" s="18" t="s">
        <v>77</v>
      </c>
      <c r="W1865" s="18" t="s">
        <v>91</v>
      </c>
      <c r="X1865" s="16">
        <v>10</v>
      </c>
      <c r="Y1865" s="43" t="str">
        <f>HYPERLINK("https://api-enni.alpina.ru/FilePrivilegesApproval/127","https://api-enni.alpina.ru/FilePrivilegesApproval/127")</f>
        <v>https://api-enni.alpina.ru/FilePrivilegesApproval/127</v>
      </c>
      <c r="Z1865" s="18" t="s">
        <v>545</v>
      </c>
      <c r="AS1865" s="1">
        <f>IF($A1865&lt;&gt;0,1,0)</f>
        <v>0</v>
      </c>
      <c r="AT1865" s="1">
        <f>$A1865*$B1865</f>
        <v>0</v>
      </c>
      <c r="AU1865" s="1">
        <f>$A1865*$O1865</f>
        <v>0</v>
      </c>
      <c r="AV1865" s="1">
        <f>IF($R1865=0,0,INT($A1865/$R1865))</f>
        <v>0</v>
      </c>
      <c r="AW1865" s="1">
        <f>$A1865-$AV1865*$R1865</f>
        <v>0</v>
      </c>
    </row>
    <row r="1866" ht="24.95" customHeight="1" outlineLevel="3" s="1" customFormat="1">
      <c r="A1866" s="15"/>
      <c r="B1866" s="16">
        <v>420</v>
      </c>
      <c r="C1866" s="16">
        <v>651</v>
      </c>
      <c r="D1866" s="16">
        <v>28520</v>
      </c>
      <c r="E1866" s="18"/>
      <c r="F1866" s="18" t="s">
        <v>6181</v>
      </c>
      <c r="G1866" s="18" t="s">
        <v>6185</v>
      </c>
      <c r="H1866" s="18" t="s">
        <v>73</v>
      </c>
      <c r="I1866" s="18" t="s">
        <v>74</v>
      </c>
      <c r="J1866" s="16">
        <v>2026</v>
      </c>
      <c r="K1866" s="18" t="s">
        <v>6186</v>
      </c>
      <c r="L1866" s="16">
        <v>9785002230150</v>
      </c>
      <c r="M1866" s="18" t="s">
        <v>6187</v>
      </c>
      <c r="N1866" s="16">
        <v>320</v>
      </c>
      <c r="O1866" s="19">
        <v>0.21</v>
      </c>
      <c r="P1866" s="16">
        <v>120</v>
      </c>
      <c r="Q1866" s="16">
        <v>170</v>
      </c>
      <c r="R1866" s="16">
        <v>20</v>
      </c>
      <c r="S1866" s="18" t="s">
        <v>190</v>
      </c>
      <c r="T1866" s="18" t="s">
        <v>2653</v>
      </c>
      <c r="U1866" s="17">
        <v>3000</v>
      </c>
      <c r="V1866" s="18" t="s">
        <v>44</v>
      </c>
      <c r="W1866" s="18" t="s">
        <v>91</v>
      </c>
      <c r="X1866" s="16">
        <v>10</v>
      </c>
      <c r="Y1866" s="43" t="str">
        <f>HYPERLINK("https://api-enni.alpina.ru/FilePrivilegesApproval/127","https://api-enni.alpina.ru/FilePrivilegesApproval/127")</f>
        <v>https://api-enni.alpina.ru/FilePrivilegesApproval/127</v>
      </c>
      <c r="Z1866" s="18"/>
      <c r="AS1866" s="1">
        <f>IF($A1866&lt;&gt;0,1,0)</f>
        <v>0</v>
      </c>
      <c r="AT1866" s="1">
        <f>$A1866*$B1866</f>
        <v>0</v>
      </c>
      <c r="AU1866" s="1">
        <f>$A1866*$O1866</f>
        <v>0</v>
      </c>
      <c r="AV1866" s="1">
        <f>IF($R1866=0,0,INT($A1866/$R1866))</f>
        <v>0</v>
      </c>
      <c r="AW1866" s="1">
        <f>$A1866-$AV1866*$R1866</f>
        <v>0</v>
      </c>
    </row>
    <row r="1867" ht="24.95" customHeight="1" outlineLevel="3" s="1" customFormat="1">
      <c r="A1867" s="15"/>
      <c r="B1867" s="16">
        <v>790</v>
      </c>
      <c r="C1867" s="17">
        <v>1146</v>
      </c>
      <c r="D1867" s="16">
        <v>31094</v>
      </c>
      <c r="E1867" s="18"/>
      <c r="F1867" s="18" t="s">
        <v>6188</v>
      </c>
      <c r="G1867" s="18" t="s">
        <v>6189</v>
      </c>
      <c r="H1867" s="18" t="s">
        <v>73</v>
      </c>
      <c r="I1867" s="18" t="s">
        <v>74</v>
      </c>
      <c r="J1867" s="16">
        <v>2026</v>
      </c>
      <c r="K1867" s="18" t="s">
        <v>6190</v>
      </c>
      <c r="L1867" s="16">
        <v>9785002233335</v>
      </c>
      <c r="M1867" s="18" t="s">
        <v>6191</v>
      </c>
      <c r="N1867" s="16">
        <v>344</v>
      </c>
      <c r="O1867" s="19">
        <v>0.33</v>
      </c>
      <c r="P1867" s="16">
        <v>140</v>
      </c>
      <c r="Q1867" s="16">
        <v>210</v>
      </c>
      <c r="R1867" s="16">
        <v>10</v>
      </c>
      <c r="S1867" s="18" t="s">
        <v>43</v>
      </c>
      <c r="T1867" s="18"/>
      <c r="U1867" s="17">
        <v>3000</v>
      </c>
      <c r="V1867" s="18" t="s">
        <v>44</v>
      </c>
      <c r="W1867" s="18" t="s">
        <v>45</v>
      </c>
      <c r="X1867" s="16">
        <v>10</v>
      </c>
      <c r="Y1867" s="43" t="str">
        <f>HYPERLINK("https://api-enni.alpina.ru/FilePrivilegesApproval/1091","https://api-enni.alpina.ru/FilePrivilegesApproval/1091")</f>
        <v>https://api-enni.alpina.ru/FilePrivilegesApproval/1091</v>
      </c>
      <c r="Z1867" s="18"/>
      <c r="AS1867" s="1">
        <f>IF($A1867&lt;&gt;0,1,0)</f>
        <v>0</v>
      </c>
      <c r="AT1867" s="1">
        <f>$A1867*$B1867</f>
        <v>0</v>
      </c>
      <c r="AU1867" s="1">
        <f>$A1867*$O1867</f>
        <v>0</v>
      </c>
      <c r="AV1867" s="1">
        <f>IF($R1867=0,0,INT($A1867/$R1867))</f>
        <v>0</v>
      </c>
      <c r="AW1867" s="1">
        <f>$A1867-$AV1867*$R1867</f>
        <v>0</v>
      </c>
    </row>
    <row r="1868" ht="24.95" customHeight="1" outlineLevel="3" s="1" customFormat="1">
      <c r="A1868" s="15"/>
      <c r="B1868" s="16">
        <v>890</v>
      </c>
      <c r="C1868" s="17">
        <v>1246</v>
      </c>
      <c r="D1868" s="16">
        <v>35115</v>
      </c>
      <c r="E1868" s="18"/>
      <c r="F1868" s="18" t="s">
        <v>6192</v>
      </c>
      <c r="G1868" s="18" t="s">
        <v>6193</v>
      </c>
      <c r="H1868" s="18" t="s">
        <v>73</v>
      </c>
      <c r="I1868" s="18" t="s">
        <v>74</v>
      </c>
      <c r="J1868" s="16">
        <v>2026</v>
      </c>
      <c r="K1868" s="18" t="s">
        <v>6194</v>
      </c>
      <c r="L1868" s="16">
        <v>9785002237456</v>
      </c>
      <c r="M1868" s="18" t="s">
        <v>6195</v>
      </c>
      <c r="N1868" s="16">
        <v>216</v>
      </c>
      <c r="O1868" s="19">
        <v>0.36</v>
      </c>
      <c r="P1868" s="16">
        <v>150</v>
      </c>
      <c r="Q1868" s="16">
        <v>220</v>
      </c>
      <c r="R1868" s="16">
        <v>16</v>
      </c>
      <c r="S1868" s="18" t="s">
        <v>43</v>
      </c>
      <c r="T1868" s="18"/>
      <c r="U1868" s="17">
        <v>2000</v>
      </c>
      <c r="V1868" s="18" t="s">
        <v>77</v>
      </c>
      <c r="W1868" s="18" t="s">
        <v>45</v>
      </c>
      <c r="X1868" s="16">
        <v>10</v>
      </c>
      <c r="Y1868" s="43" t="str">
        <f>HYPERLINK("https://api-enni.alpina.ru/FilePrivilegesApproval/1186","https://api-enni.alpina.ru/FilePrivilegesApproval/1186")</f>
        <v>https://api-enni.alpina.ru/FilePrivilegesApproval/1186</v>
      </c>
      <c r="Z1868" s="18"/>
      <c r="AS1868" s="1">
        <f>IF($A1868&lt;&gt;0,1,0)</f>
        <v>0</v>
      </c>
      <c r="AT1868" s="1">
        <f>$A1868*$B1868</f>
        <v>0</v>
      </c>
      <c r="AU1868" s="1">
        <f>$A1868*$O1868</f>
        <v>0</v>
      </c>
      <c r="AV1868" s="1">
        <f>IF($R1868=0,0,INT($A1868/$R1868))</f>
        <v>0</v>
      </c>
      <c r="AW1868" s="1">
        <f>$A1868-$AV1868*$R1868</f>
        <v>0</v>
      </c>
    </row>
    <row r="1869" ht="24.95" customHeight="1" outlineLevel="3" s="1" customFormat="1">
      <c r="A1869" s="15"/>
      <c r="B1869" s="16">
        <v>890</v>
      </c>
      <c r="C1869" s="17">
        <v>1246</v>
      </c>
      <c r="D1869" s="16">
        <v>32486</v>
      </c>
      <c r="E1869" s="18"/>
      <c r="F1869" s="18" t="s">
        <v>99</v>
      </c>
      <c r="G1869" s="18" t="s">
        <v>100</v>
      </c>
      <c r="H1869" s="18" t="s">
        <v>73</v>
      </c>
      <c r="I1869" s="18" t="s">
        <v>74</v>
      </c>
      <c r="J1869" s="16">
        <v>2026</v>
      </c>
      <c r="K1869" s="18" t="s">
        <v>101</v>
      </c>
      <c r="L1869" s="16">
        <v>9785916716818</v>
      </c>
      <c r="M1869" s="18" t="s">
        <v>102</v>
      </c>
      <c r="N1869" s="16">
        <v>220</v>
      </c>
      <c r="O1869" s="19">
        <v>0.28</v>
      </c>
      <c r="P1869" s="16">
        <v>140</v>
      </c>
      <c r="Q1869" s="16">
        <v>210</v>
      </c>
      <c r="R1869" s="16">
        <v>18</v>
      </c>
      <c r="S1869" s="18" t="s">
        <v>43</v>
      </c>
      <c r="T1869" s="18"/>
      <c r="U1869" s="17">
        <v>2000</v>
      </c>
      <c r="V1869" s="18" t="s">
        <v>44</v>
      </c>
      <c r="W1869" s="18" t="s">
        <v>69</v>
      </c>
      <c r="X1869" s="16">
        <v>10</v>
      </c>
      <c r="Y1869" s="43" t="str">
        <f>HYPERLINK("https://api-enni.alpina.ru/FilePrivilegesApproval/1145","https://api-enni.alpina.ru/FilePrivilegesApproval/1145")</f>
        <v>https://api-enni.alpina.ru/FilePrivilegesApproval/1145</v>
      </c>
      <c r="Z1869" s="18" t="s">
        <v>103</v>
      </c>
      <c r="AS1869" s="1">
        <f>IF($A1869&lt;&gt;0,1,0)</f>
        <v>0</v>
      </c>
      <c r="AT1869" s="1">
        <f>$A1869*$B1869</f>
        <v>0</v>
      </c>
      <c r="AU1869" s="1">
        <f>$A1869*$O1869</f>
        <v>0</v>
      </c>
      <c r="AV1869" s="1">
        <f>IF($R1869=0,0,INT($A1869/$R1869))</f>
        <v>0</v>
      </c>
      <c r="AW1869" s="1">
        <f>$A1869-$AV1869*$R1869</f>
        <v>0</v>
      </c>
    </row>
    <row r="1870" ht="24.95" customHeight="1" outlineLevel="3" s="1" customFormat="1">
      <c r="A1870" s="15"/>
      <c r="B1870" s="16">
        <v>450</v>
      </c>
      <c r="C1870" s="16">
        <v>698</v>
      </c>
      <c r="D1870" s="16">
        <v>12754</v>
      </c>
      <c r="E1870" s="18"/>
      <c r="F1870" s="18" t="s">
        <v>5379</v>
      </c>
      <c r="G1870" s="18" t="s">
        <v>6196</v>
      </c>
      <c r="H1870" s="18" t="s">
        <v>73</v>
      </c>
      <c r="I1870" s="18" t="s">
        <v>74</v>
      </c>
      <c r="J1870" s="16">
        <v>2026</v>
      </c>
      <c r="K1870" s="18" t="s">
        <v>6197</v>
      </c>
      <c r="L1870" s="16">
        <v>9785001391456</v>
      </c>
      <c r="M1870" s="18" t="s">
        <v>6198</v>
      </c>
      <c r="N1870" s="16">
        <v>436</v>
      </c>
      <c r="O1870" s="19">
        <v>0.28</v>
      </c>
      <c r="P1870" s="16">
        <v>115</v>
      </c>
      <c r="Q1870" s="16">
        <v>165</v>
      </c>
      <c r="R1870" s="16">
        <v>8</v>
      </c>
      <c r="S1870" s="18" t="s">
        <v>190</v>
      </c>
      <c r="T1870" s="18" t="s">
        <v>2653</v>
      </c>
      <c r="U1870" s="17">
        <v>3000</v>
      </c>
      <c r="V1870" s="18" t="s">
        <v>44</v>
      </c>
      <c r="W1870" s="18" t="s">
        <v>91</v>
      </c>
      <c r="X1870" s="16">
        <v>10</v>
      </c>
      <c r="Y1870" s="43" t="str">
        <f>HYPERLINK("https://api-enni.alpina.ru/FilePrivilegesApproval/131","https://api-enni.alpina.ru/FilePrivilegesApproval/131")</f>
        <v>https://api-enni.alpina.ru/FilePrivilegesApproval/131</v>
      </c>
      <c r="Z1870" s="18"/>
      <c r="AS1870" s="1">
        <f>IF($A1870&lt;&gt;0,1,0)</f>
        <v>0</v>
      </c>
      <c r="AT1870" s="1">
        <f>$A1870*$B1870</f>
        <v>0</v>
      </c>
      <c r="AU1870" s="1">
        <f>$A1870*$O1870</f>
        <v>0</v>
      </c>
      <c r="AV1870" s="1">
        <f>IF($R1870=0,0,INT($A1870/$R1870))</f>
        <v>0</v>
      </c>
      <c r="AW1870" s="1">
        <f>$A1870-$AV1870*$R1870</f>
        <v>0</v>
      </c>
    </row>
    <row r="1871" ht="21.95" customHeight="1" outlineLevel="3" s="1" customFormat="1">
      <c r="A1871" s="15"/>
      <c r="B1871" s="16">
        <v>600</v>
      </c>
      <c r="C1871" s="16">
        <v>900</v>
      </c>
      <c r="D1871" s="16">
        <v>30589</v>
      </c>
      <c r="E1871" s="18"/>
      <c r="F1871" s="18" t="s">
        <v>6199</v>
      </c>
      <c r="G1871" s="18" t="s">
        <v>6200</v>
      </c>
      <c r="H1871" s="18" t="s">
        <v>73</v>
      </c>
      <c r="I1871" s="18"/>
      <c r="J1871" s="16">
        <v>2025</v>
      </c>
      <c r="K1871" s="18" t="s">
        <v>6201</v>
      </c>
      <c r="L1871" s="16">
        <v>9785002232635</v>
      </c>
      <c r="M1871" s="18" t="s">
        <v>6202</v>
      </c>
      <c r="N1871" s="16">
        <v>272</v>
      </c>
      <c r="O1871" s="19">
        <v>0.22</v>
      </c>
      <c r="P1871" s="16">
        <v>120</v>
      </c>
      <c r="Q1871" s="16">
        <v>170</v>
      </c>
      <c r="R1871" s="16">
        <v>36</v>
      </c>
      <c r="S1871" s="18" t="s">
        <v>190</v>
      </c>
      <c r="T1871" s="18"/>
      <c r="U1871" s="17">
        <v>2000</v>
      </c>
      <c r="V1871" s="18" t="s">
        <v>44</v>
      </c>
      <c r="W1871" s="18" t="s">
        <v>45</v>
      </c>
      <c r="X1871" s="16">
        <v>22</v>
      </c>
      <c r="Y1871" s="43" t="str">
        <f>HYPERLINK("","")</f>
      </c>
      <c r="Z1871" s="18"/>
      <c r="AS1871" s="1">
        <f>IF($A1871&lt;&gt;0,1,0)</f>
        <v>0</v>
      </c>
      <c r="AT1871" s="1">
        <f>$A1871*$B1871</f>
        <v>0</v>
      </c>
      <c r="AU1871" s="1">
        <f>$A1871*$O1871</f>
        <v>0</v>
      </c>
      <c r="AV1871" s="1">
        <f>IF($R1871=0,0,INT($A1871/$R1871))</f>
        <v>0</v>
      </c>
      <c r="AW1871" s="1">
        <f>$A1871-$AV1871*$R1871</f>
        <v>0</v>
      </c>
    </row>
    <row r="1872" ht="24.95" customHeight="1" outlineLevel="3" s="1" customFormat="1">
      <c r="A1872" s="15"/>
      <c r="B1872" s="16">
        <v>790</v>
      </c>
      <c r="C1872" s="17">
        <v>1146</v>
      </c>
      <c r="D1872" s="16">
        <v>27192</v>
      </c>
      <c r="E1872" s="18"/>
      <c r="F1872" s="18" t="s">
        <v>6203</v>
      </c>
      <c r="G1872" s="18" t="s">
        <v>6204</v>
      </c>
      <c r="H1872" s="18" t="s">
        <v>73</v>
      </c>
      <c r="I1872" s="18" t="s">
        <v>74</v>
      </c>
      <c r="J1872" s="16">
        <v>2023</v>
      </c>
      <c r="K1872" s="18" t="s">
        <v>6205</v>
      </c>
      <c r="L1872" s="16">
        <v>9785001398974</v>
      </c>
      <c r="M1872" s="18" t="s">
        <v>6206</v>
      </c>
      <c r="N1872" s="16">
        <v>368</v>
      </c>
      <c r="O1872" s="19">
        <v>0.45</v>
      </c>
      <c r="P1872" s="16">
        <v>130</v>
      </c>
      <c r="Q1872" s="16">
        <v>210</v>
      </c>
      <c r="R1872" s="16">
        <v>12</v>
      </c>
      <c r="S1872" s="18" t="s">
        <v>90</v>
      </c>
      <c r="T1872" s="18"/>
      <c r="U1872" s="17">
        <v>3000</v>
      </c>
      <c r="V1872" s="18" t="s">
        <v>77</v>
      </c>
      <c r="W1872" s="18" t="s">
        <v>91</v>
      </c>
      <c r="X1872" s="16">
        <v>10</v>
      </c>
      <c r="Y1872" s="43" t="str">
        <f>HYPERLINK("https://api-enni.alpina.ru/FilePrivilegesApproval/575","https://api-enni.alpina.ru/FilePrivilegesApproval/575")</f>
        <v>https://api-enni.alpina.ru/FilePrivilegesApproval/575</v>
      </c>
      <c r="Z1872" s="18"/>
      <c r="AS1872" s="1">
        <f>IF($A1872&lt;&gt;0,1,0)</f>
        <v>0</v>
      </c>
      <c r="AT1872" s="1">
        <f>$A1872*$B1872</f>
        <v>0</v>
      </c>
      <c r="AU1872" s="1">
        <f>$A1872*$O1872</f>
        <v>0</v>
      </c>
      <c r="AV1872" s="1">
        <f>IF($R1872=0,0,INT($A1872/$R1872))</f>
        <v>0</v>
      </c>
      <c r="AW1872" s="1">
        <f>$A1872-$AV1872*$R1872</f>
        <v>0</v>
      </c>
    </row>
    <row r="1873" ht="24.95" customHeight="1" outlineLevel="3" s="1" customFormat="1">
      <c r="A1873" s="15"/>
      <c r="B1873" s="16">
        <v>740</v>
      </c>
      <c r="C1873" s="17">
        <v>1073</v>
      </c>
      <c r="D1873" s="16">
        <v>29730</v>
      </c>
      <c r="E1873" s="18"/>
      <c r="F1873" s="18" t="s">
        <v>6207</v>
      </c>
      <c r="G1873" s="18" t="s">
        <v>6208</v>
      </c>
      <c r="H1873" s="18" t="s">
        <v>73</v>
      </c>
      <c r="I1873" s="18"/>
      <c r="J1873" s="16">
        <v>2025</v>
      </c>
      <c r="K1873" s="18" t="s">
        <v>6209</v>
      </c>
      <c r="L1873" s="16">
        <v>9785002231737</v>
      </c>
      <c r="M1873" s="18" t="s">
        <v>6210</v>
      </c>
      <c r="N1873" s="16">
        <v>318</v>
      </c>
      <c r="O1873" s="19">
        <v>0.31</v>
      </c>
      <c r="P1873" s="16">
        <v>120</v>
      </c>
      <c r="Q1873" s="16">
        <v>170</v>
      </c>
      <c r="R1873" s="16">
        <v>12</v>
      </c>
      <c r="S1873" s="18" t="s">
        <v>190</v>
      </c>
      <c r="T1873" s="18"/>
      <c r="U1873" s="17">
        <v>1500</v>
      </c>
      <c r="V1873" s="18" t="s">
        <v>77</v>
      </c>
      <c r="W1873" s="18" t="s">
        <v>69</v>
      </c>
      <c r="X1873" s="16">
        <v>10</v>
      </c>
      <c r="Y1873" s="43" t="str">
        <f>HYPERLINK("https://api-enni.alpina.ru/FilePrivilegesApproval/861","https://api-enni.alpina.ru/FilePrivilegesApproval/861")</f>
        <v>https://api-enni.alpina.ru/FilePrivilegesApproval/861</v>
      </c>
      <c r="Z1873" s="18"/>
      <c r="AS1873" s="1">
        <f>IF($A1873&lt;&gt;0,1,0)</f>
        <v>0</v>
      </c>
      <c r="AT1873" s="1">
        <f>$A1873*$B1873</f>
        <v>0</v>
      </c>
      <c r="AU1873" s="1">
        <f>$A1873*$O1873</f>
        <v>0</v>
      </c>
      <c r="AV1873" s="1">
        <f>IF($R1873=0,0,INT($A1873/$R1873))</f>
        <v>0</v>
      </c>
      <c r="AW1873" s="1">
        <f>$A1873-$AV1873*$R1873</f>
        <v>0</v>
      </c>
    </row>
    <row r="1874" ht="21.95" customHeight="1" outlineLevel="3" s="1" customFormat="1">
      <c r="A1874" s="15"/>
      <c r="B1874" s="16">
        <v>956</v>
      </c>
      <c r="C1874" s="17">
        <v>1338</v>
      </c>
      <c r="D1874" s="16">
        <v>19452</v>
      </c>
      <c r="E1874" s="18"/>
      <c r="F1874" s="18" t="s">
        <v>6211</v>
      </c>
      <c r="G1874" s="18" t="s">
        <v>6212</v>
      </c>
      <c r="H1874" s="18" t="s">
        <v>95</v>
      </c>
      <c r="I1874" s="18"/>
      <c r="J1874" s="16">
        <v>2022</v>
      </c>
      <c r="K1874" s="18" t="s">
        <v>6213</v>
      </c>
      <c r="L1874" s="16">
        <v>9785907534407</v>
      </c>
      <c r="M1874" s="18" t="s">
        <v>6214</v>
      </c>
      <c r="N1874" s="16">
        <v>336</v>
      </c>
      <c r="O1874" s="19">
        <v>0.42</v>
      </c>
      <c r="P1874" s="16">
        <v>141</v>
      </c>
      <c r="Q1874" s="16">
        <v>210</v>
      </c>
      <c r="R1874" s="16">
        <v>10</v>
      </c>
      <c r="S1874" s="18" t="s">
        <v>43</v>
      </c>
      <c r="T1874" s="18"/>
      <c r="U1874" s="17">
        <v>3500</v>
      </c>
      <c r="V1874" s="18" t="s">
        <v>44</v>
      </c>
      <c r="W1874" s="18" t="s">
        <v>91</v>
      </c>
      <c r="X1874" s="16">
        <v>22</v>
      </c>
      <c r="Y1874" s="43" t="str">
        <f>HYPERLINK("","")</f>
      </c>
      <c r="Z1874" s="18"/>
      <c r="AS1874" s="1">
        <f>IF($A1874&lt;&gt;0,1,0)</f>
        <v>0</v>
      </c>
      <c r="AT1874" s="1">
        <f>$A1874*$B1874</f>
        <v>0</v>
      </c>
      <c r="AU1874" s="1">
        <f>$A1874*$O1874</f>
        <v>0</v>
      </c>
      <c r="AV1874" s="1">
        <f>IF($R1874=0,0,INT($A1874/$R1874))</f>
        <v>0</v>
      </c>
      <c r="AW1874" s="1">
        <f>$A1874-$AV1874*$R1874</f>
        <v>0</v>
      </c>
    </row>
    <row r="1875" ht="21.95" customHeight="1" outlineLevel="3" s="1" customFormat="1">
      <c r="A1875" s="15"/>
      <c r="B1875" s="17">
        <v>1000</v>
      </c>
      <c r="C1875" s="17">
        <v>1400</v>
      </c>
      <c r="D1875" s="16">
        <v>17169</v>
      </c>
      <c r="E1875" s="18"/>
      <c r="F1875" s="18" t="s">
        <v>618</v>
      </c>
      <c r="G1875" s="18" t="s">
        <v>619</v>
      </c>
      <c r="H1875" s="18" t="s">
        <v>73</v>
      </c>
      <c r="I1875" s="18" t="s">
        <v>74</v>
      </c>
      <c r="J1875" s="16">
        <v>2026</v>
      </c>
      <c r="K1875" s="18" t="s">
        <v>620</v>
      </c>
      <c r="L1875" s="16">
        <v>9785001392279</v>
      </c>
      <c r="M1875" s="18" t="s">
        <v>621</v>
      </c>
      <c r="N1875" s="16">
        <v>430</v>
      </c>
      <c r="O1875" s="19">
        <v>0.6</v>
      </c>
      <c r="P1875" s="16">
        <v>146</v>
      </c>
      <c r="Q1875" s="16">
        <v>216</v>
      </c>
      <c r="R1875" s="16">
        <v>5</v>
      </c>
      <c r="S1875" s="18" t="s">
        <v>43</v>
      </c>
      <c r="T1875" s="18"/>
      <c r="U1875" s="17">
        <v>1000</v>
      </c>
      <c r="V1875" s="18" t="s">
        <v>77</v>
      </c>
      <c r="W1875" s="18" t="s">
        <v>69</v>
      </c>
      <c r="X1875" s="16">
        <v>10</v>
      </c>
      <c r="Y1875" s="43" t="str">
        <f>HYPERLINK("","")</f>
      </c>
      <c r="Z1875" s="18" t="s">
        <v>119</v>
      </c>
      <c r="AS1875" s="1">
        <f>IF($A1875&lt;&gt;0,1,0)</f>
        <v>0</v>
      </c>
      <c r="AT1875" s="1">
        <f>$A1875*$B1875</f>
        <v>0</v>
      </c>
      <c r="AU1875" s="1">
        <f>$A1875*$O1875</f>
        <v>0</v>
      </c>
      <c r="AV1875" s="1">
        <f>IF($R1875=0,0,INT($A1875/$R1875))</f>
        <v>0</v>
      </c>
      <c r="AW1875" s="1">
        <f>$A1875-$AV1875*$R1875</f>
        <v>0</v>
      </c>
    </row>
    <row r="1876" ht="24.95" customHeight="1" outlineLevel="3" s="1" customFormat="1">
      <c r="A1876" s="15"/>
      <c r="B1876" s="17">
        <v>1100</v>
      </c>
      <c r="C1876" s="17">
        <v>1485</v>
      </c>
      <c r="D1876" s="16">
        <v>32397</v>
      </c>
      <c r="E1876" s="18"/>
      <c r="F1876" s="18" t="s">
        <v>5379</v>
      </c>
      <c r="G1876" s="18" t="s">
        <v>6215</v>
      </c>
      <c r="H1876" s="18" t="s">
        <v>73</v>
      </c>
      <c r="I1876" s="18" t="s">
        <v>74</v>
      </c>
      <c r="J1876" s="16">
        <v>2026</v>
      </c>
      <c r="K1876" s="18" t="s">
        <v>6216</v>
      </c>
      <c r="L1876" s="16">
        <v>9785002234998</v>
      </c>
      <c r="M1876" s="18" t="s">
        <v>6217</v>
      </c>
      <c r="N1876" s="16">
        <v>456</v>
      </c>
      <c r="O1876" s="19">
        <v>0.83</v>
      </c>
      <c r="P1876" s="16">
        <v>170</v>
      </c>
      <c r="Q1876" s="16">
        <v>240</v>
      </c>
      <c r="R1876" s="16">
        <v>5</v>
      </c>
      <c r="S1876" s="18" t="s">
        <v>123</v>
      </c>
      <c r="T1876" s="18"/>
      <c r="U1876" s="17">
        <v>4000</v>
      </c>
      <c r="V1876" s="18" t="s">
        <v>77</v>
      </c>
      <c r="W1876" s="18" t="s">
        <v>69</v>
      </c>
      <c r="X1876" s="16">
        <v>10</v>
      </c>
      <c r="Y1876" s="43" t="str">
        <f>HYPERLINK("https://api-enni.alpina.ru/FilePrivilegesApproval/1058","https://api-enni.alpina.ru/FilePrivilegesApproval/1058")</f>
        <v>https://api-enni.alpina.ru/FilePrivilegesApproval/1058</v>
      </c>
      <c r="Z1876" s="18"/>
      <c r="AS1876" s="1">
        <f>IF($A1876&lt;&gt;0,1,0)</f>
        <v>0</v>
      </c>
      <c r="AT1876" s="1">
        <f>$A1876*$B1876</f>
        <v>0</v>
      </c>
      <c r="AU1876" s="1">
        <f>$A1876*$O1876</f>
        <v>0</v>
      </c>
      <c r="AV1876" s="1">
        <f>IF($R1876=0,0,INT($A1876/$R1876))</f>
        <v>0</v>
      </c>
      <c r="AW1876" s="1">
        <f>$A1876-$AV1876*$R1876</f>
        <v>0</v>
      </c>
    </row>
    <row r="1877" ht="24.95" customHeight="1" outlineLevel="3" s="1" customFormat="1">
      <c r="A1877" s="15"/>
      <c r="B1877" s="16">
        <v>890</v>
      </c>
      <c r="C1877" s="17">
        <v>1246</v>
      </c>
      <c r="D1877" s="16">
        <v>17156</v>
      </c>
      <c r="E1877" s="18"/>
      <c r="F1877" s="18" t="s">
        <v>6218</v>
      </c>
      <c r="G1877" s="18" t="s">
        <v>6219</v>
      </c>
      <c r="H1877" s="18" t="s">
        <v>73</v>
      </c>
      <c r="I1877" s="18" t="s">
        <v>74</v>
      </c>
      <c r="J1877" s="16">
        <v>2010</v>
      </c>
      <c r="K1877" s="18" t="s">
        <v>6220</v>
      </c>
      <c r="L1877" s="16">
        <v>9785001392132</v>
      </c>
      <c r="M1877" s="18" t="s">
        <v>6221</v>
      </c>
      <c r="N1877" s="16">
        <v>179</v>
      </c>
      <c r="O1877" s="19">
        <v>0.31</v>
      </c>
      <c r="P1877" s="16">
        <v>150</v>
      </c>
      <c r="Q1877" s="16">
        <v>220</v>
      </c>
      <c r="R1877" s="16">
        <v>8</v>
      </c>
      <c r="S1877" s="18" t="s">
        <v>43</v>
      </c>
      <c r="T1877" s="18"/>
      <c r="U1877" s="17">
        <v>1000</v>
      </c>
      <c r="V1877" s="18" t="s">
        <v>77</v>
      </c>
      <c r="W1877" s="18" t="s">
        <v>91</v>
      </c>
      <c r="X1877" s="16">
        <v>10</v>
      </c>
      <c r="Y1877" s="43" t="str">
        <f>HYPERLINK("https://api-enni.alpina.ru/FilePrivilegesApproval/254","https://api-enni.alpina.ru/FilePrivilegesApproval/254")</f>
        <v>https://api-enni.alpina.ru/FilePrivilegesApproval/254</v>
      </c>
      <c r="Z1877" s="18"/>
      <c r="AS1877" s="1">
        <f>IF($A1877&lt;&gt;0,1,0)</f>
        <v>0</v>
      </c>
      <c r="AT1877" s="1">
        <f>$A1877*$B1877</f>
        <v>0</v>
      </c>
      <c r="AU1877" s="1">
        <f>$A1877*$O1877</f>
        <v>0</v>
      </c>
      <c r="AV1877" s="1">
        <f>IF($R1877=0,0,INT($A1877/$R1877))</f>
        <v>0</v>
      </c>
      <c r="AW1877" s="1">
        <f>$A1877-$AV1877*$R1877</f>
        <v>0</v>
      </c>
    </row>
    <row r="1878" ht="24.95" customHeight="1" outlineLevel="3" s="1" customFormat="1">
      <c r="A1878" s="15"/>
      <c r="B1878" s="16">
        <v>690</v>
      </c>
      <c r="C1878" s="17">
        <v>1035</v>
      </c>
      <c r="D1878" s="16">
        <v>31781</v>
      </c>
      <c r="E1878" s="18"/>
      <c r="F1878" s="18" t="s">
        <v>6222</v>
      </c>
      <c r="G1878" s="18" t="s">
        <v>6223</v>
      </c>
      <c r="H1878" s="18" t="s">
        <v>73</v>
      </c>
      <c r="I1878" s="18"/>
      <c r="J1878" s="16">
        <v>2025</v>
      </c>
      <c r="K1878" s="18" t="s">
        <v>6224</v>
      </c>
      <c r="L1878" s="16">
        <v>9785002234226</v>
      </c>
      <c r="M1878" s="18" t="s">
        <v>6225</v>
      </c>
      <c r="N1878" s="16">
        <v>256</v>
      </c>
      <c r="O1878" s="19">
        <v>0.23</v>
      </c>
      <c r="P1878" s="16">
        <v>130</v>
      </c>
      <c r="Q1878" s="16">
        <v>200</v>
      </c>
      <c r="R1878" s="16">
        <v>20</v>
      </c>
      <c r="S1878" s="18" t="s">
        <v>90</v>
      </c>
      <c r="T1878" s="18"/>
      <c r="U1878" s="17">
        <v>1500</v>
      </c>
      <c r="V1878" s="18" t="s">
        <v>44</v>
      </c>
      <c r="W1878" s="18" t="s">
        <v>91</v>
      </c>
      <c r="X1878" s="16">
        <v>10</v>
      </c>
      <c r="Y1878" s="43" t="str">
        <f>HYPERLINK("https://api-enni.alpina.ru/FilePrivilegesApproval/991","https://api-enni.alpina.ru/FilePrivilegesApproval/991")</f>
        <v>https://api-enni.alpina.ru/FilePrivilegesApproval/991</v>
      </c>
      <c r="Z1878" s="18"/>
      <c r="AS1878" s="1">
        <f>IF($A1878&lt;&gt;0,1,0)</f>
        <v>0</v>
      </c>
      <c r="AT1878" s="1">
        <f>$A1878*$B1878</f>
        <v>0</v>
      </c>
      <c r="AU1878" s="1">
        <f>$A1878*$O1878</f>
        <v>0</v>
      </c>
      <c r="AV1878" s="1">
        <f>IF($R1878=0,0,INT($A1878/$R1878))</f>
        <v>0</v>
      </c>
      <c r="AW1878" s="1">
        <f>$A1878-$AV1878*$R1878</f>
        <v>0</v>
      </c>
    </row>
    <row r="1879" ht="24.95" customHeight="1" outlineLevel="3" s="1" customFormat="1">
      <c r="A1879" s="15"/>
      <c r="B1879" s="16">
        <v>740</v>
      </c>
      <c r="C1879" s="17">
        <v>1073</v>
      </c>
      <c r="D1879" s="16">
        <v>34019</v>
      </c>
      <c r="E1879" s="18"/>
      <c r="F1879" s="18" t="s">
        <v>186</v>
      </c>
      <c r="G1879" s="18" t="s">
        <v>187</v>
      </c>
      <c r="H1879" s="18" t="s">
        <v>73</v>
      </c>
      <c r="I1879" s="18" t="s">
        <v>74</v>
      </c>
      <c r="J1879" s="16">
        <v>2026</v>
      </c>
      <c r="K1879" s="18" t="s">
        <v>188</v>
      </c>
      <c r="L1879" s="16">
        <v>9785002236145</v>
      </c>
      <c r="M1879" s="18" t="s">
        <v>189</v>
      </c>
      <c r="N1879" s="16">
        <v>384</v>
      </c>
      <c r="O1879" s="19">
        <v>0.3</v>
      </c>
      <c r="P1879" s="16">
        <v>120</v>
      </c>
      <c r="Q1879" s="16">
        <v>170</v>
      </c>
      <c r="R1879" s="16">
        <v>12</v>
      </c>
      <c r="S1879" s="18" t="s">
        <v>190</v>
      </c>
      <c r="T1879" s="18"/>
      <c r="U1879" s="17">
        <v>2000</v>
      </c>
      <c r="V1879" s="18" t="s">
        <v>44</v>
      </c>
      <c r="W1879" s="18" t="s">
        <v>69</v>
      </c>
      <c r="X1879" s="16">
        <v>10</v>
      </c>
      <c r="Y1879" s="43" t="str">
        <f>HYPERLINK("https://api-enni.alpina.ru/FilePrivilegesApproval/1191","https://api-enni.alpina.ru/FilePrivilegesApproval/1191")</f>
        <v>https://api-enni.alpina.ru/FilePrivilegesApproval/1191</v>
      </c>
      <c r="Z1879" s="18" t="s">
        <v>135</v>
      </c>
      <c r="AS1879" s="1">
        <f>IF($A1879&lt;&gt;0,1,0)</f>
        <v>0</v>
      </c>
      <c r="AT1879" s="1">
        <f>$A1879*$B1879</f>
        <v>0</v>
      </c>
      <c r="AU1879" s="1">
        <f>$A1879*$O1879</f>
        <v>0</v>
      </c>
      <c r="AV1879" s="1">
        <f>IF($R1879=0,0,INT($A1879/$R1879))</f>
        <v>0</v>
      </c>
      <c r="AW1879" s="1">
        <f>$A1879-$AV1879*$R1879</f>
        <v>0</v>
      </c>
    </row>
    <row r="1880" ht="24.95" customHeight="1" outlineLevel="3" s="1" customFormat="1">
      <c r="A1880" s="15"/>
      <c r="B1880" s="17">
        <v>1098</v>
      </c>
      <c r="C1880" s="17">
        <v>1482</v>
      </c>
      <c r="D1880" s="16">
        <v>27384</v>
      </c>
      <c r="E1880" s="18"/>
      <c r="F1880" s="18" t="s">
        <v>6226</v>
      </c>
      <c r="G1880" s="18" t="s">
        <v>6227</v>
      </c>
      <c r="H1880" s="18" t="s">
        <v>95</v>
      </c>
      <c r="I1880" s="18"/>
      <c r="J1880" s="16">
        <v>2023</v>
      </c>
      <c r="K1880" s="18" t="s">
        <v>6228</v>
      </c>
      <c r="L1880" s="16">
        <v>9785206001518</v>
      </c>
      <c r="M1880" s="18" t="s">
        <v>6229</v>
      </c>
      <c r="N1880" s="16">
        <v>384</v>
      </c>
      <c r="O1880" s="19">
        <v>0.79</v>
      </c>
      <c r="P1880" s="16">
        <v>170</v>
      </c>
      <c r="Q1880" s="16">
        <v>240</v>
      </c>
      <c r="R1880" s="16">
        <v>5</v>
      </c>
      <c r="S1880" s="18" t="s">
        <v>123</v>
      </c>
      <c r="T1880" s="18"/>
      <c r="U1880" s="17">
        <v>2010</v>
      </c>
      <c r="V1880" s="18" t="s">
        <v>44</v>
      </c>
      <c r="W1880" s="18" t="s">
        <v>45</v>
      </c>
      <c r="X1880" s="16">
        <v>22</v>
      </c>
      <c r="Y1880" s="43" t="str">
        <f>HYPERLINK("https://api-enni.alpina.ru/FilePrivilegesApproval/199","https://api-enni.alpina.ru/FilePrivilegesApproval/199")</f>
        <v>https://api-enni.alpina.ru/FilePrivilegesApproval/199</v>
      </c>
      <c r="Z1880" s="18"/>
      <c r="AS1880" s="1">
        <f>IF($A1880&lt;&gt;0,1,0)</f>
        <v>0</v>
      </c>
      <c r="AT1880" s="1">
        <f>$A1880*$B1880</f>
        <v>0</v>
      </c>
      <c r="AU1880" s="1">
        <f>$A1880*$O1880</f>
        <v>0</v>
      </c>
      <c r="AV1880" s="1">
        <f>IF($R1880=0,0,INT($A1880/$R1880))</f>
        <v>0</v>
      </c>
      <c r="AW1880" s="1">
        <f>$A1880-$AV1880*$R1880</f>
        <v>0</v>
      </c>
    </row>
    <row r="1881" ht="24.95" customHeight="1" outlineLevel="3" s="1" customFormat="1">
      <c r="A1881" s="15"/>
      <c r="B1881" s="16">
        <v>690</v>
      </c>
      <c r="C1881" s="17">
        <v>1035</v>
      </c>
      <c r="D1881" s="16">
        <v>25293</v>
      </c>
      <c r="E1881" s="18"/>
      <c r="F1881" s="18" t="s">
        <v>2252</v>
      </c>
      <c r="G1881" s="18" t="s">
        <v>6230</v>
      </c>
      <c r="H1881" s="18" t="s">
        <v>86</v>
      </c>
      <c r="I1881" s="18"/>
      <c r="J1881" s="16">
        <v>2025</v>
      </c>
      <c r="K1881" s="18" t="s">
        <v>6231</v>
      </c>
      <c r="L1881" s="16">
        <v>9785961479188</v>
      </c>
      <c r="M1881" s="18" t="s">
        <v>6232</v>
      </c>
      <c r="N1881" s="16">
        <v>292</v>
      </c>
      <c r="O1881" s="19">
        <v>0.37</v>
      </c>
      <c r="P1881" s="16">
        <v>150</v>
      </c>
      <c r="Q1881" s="16">
        <v>210</v>
      </c>
      <c r="R1881" s="16">
        <v>14</v>
      </c>
      <c r="S1881" s="18" t="s">
        <v>43</v>
      </c>
      <c r="T1881" s="18"/>
      <c r="U1881" s="17">
        <v>2000</v>
      </c>
      <c r="V1881" s="18" t="s">
        <v>44</v>
      </c>
      <c r="W1881" s="18" t="s">
        <v>91</v>
      </c>
      <c r="X1881" s="16">
        <v>10</v>
      </c>
      <c r="Y1881" s="43" t="str">
        <f>HYPERLINK("https://api-enni.alpina.ru/FilePrivilegesApproval/157","https://api-enni.alpina.ru/FilePrivilegesApproval/157")</f>
        <v>https://api-enni.alpina.ru/FilePrivilegesApproval/157</v>
      </c>
      <c r="Z1881" s="18"/>
      <c r="AS1881" s="1">
        <f>IF($A1881&lt;&gt;0,1,0)</f>
        <v>0</v>
      </c>
      <c r="AT1881" s="1">
        <f>$A1881*$B1881</f>
        <v>0</v>
      </c>
      <c r="AU1881" s="1">
        <f>$A1881*$O1881</f>
        <v>0</v>
      </c>
      <c r="AV1881" s="1">
        <f>IF($R1881=0,0,INT($A1881/$R1881))</f>
        <v>0</v>
      </c>
      <c r="AW1881" s="1">
        <f>$A1881-$AV1881*$R1881</f>
        <v>0</v>
      </c>
    </row>
    <row r="1882" ht="24.95" customHeight="1" outlineLevel="3" s="1" customFormat="1">
      <c r="A1882" s="15"/>
      <c r="B1882" s="16">
        <v>840</v>
      </c>
      <c r="C1882" s="17">
        <v>1218</v>
      </c>
      <c r="D1882" s="16">
        <v>8377</v>
      </c>
      <c r="E1882" s="18"/>
      <c r="F1882" s="18" t="s">
        <v>6233</v>
      </c>
      <c r="G1882" s="18" t="s">
        <v>6234</v>
      </c>
      <c r="H1882" s="18" t="s">
        <v>73</v>
      </c>
      <c r="I1882" s="18" t="s">
        <v>74</v>
      </c>
      <c r="J1882" s="16">
        <v>2023</v>
      </c>
      <c r="K1882" s="18" t="s">
        <v>6235</v>
      </c>
      <c r="L1882" s="16">
        <v>9785916718508</v>
      </c>
      <c r="M1882" s="18" t="s">
        <v>6236</v>
      </c>
      <c r="N1882" s="16">
        <v>310</v>
      </c>
      <c r="O1882" s="19">
        <v>0.48</v>
      </c>
      <c r="P1882" s="16">
        <v>163</v>
      </c>
      <c r="Q1882" s="16">
        <v>216</v>
      </c>
      <c r="R1882" s="16">
        <v>12</v>
      </c>
      <c r="S1882" s="18" t="s">
        <v>43</v>
      </c>
      <c r="T1882" s="18"/>
      <c r="U1882" s="17">
        <v>1500</v>
      </c>
      <c r="V1882" s="18" t="s">
        <v>77</v>
      </c>
      <c r="W1882" s="18" t="s">
        <v>184</v>
      </c>
      <c r="X1882" s="16">
        <v>10</v>
      </c>
      <c r="Y1882" s="43" t="str">
        <f>HYPERLINK("https://api-enni.alpina.ru/FilePrivilegesApproval/146","https://api-enni.alpina.ru/FilePrivilegesApproval/146")</f>
        <v>https://api-enni.alpina.ru/FilePrivilegesApproval/146</v>
      </c>
      <c r="Z1882" s="18"/>
      <c r="AS1882" s="1">
        <f>IF($A1882&lt;&gt;0,1,0)</f>
        <v>0</v>
      </c>
      <c r="AT1882" s="1">
        <f>$A1882*$B1882</f>
        <v>0</v>
      </c>
      <c r="AU1882" s="1">
        <f>$A1882*$O1882</f>
        <v>0</v>
      </c>
      <c r="AV1882" s="1">
        <f>IF($R1882=0,0,INT($A1882/$R1882))</f>
        <v>0</v>
      </c>
      <c r="AW1882" s="1">
        <f>$A1882-$AV1882*$R1882</f>
        <v>0</v>
      </c>
    </row>
    <row r="1883" ht="24.95" customHeight="1" outlineLevel="3" s="1" customFormat="1">
      <c r="A1883" s="15"/>
      <c r="B1883" s="16">
        <v>790</v>
      </c>
      <c r="C1883" s="17">
        <v>1146</v>
      </c>
      <c r="D1883" s="16">
        <v>24247</v>
      </c>
      <c r="E1883" s="18"/>
      <c r="F1883" s="18" t="s">
        <v>6237</v>
      </c>
      <c r="G1883" s="18" t="s">
        <v>6238</v>
      </c>
      <c r="H1883" s="18" t="s">
        <v>95</v>
      </c>
      <c r="I1883" s="18"/>
      <c r="J1883" s="16">
        <v>2022</v>
      </c>
      <c r="K1883" s="18" t="s">
        <v>6239</v>
      </c>
      <c r="L1883" s="16">
        <v>9785907470606</v>
      </c>
      <c r="M1883" s="18" t="s">
        <v>6240</v>
      </c>
      <c r="N1883" s="16">
        <v>256</v>
      </c>
      <c r="O1883" s="19">
        <v>0.41</v>
      </c>
      <c r="P1883" s="16">
        <v>153</v>
      </c>
      <c r="Q1883" s="16">
        <v>216</v>
      </c>
      <c r="R1883" s="16">
        <v>14</v>
      </c>
      <c r="S1883" s="18" t="s">
        <v>43</v>
      </c>
      <c r="T1883" s="18"/>
      <c r="U1883" s="17">
        <v>1000</v>
      </c>
      <c r="V1883" s="18" t="s">
        <v>77</v>
      </c>
      <c r="W1883" s="18" t="s">
        <v>91</v>
      </c>
      <c r="X1883" s="16">
        <v>10</v>
      </c>
      <c r="Y1883" s="43" t="str">
        <f>HYPERLINK("https://api-enni.alpina.ru/FilePrivilegesApproval/129","https://api-enni.alpina.ru/FilePrivilegesApproval/129")</f>
        <v>https://api-enni.alpina.ru/FilePrivilegesApproval/129</v>
      </c>
      <c r="Z1883" s="18"/>
      <c r="AS1883" s="1">
        <f>IF($A1883&lt;&gt;0,1,0)</f>
        <v>0</v>
      </c>
      <c r="AT1883" s="1">
        <f>$A1883*$B1883</f>
        <v>0</v>
      </c>
      <c r="AU1883" s="1">
        <f>$A1883*$O1883</f>
        <v>0</v>
      </c>
      <c r="AV1883" s="1">
        <f>IF($R1883=0,0,INT($A1883/$R1883))</f>
        <v>0</v>
      </c>
      <c r="AW1883" s="1">
        <f>$A1883-$AV1883*$R1883</f>
        <v>0</v>
      </c>
    </row>
    <row r="1884" ht="24.95" customHeight="1" outlineLevel="3" s="1" customFormat="1">
      <c r="A1884" s="25"/>
      <c r="B1884" s="26">
        <v>590</v>
      </c>
      <c r="C1884" s="26">
        <v>885</v>
      </c>
      <c r="D1884" s="26">
        <v>24533</v>
      </c>
      <c r="E1884" s="27"/>
      <c r="F1884" s="27" t="s">
        <v>6241</v>
      </c>
      <c r="G1884" s="27" t="s">
        <v>6242</v>
      </c>
      <c r="H1884" s="27" t="s">
        <v>171</v>
      </c>
      <c r="I1884" s="27"/>
      <c r="J1884" s="26">
        <v>2024</v>
      </c>
      <c r="K1884" s="27" t="s">
        <v>6243</v>
      </c>
      <c r="L1884" s="26">
        <v>9785001396130</v>
      </c>
      <c r="M1884" s="27" t="s">
        <v>6244</v>
      </c>
      <c r="N1884" s="26">
        <v>288</v>
      </c>
      <c r="O1884" s="28">
        <v>0.29</v>
      </c>
      <c r="P1884" s="26">
        <v>150</v>
      </c>
      <c r="Q1884" s="26">
        <v>200</v>
      </c>
      <c r="R1884" s="26">
        <v>14</v>
      </c>
      <c r="S1884" s="27" t="s">
        <v>43</v>
      </c>
      <c r="T1884" s="27"/>
      <c r="U1884" s="29">
        <v>1500</v>
      </c>
      <c r="V1884" s="27" t="s">
        <v>44</v>
      </c>
      <c r="W1884" s="27" t="s">
        <v>45</v>
      </c>
      <c r="X1884" s="26">
        <v>10</v>
      </c>
      <c r="Y1884" s="45" t="str">
        <f>HYPERLINK("https://api-enni.alpina.ru/FilePrivilegesApproval/145","https://api-enni.alpina.ru/FilePrivilegesApproval/145")</f>
        <v>https://api-enni.alpina.ru/FilePrivilegesApproval/145</v>
      </c>
      <c r="Z1884" s="27"/>
      <c r="AS1884" s="1">
        <f>IF($A1884&lt;&gt;0,1,0)</f>
        <v>0</v>
      </c>
      <c r="AT1884" s="1">
        <f>$A1884*$B1884</f>
        <v>0</v>
      </c>
      <c r="AU1884" s="1">
        <f>$A1884*$O1884</f>
        <v>0</v>
      </c>
      <c r="AV1884" s="1">
        <f>IF($R1884=0,0,INT($A1884/$R1884))</f>
        <v>0</v>
      </c>
      <c r="AW1884" s="1">
        <f>$A1884-$AV1884*$R1884</f>
        <v>0</v>
      </c>
    </row>
    <row r="1885" ht="24.95" customHeight="1" outlineLevel="3" s="1" customFormat="1">
      <c r="A1885" s="15"/>
      <c r="B1885" s="16">
        <v>790</v>
      </c>
      <c r="C1885" s="17">
        <v>1146</v>
      </c>
      <c r="D1885" s="16">
        <v>21099</v>
      </c>
      <c r="E1885" s="18"/>
      <c r="F1885" s="18" t="s">
        <v>6245</v>
      </c>
      <c r="G1885" s="18" t="s">
        <v>6246</v>
      </c>
      <c r="H1885" s="18" t="s">
        <v>73</v>
      </c>
      <c r="I1885" s="18" t="s">
        <v>74</v>
      </c>
      <c r="J1885" s="16">
        <v>2022</v>
      </c>
      <c r="K1885" s="18" t="s">
        <v>6247</v>
      </c>
      <c r="L1885" s="16">
        <v>9785001394211</v>
      </c>
      <c r="M1885" s="18" t="s">
        <v>6248</v>
      </c>
      <c r="N1885" s="16">
        <v>282</v>
      </c>
      <c r="O1885" s="19">
        <v>0.27</v>
      </c>
      <c r="P1885" s="16">
        <v>130</v>
      </c>
      <c r="Q1885" s="16">
        <v>206</v>
      </c>
      <c r="R1885" s="16">
        <v>14</v>
      </c>
      <c r="S1885" s="18" t="s">
        <v>90</v>
      </c>
      <c r="T1885" s="18"/>
      <c r="U1885" s="17">
        <v>2000</v>
      </c>
      <c r="V1885" s="18" t="s">
        <v>77</v>
      </c>
      <c r="W1885" s="18" t="s">
        <v>91</v>
      </c>
      <c r="X1885" s="16">
        <v>10</v>
      </c>
      <c r="Y1885" s="43" t="str">
        <f>HYPERLINK("https://api-enni.alpina.ru/FilePrivilegesApproval/179","https://api-enni.alpina.ru/FilePrivilegesApproval/179")</f>
        <v>https://api-enni.alpina.ru/FilePrivilegesApproval/179</v>
      </c>
      <c r="Z1885" s="18"/>
      <c r="AS1885" s="1">
        <f>IF($A1885&lt;&gt;0,1,0)</f>
        <v>0</v>
      </c>
      <c r="AT1885" s="1">
        <f>$A1885*$B1885</f>
        <v>0</v>
      </c>
      <c r="AU1885" s="1">
        <f>$A1885*$O1885</f>
        <v>0</v>
      </c>
      <c r="AV1885" s="1">
        <f>IF($R1885=0,0,INT($A1885/$R1885))</f>
        <v>0</v>
      </c>
      <c r="AW1885" s="1">
        <f>$A1885-$AV1885*$R1885</f>
        <v>0</v>
      </c>
    </row>
    <row r="1886" ht="24.95" customHeight="1" outlineLevel="3" s="1" customFormat="1">
      <c r="A1886" s="15"/>
      <c r="B1886" s="16">
        <v>890</v>
      </c>
      <c r="C1886" s="17">
        <v>1246</v>
      </c>
      <c r="D1886" s="16">
        <v>33762</v>
      </c>
      <c r="E1886" s="18"/>
      <c r="F1886" s="18" t="s">
        <v>6249</v>
      </c>
      <c r="G1886" s="18" t="s">
        <v>6250</v>
      </c>
      <c r="H1886" s="18" t="s">
        <v>73</v>
      </c>
      <c r="I1886" s="18"/>
      <c r="J1886" s="16">
        <v>2026</v>
      </c>
      <c r="K1886" s="18" t="s">
        <v>6251</v>
      </c>
      <c r="L1886" s="16">
        <v>9785002235902</v>
      </c>
      <c r="M1886" s="18" t="s">
        <v>6252</v>
      </c>
      <c r="N1886" s="16">
        <v>286</v>
      </c>
      <c r="O1886" s="19">
        <v>0.45</v>
      </c>
      <c r="P1886" s="16">
        <v>150</v>
      </c>
      <c r="Q1886" s="16">
        <v>220</v>
      </c>
      <c r="R1886" s="16">
        <v>10</v>
      </c>
      <c r="S1886" s="18" t="s">
        <v>43</v>
      </c>
      <c r="T1886" s="18"/>
      <c r="U1886" s="17">
        <v>1000</v>
      </c>
      <c r="V1886" s="18" t="s">
        <v>77</v>
      </c>
      <c r="W1886" s="18" t="s">
        <v>91</v>
      </c>
      <c r="X1886" s="16">
        <v>10</v>
      </c>
      <c r="Y1886" s="43" t="str">
        <f>HYPERLINK("https://api-enni.alpina.ru/FilePrivilegesApproval/1104","https://api-enni.alpina.ru/FilePrivilegesApproval/1104")</f>
        <v>https://api-enni.alpina.ru/FilePrivilegesApproval/1104</v>
      </c>
      <c r="Z1886" s="18" t="s">
        <v>717</v>
      </c>
      <c r="AS1886" s="1">
        <f>IF($A1886&lt;&gt;0,1,0)</f>
        <v>0</v>
      </c>
      <c r="AT1886" s="1">
        <f>$A1886*$B1886</f>
        <v>0</v>
      </c>
      <c r="AU1886" s="1">
        <f>$A1886*$O1886</f>
        <v>0</v>
      </c>
      <c r="AV1886" s="1">
        <f>IF($R1886=0,0,INT($A1886/$R1886))</f>
        <v>0</v>
      </c>
      <c r="AW1886" s="1">
        <f>$A1886-$AV1886*$R1886</f>
        <v>0</v>
      </c>
    </row>
    <row r="1887" ht="24.95" customHeight="1" outlineLevel="3" s="1" customFormat="1">
      <c r="A1887" s="25"/>
      <c r="B1887" s="26">
        <v>790</v>
      </c>
      <c r="C1887" s="29">
        <v>1146</v>
      </c>
      <c r="D1887" s="26">
        <v>12007</v>
      </c>
      <c r="E1887" s="27"/>
      <c r="F1887" s="27" t="s">
        <v>6253</v>
      </c>
      <c r="G1887" s="27" t="s">
        <v>6254</v>
      </c>
      <c r="H1887" s="27" t="s">
        <v>86</v>
      </c>
      <c r="I1887" s="27"/>
      <c r="J1887" s="26">
        <v>2025</v>
      </c>
      <c r="K1887" s="27" t="s">
        <v>6255</v>
      </c>
      <c r="L1887" s="26">
        <v>9785961426687</v>
      </c>
      <c r="M1887" s="27" t="s">
        <v>6256</v>
      </c>
      <c r="N1887" s="26">
        <v>511</v>
      </c>
      <c r="O1887" s="28">
        <v>0.7</v>
      </c>
      <c r="P1887" s="26">
        <v>150</v>
      </c>
      <c r="Q1887" s="26">
        <v>220</v>
      </c>
      <c r="R1887" s="26">
        <v>4</v>
      </c>
      <c r="S1887" s="27" t="s">
        <v>43</v>
      </c>
      <c r="T1887" s="27"/>
      <c r="U1887" s="29">
        <v>1000</v>
      </c>
      <c r="V1887" s="27" t="s">
        <v>77</v>
      </c>
      <c r="W1887" s="27" t="s">
        <v>69</v>
      </c>
      <c r="X1887" s="26">
        <v>10</v>
      </c>
      <c r="Y1887" s="45" t="str">
        <f>HYPERLINK("https://api-enni.alpina.ru/FilePrivilegesApproval/37","https://api-enni.alpina.ru/FilePrivilegesApproval/37")</f>
        <v>https://api-enni.alpina.ru/FilePrivilegesApproval/37</v>
      </c>
      <c r="Z1887" s="27"/>
      <c r="AS1887" s="1">
        <f>IF($A1887&lt;&gt;0,1,0)</f>
        <v>0</v>
      </c>
      <c r="AT1887" s="1">
        <f>$A1887*$B1887</f>
        <v>0</v>
      </c>
      <c r="AU1887" s="1">
        <f>$A1887*$O1887</f>
        <v>0</v>
      </c>
      <c r="AV1887" s="1">
        <f>IF($R1887=0,0,INT($A1887/$R1887))</f>
        <v>0</v>
      </c>
      <c r="AW1887" s="1">
        <f>$A1887-$AV1887*$R1887</f>
        <v>0</v>
      </c>
    </row>
    <row r="1888" ht="24.95" customHeight="1" outlineLevel="3" s="1" customFormat="1">
      <c r="A1888" s="15"/>
      <c r="B1888" s="16">
        <v>440</v>
      </c>
      <c r="C1888" s="16">
        <v>682</v>
      </c>
      <c r="D1888" s="16">
        <v>27885</v>
      </c>
      <c r="E1888" s="18"/>
      <c r="F1888" s="18" t="s">
        <v>6257</v>
      </c>
      <c r="G1888" s="18" t="s">
        <v>6258</v>
      </c>
      <c r="H1888" s="18" t="s">
        <v>86</v>
      </c>
      <c r="I1888" s="18"/>
      <c r="J1888" s="16">
        <v>2026</v>
      </c>
      <c r="K1888" s="18" t="s">
        <v>6259</v>
      </c>
      <c r="L1888" s="16">
        <v>9785961486650</v>
      </c>
      <c r="M1888" s="18" t="s">
        <v>6260</v>
      </c>
      <c r="N1888" s="16">
        <v>517</v>
      </c>
      <c r="O1888" s="19">
        <v>0.34</v>
      </c>
      <c r="P1888" s="16">
        <v>120</v>
      </c>
      <c r="Q1888" s="16">
        <v>170</v>
      </c>
      <c r="R1888" s="16">
        <v>12</v>
      </c>
      <c r="S1888" s="18" t="s">
        <v>190</v>
      </c>
      <c r="T1888" s="18" t="s">
        <v>2653</v>
      </c>
      <c r="U1888" s="17">
        <v>2000</v>
      </c>
      <c r="V1888" s="18" t="s">
        <v>44</v>
      </c>
      <c r="W1888" s="18" t="s">
        <v>69</v>
      </c>
      <c r="X1888" s="16">
        <v>10</v>
      </c>
      <c r="Y1888" s="43" t="str">
        <f>HYPERLINK("https://api-enni.alpina.ru/FilePrivilegesApproval/221","https://api-enni.alpina.ru/FilePrivilegesApproval/221")</f>
        <v>https://api-enni.alpina.ru/FilePrivilegesApproval/221</v>
      </c>
      <c r="Z1888" s="18"/>
      <c r="AS1888" s="1">
        <f>IF($A1888&lt;&gt;0,1,0)</f>
        <v>0</v>
      </c>
      <c r="AT1888" s="1">
        <f>$A1888*$B1888</f>
        <v>0</v>
      </c>
      <c r="AU1888" s="1">
        <f>$A1888*$O1888</f>
        <v>0</v>
      </c>
      <c r="AV1888" s="1">
        <f>IF($R1888=0,0,INT($A1888/$R1888))</f>
        <v>0</v>
      </c>
      <c r="AW1888" s="1">
        <f>$A1888-$AV1888*$R1888</f>
        <v>0</v>
      </c>
    </row>
    <row r="1889" ht="24.95" customHeight="1" outlineLevel="3" s="1" customFormat="1">
      <c r="A1889" s="15"/>
      <c r="B1889" s="16">
        <v>490</v>
      </c>
      <c r="C1889" s="16">
        <v>760</v>
      </c>
      <c r="D1889" s="16">
        <v>27569</v>
      </c>
      <c r="E1889" s="18"/>
      <c r="F1889" s="18" t="s">
        <v>6261</v>
      </c>
      <c r="G1889" s="18" t="s">
        <v>6262</v>
      </c>
      <c r="H1889" s="18" t="s">
        <v>73</v>
      </c>
      <c r="I1889" s="18"/>
      <c r="J1889" s="16">
        <v>2025</v>
      </c>
      <c r="K1889" s="18" t="s">
        <v>6263</v>
      </c>
      <c r="L1889" s="16">
        <v>9785001399322</v>
      </c>
      <c r="M1889" s="18" t="s">
        <v>6264</v>
      </c>
      <c r="N1889" s="16">
        <v>384</v>
      </c>
      <c r="O1889" s="19">
        <v>0.25</v>
      </c>
      <c r="P1889" s="16">
        <v>120</v>
      </c>
      <c r="Q1889" s="16">
        <v>170</v>
      </c>
      <c r="R1889" s="16">
        <v>10</v>
      </c>
      <c r="S1889" s="18" t="s">
        <v>190</v>
      </c>
      <c r="T1889" s="18" t="s">
        <v>2653</v>
      </c>
      <c r="U1889" s="17">
        <v>2000</v>
      </c>
      <c r="V1889" s="18" t="s">
        <v>44</v>
      </c>
      <c r="W1889" s="18" t="s">
        <v>69</v>
      </c>
      <c r="X1889" s="16">
        <v>10</v>
      </c>
      <c r="Y1889" s="43" t="str">
        <f>HYPERLINK("https://api-enni.alpina.ru/FilePrivilegesApproval/187","https://api-enni.alpina.ru/FilePrivilegesApproval/187")</f>
        <v>https://api-enni.alpina.ru/FilePrivilegesApproval/187</v>
      </c>
      <c r="Z1889" s="18"/>
      <c r="AS1889" s="1">
        <f>IF($A1889&lt;&gt;0,1,0)</f>
        <v>0</v>
      </c>
      <c r="AT1889" s="1">
        <f>$A1889*$B1889</f>
        <v>0</v>
      </c>
      <c r="AU1889" s="1">
        <f>$A1889*$O1889</f>
        <v>0</v>
      </c>
      <c r="AV1889" s="1">
        <f>IF($R1889=0,0,INT($A1889/$R1889))</f>
        <v>0</v>
      </c>
      <c r="AW1889" s="1">
        <f>$A1889-$AV1889*$R1889</f>
        <v>0</v>
      </c>
    </row>
    <row r="1890" ht="24.95" customHeight="1" outlineLevel="3" s="1" customFormat="1">
      <c r="A1890" s="15"/>
      <c r="B1890" s="17">
        <v>1290</v>
      </c>
      <c r="C1890" s="17">
        <v>1742</v>
      </c>
      <c r="D1890" s="16">
        <v>7270</v>
      </c>
      <c r="E1890" s="18"/>
      <c r="F1890" s="18" t="s">
        <v>6265</v>
      </c>
      <c r="G1890" s="18" t="s">
        <v>6266</v>
      </c>
      <c r="H1890" s="18" t="s">
        <v>73</v>
      </c>
      <c r="I1890" s="18" t="s">
        <v>74</v>
      </c>
      <c r="J1890" s="16">
        <v>2026</v>
      </c>
      <c r="K1890" s="18" t="s">
        <v>6267</v>
      </c>
      <c r="L1890" s="16">
        <v>9785916719154</v>
      </c>
      <c r="M1890" s="18" t="s">
        <v>6268</v>
      </c>
      <c r="N1890" s="16">
        <v>476</v>
      </c>
      <c r="O1890" s="19">
        <v>0.54</v>
      </c>
      <c r="P1890" s="16">
        <v>170</v>
      </c>
      <c r="Q1890" s="16">
        <v>240</v>
      </c>
      <c r="R1890" s="16">
        <v>4</v>
      </c>
      <c r="S1890" s="18" t="s">
        <v>123</v>
      </c>
      <c r="T1890" s="18"/>
      <c r="U1890" s="17">
        <v>1500</v>
      </c>
      <c r="V1890" s="18" t="s">
        <v>77</v>
      </c>
      <c r="W1890" s="18" t="s">
        <v>69</v>
      </c>
      <c r="X1890" s="16">
        <v>10</v>
      </c>
      <c r="Y1890" s="43" t="str">
        <f>HYPERLINK("https://api-enni.alpina.ru/FilePrivilegesApproval/149","https://api-enni.alpina.ru/FilePrivilegesApproval/149")</f>
        <v>https://api-enni.alpina.ru/FilePrivilegesApproval/149</v>
      </c>
      <c r="Z1890" s="18" t="s">
        <v>144</v>
      </c>
      <c r="AS1890" s="1">
        <f>IF($A1890&lt;&gt;0,1,0)</f>
        <v>0</v>
      </c>
      <c r="AT1890" s="1">
        <f>$A1890*$B1890</f>
        <v>0</v>
      </c>
      <c r="AU1890" s="1">
        <f>$A1890*$O1890</f>
        <v>0</v>
      </c>
      <c r="AV1890" s="1">
        <f>IF($R1890=0,0,INT($A1890/$R1890))</f>
        <v>0</v>
      </c>
      <c r="AW1890" s="1">
        <f>$A1890-$AV1890*$R1890</f>
        <v>0</v>
      </c>
    </row>
    <row r="1891" ht="24.95" customHeight="1" outlineLevel="3" s="1" customFormat="1">
      <c r="A1891" s="15"/>
      <c r="B1891" s="16">
        <v>990</v>
      </c>
      <c r="C1891" s="17">
        <v>1386</v>
      </c>
      <c r="D1891" s="16">
        <v>31709</v>
      </c>
      <c r="E1891" s="18"/>
      <c r="F1891" s="18" t="s">
        <v>6269</v>
      </c>
      <c r="G1891" s="18" t="s">
        <v>6270</v>
      </c>
      <c r="H1891" s="18" t="s">
        <v>73</v>
      </c>
      <c r="I1891" s="18"/>
      <c r="J1891" s="16">
        <v>2026</v>
      </c>
      <c r="K1891" s="18" t="s">
        <v>6271</v>
      </c>
      <c r="L1891" s="16">
        <v>9785002234073</v>
      </c>
      <c r="M1891" s="18" t="s">
        <v>6272</v>
      </c>
      <c r="N1891" s="16">
        <v>364</v>
      </c>
      <c r="O1891" s="19">
        <v>0.54</v>
      </c>
      <c r="P1891" s="16">
        <v>150</v>
      </c>
      <c r="Q1891" s="16">
        <v>220</v>
      </c>
      <c r="R1891" s="16">
        <v>7</v>
      </c>
      <c r="S1891" s="18" t="s">
        <v>43</v>
      </c>
      <c r="T1891" s="18"/>
      <c r="U1891" s="17">
        <v>1000</v>
      </c>
      <c r="V1891" s="18" t="s">
        <v>77</v>
      </c>
      <c r="W1891" s="18" t="s">
        <v>69</v>
      </c>
      <c r="X1891" s="16">
        <v>10</v>
      </c>
      <c r="Y1891" s="43" t="str">
        <f>HYPERLINK("https://api-enni.alpina.ru/FilePrivilegesApproval/888","https://api-enni.alpina.ru/FilePrivilegesApproval/888")</f>
        <v>https://api-enni.alpina.ru/FilePrivilegesApproval/888</v>
      </c>
      <c r="Z1891" s="18"/>
      <c r="AS1891" s="1">
        <f>IF($A1891&lt;&gt;0,1,0)</f>
        <v>0</v>
      </c>
      <c r="AT1891" s="1">
        <f>$A1891*$B1891</f>
        <v>0</v>
      </c>
      <c r="AU1891" s="1">
        <f>$A1891*$O1891</f>
        <v>0</v>
      </c>
      <c r="AV1891" s="1">
        <f>IF($R1891=0,0,INT($A1891/$R1891))</f>
        <v>0</v>
      </c>
      <c r="AW1891" s="1">
        <f>$A1891-$AV1891*$R1891</f>
        <v>0</v>
      </c>
    </row>
    <row r="1892" ht="24.95" customHeight="1" outlineLevel="3" s="1" customFormat="1">
      <c r="A1892" s="15"/>
      <c r="B1892" s="16">
        <v>890</v>
      </c>
      <c r="C1892" s="17">
        <v>1246</v>
      </c>
      <c r="D1892" s="16">
        <v>17359</v>
      </c>
      <c r="E1892" s="18"/>
      <c r="F1892" s="18" t="s">
        <v>6181</v>
      </c>
      <c r="G1892" s="18" t="s">
        <v>6273</v>
      </c>
      <c r="H1892" s="18" t="s">
        <v>73</v>
      </c>
      <c r="I1892" s="18" t="s">
        <v>74</v>
      </c>
      <c r="J1892" s="16">
        <v>2026</v>
      </c>
      <c r="K1892" s="18" t="s">
        <v>6274</v>
      </c>
      <c r="L1892" s="16">
        <v>9785001392781</v>
      </c>
      <c r="M1892" s="18" t="s">
        <v>6275</v>
      </c>
      <c r="N1892" s="16">
        <v>288</v>
      </c>
      <c r="O1892" s="19">
        <v>0.45</v>
      </c>
      <c r="P1892" s="16">
        <v>145</v>
      </c>
      <c r="Q1892" s="16">
        <v>190</v>
      </c>
      <c r="R1892" s="16">
        <v>12</v>
      </c>
      <c r="S1892" s="18" t="s">
        <v>43</v>
      </c>
      <c r="T1892" s="18"/>
      <c r="U1892" s="17">
        <v>2000</v>
      </c>
      <c r="V1892" s="18" t="s">
        <v>77</v>
      </c>
      <c r="W1892" s="18" t="s">
        <v>91</v>
      </c>
      <c r="X1892" s="16">
        <v>10</v>
      </c>
      <c r="Y1892" s="43" t="str">
        <f>HYPERLINK("https://api-enni.alpina.ru/FilePrivilegesApproval/150","https://api-enni.alpina.ru/FilePrivilegesApproval/150")</f>
        <v>https://api-enni.alpina.ru/FilePrivilegesApproval/150</v>
      </c>
      <c r="Z1892" s="18" t="s">
        <v>251</v>
      </c>
      <c r="AS1892" s="1">
        <f>IF($A1892&lt;&gt;0,1,0)</f>
        <v>0</v>
      </c>
      <c r="AT1892" s="1">
        <f>$A1892*$B1892</f>
        <v>0</v>
      </c>
      <c r="AU1892" s="1">
        <f>$A1892*$O1892</f>
        <v>0</v>
      </c>
      <c r="AV1892" s="1">
        <f>IF($R1892=0,0,INT($A1892/$R1892))</f>
        <v>0</v>
      </c>
      <c r="AW1892" s="1">
        <f>$A1892-$AV1892*$R1892</f>
        <v>0</v>
      </c>
    </row>
    <row r="1893" ht="24.95" customHeight="1" outlineLevel="3" s="1" customFormat="1">
      <c r="A1893" s="15"/>
      <c r="B1893" s="16">
        <v>550</v>
      </c>
      <c r="C1893" s="16">
        <v>852</v>
      </c>
      <c r="D1893" s="16">
        <v>26675</v>
      </c>
      <c r="E1893" s="18"/>
      <c r="F1893" s="18" t="s">
        <v>6276</v>
      </c>
      <c r="G1893" s="18" t="s">
        <v>6277</v>
      </c>
      <c r="H1893" s="18" t="s">
        <v>73</v>
      </c>
      <c r="I1893" s="18" t="s">
        <v>74</v>
      </c>
      <c r="J1893" s="16">
        <v>2026</v>
      </c>
      <c r="K1893" s="18" t="s">
        <v>6278</v>
      </c>
      <c r="L1893" s="16">
        <v>9785001398134</v>
      </c>
      <c r="M1893" s="18" t="s">
        <v>6279</v>
      </c>
      <c r="N1893" s="16">
        <v>362</v>
      </c>
      <c r="O1893" s="19">
        <v>0.29</v>
      </c>
      <c r="P1893" s="16">
        <v>120</v>
      </c>
      <c r="Q1893" s="16">
        <v>170</v>
      </c>
      <c r="R1893" s="16">
        <v>12</v>
      </c>
      <c r="S1893" s="18" t="s">
        <v>190</v>
      </c>
      <c r="T1893" s="18"/>
      <c r="U1893" s="17">
        <v>1500</v>
      </c>
      <c r="V1893" s="18" t="s">
        <v>44</v>
      </c>
      <c r="W1893" s="18" t="s">
        <v>69</v>
      </c>
      <c r="X1893" s="16">
        <v>10</v>
      </c>
      <c r="Y1893" s="43" t="str">
        <f>HYPERLINK("https://api-enni.alpina.ru/FilePrivilegesApproval/346","https://api-enni.alpina.ru/FilePrivilegesApproval/346")</f>
        <v>https://api-enni.alpina.ru/FilePrivilegesApproval/346</v>
      </c>
      <c r="Z1893" s="18"/>
      <c r="AS1893" s="1">
        <f>IF($A1893&lt;&gt;0,1,0)</f>
        <v>0</v>
      </c>
      <c r="AT1893" s="1">
        <f>$A1893*$B1893</f>
        <v>0</v>
      </c>
      <c r="AU1893" s="1">
        <f>$A1893*$O1893</f>
        <v>0</v>
      </c>
      <c r="AV1893" s="1">
        <f>IF($R1893=0,0,INT($A1893/$R1893))</f>
        <v>0</v>
      </c>
      <c r="AW1893" s="1">
        <f>$A1893-$AV1893*$R1893</f>
        <v>0</v>
      </c>
    </row>
    <row r="1894" ht="24.95" customHeight="1" outlineLevel="3" s="1" customFormat="1">
      <c r="A1894" s="25"/>
      <c r="B1894" s="29">
        <v>2190</v>
      </c>
      <c r="C1894" s="29">
        <v>2847</v>
      </c>
      <c r="D1894" s="26">
        <v>12248</v>
      </c>
      <c r="E1894" s="27"/>
      <c r="F1894" s="27" t="s">
        <v>6280</v>
      </c>
      <c r="G1894" s="27" t="s">
        <v>6281</v>
      </c>
      <c r="H1894" s="27" t="s">
        <v>73</v>
      </c>
      <c r="I1894" s="27"/>
      <c r="J1894" s="26">
        <v>2023</v>
      </c>
      <c r="K1894" s="27" t="s">
        <v>6282</v>
      </c>
      <c r="L1894" s="26">
        <v>9785916719918</v>
      </c>
      <c r="M1894" s="27" t="s">
        <v>6283</v>
      </c>
      <c r="N1894" s="26">
        <v>359</v>
      </c>
      <c r="O1894" s="28">
        <v>0.77</v>
      </c>
      <c r="P1894" s="26">
        <v>168</v>
      </c>
      <c r="Q1894" s="26">
        <v>221</v>
      </c>
      <c r="R1894" s="26">
        <v>5</v>
      </c>
      <c r="S1894" s="27" t="s">
        <v>52</v>
      </c>
      <c r="T1894" s="27"/>
      <c r="U1894" s="29">
        <v>1000</v>
      </c>
      <c r="V1894" s="27" t="s">
        <v>77</v>
      </c>
      <c r="W1894" s="27" t="s">
        <v>45</v>
      </c>
      <c r="X1894" s="26">
        <v>10</v>
      </c>
      <c r="Y1894" s="45" t="str">
        <f>HYPERLINK("https://api-enni.alpina.ru/FilePrivilegesApproval/270","https://api-enni.alpina.ru/FilePrivilegesApproval/270")</f>
        <v>https://api-enni.alpina.ru/FilePrivilegesApproval/270</v>
      </c>
      <c r="Z1894" s="27"/>
      <c r="AS1894" s="1">
        <f>IF($A1894&lt;&gt;0,1,0)</f>
        <v>0</v>
      </c>
      <c r="AT1894" s="1">
        <f>$A1894*$B1894</f>
        <v>0</v>
      </c>
      <c r="AU1894" s="1">
        <f>$A1894*$O1894</f>
        <v>0</v>
      </c>
      <c r="AV1894" s="1">
        <f>IF($R1894=0,0,INT($A1894/$R1894))</f>
        <v>0</v>
      </c>
      <c r="AW1894" s="1">
        <f>$A1894-$AV1894*$R1894</f>
        <v>0</v>
      </c>
    </row>
    <row r="1895" ht="24.95" customHeight="1" outlineLevel="3" s="1" customFormat="1">
      <c r="A1895" s="15"/>
      <c r="B1895" s="16">
        <v>990</v>
      </c>
      <c r="C1895" s="17">
        <v>1386</v>
      </c>
      <c r="D1895" s="16">
        <v>29947</v>
      </c>
      <c r="E1895" s="18"/>
      <c r="F1895" s="18" t="s">
        <v>6169</v>
      </c>
      <c r="G1895" s="18" t="s">
        <v>6284</v>
      </c>
      <c r="H1895" s="18" t="s">
        <v>73</v>
      </c>
      <c r="I1895" s="18" t="s">
        <v>74</v>
      </c>
      <c r="J1895" s="16">
        <v>2026</v>
      </c>
      <c r="K1895" s="18" t="s">
        <v>6285</v>
      </c>
      <c r="L1895" s="16">
        <v>9785002232093</v>
      </c>
      <c r="M1895" s="18" t="s">
        <v>6286</v>
      </c>
      <c r="N1895" s="16">
        <v>512</v>
      </c>
      <c r="O1895" s="19">
        <v>0.7</v>
      </c>
      <c r="P1895" s="16">
        <v>150</v>
      </c>
      <c r="Q1895" s="16">
        <v>220</v>
      </c>
      <c r="R1895" s="16">
        <v>8</v>
      </c>
      <c r="S1895" s="18" t="s">
        <v>43</v>
      </c>
      <c r="T1895" s="18"/>
      <c r="U1895" s="17">
        <v>3000</v>
      </c>
      <c r="V1895" s="18" t="s">
        <v>77</v>
      </c>
      <c r="W1895" s="18" t="s">
        <v>69</v>
      </c>
      <c r="X1895" s="16">
        <v>10</v>
      </c>
      <c r="Y1895" s="43" t="str">
        <f>HYPERLINK("https://api-enni.alpina.ru/FilePrivilegesApproval/975","https://api-enni.alpina.ru/FilePrivilegesApproval/975")</f>
        <v>https://api-enni.alpina.ru/FilePrivilegesApproval/975</v>
      </c>
      <c r="Z1895" s="18"/>
      <c r="AS1895" s="1">
        <f>IF($A1895&lt;&gt;0,1,0)</f>
        <v>0</v>
      </c>
      <c r="AT1895" s="1">
        <f>$A1895*$B1895</f>
        <v>0</v>
      </c>
      <c r="AU1895" s="1">
        <f>$A1895*$O1895</f>
        <v>0</v>
      </c>
      <c r="AV1895" s="1">
        <f>IF($R1895=0,0,INT($A1895/$R1895))</f>
        <v>0</v>
      </c>
      <c r="AW1895" s="1">
        <f>$A1895-$AV1895*$R1895</f>
        <v>0</v>
      </c>
    </row>
    <row r="1896" ht="24.95" customHeight="1" outlineLevel="3" s="1" customFormat="1">
      <c r="A1896" s="15"/>
      <c r="B1896" s="16">
        <v>940</v>
      </c>
      <c r="C1896" s="17">
        <v>1316</v>
      </c>
      <c r="D1896" s="16">
        <v>29948</v>
      </c>
      <c r="E1896" s="18"/>
      <c r="F1896" s="18" t="s">
        <v>6169</v>
      </c>
      <c r="G1896" s="18" t="s">
        <v>6287</v>
      </c>
      <c r="H1896" s="18" t="s">
        <v>73</v>
      </c>
      <c r="I1896" s="18" t="s">
        <v>74</v>
      </c>
      <c r="J1896" s="16">
        <v>2025</v>
      </c>
      <c r="K1896" s="18" t="s">
        <v>6288</v>
      </c>
      <c r="L1896" s="16">
        <v>9785002232109</v>
      </c>
      <c r="M1896" s="18" t="s">
        <v>6289</v>
      </c>
      <c r="N1896" s="16">
        <v>488</v>
      </c>
      <c r="O1896" s="19">
        <v>0.68</v>
      </c>
      <c r="P1896" s="16">
        <v>150</v>
      </c>
      <c r="Q1896" s="16">
        <v>220</v>
      </c>
      <c r="R1896" s="16">
        <v>8</v>
      </c>
      <c r="S1896" s="18" t="s">
        <v>43</v>
      </c>
      <c r="T1896" s="18"/>
      <c r="U1896" s="17">
        <v>3000</v>
      </c>
      <c r="V1896" s="18" t="s">
        <v>77</v>
      </c>
      <c r="W1896" s="18" t="s">
        <v>69</v>
      </c>
      <c r="X1896" s="16">
        <v>10</v>
      </c>
      <c r="Y1896" s="43" t="str">
        <f>HYPERLINK("https://api-enni.alpina.ru/FilePrivilegesApproval/975","https://api-enni.alpina.ru/FilePrivilegesApproval/975")</f>
        <v>https://api-enni.alpina.ru/FilePrivilegesApproval/975</v>
      </c>
      <c r="Z1896" s="18"/>
      <c r="AS1896" s="1">
        <f>IF($A1896&lt;&gt;0,1,0)</f>
        <v>0</v>
      </c>
      <c r="AT1896" s="1">
        <f>$A1896*$B1896</f>
        <v>0</v>
      </c>
      <c r="AU1896" s="1">
        <f>$A1896*$O1896</f>
        <v>0</v>
      </c>
      <c r="AV1896" s="1">
        <f>IF($R1896=0,0,INT($A1896/$R1896))</f>
        <v>0</v>
      </c>
      <c r="AW1896" s="1">
        <f>$A1896-$AV1896*$R1896</f>
        <v>0</v>
      </c>
    </row>
    <row r="1897" ht="24.95" customHeight="1" outlineLevel="3" s="1" customFormat="1">
      <c r="A1897" s="15"/>
      <c r="B1897" s="17">
        <v>1230</v>
      </c>
      <c r="C1897" s="17">
        <v>1660</v>
      </c>
      <c r="D1897" s="16">
        <v>29951</v>
      </c>
      <c r="E1897" s="18"/>
      <c r="F1897" s="18" t="s">
        <v>6169</v>
      </c>
      <c r="G1897" s="18" t="s">
        <v>6290</v>
      </c>
      <c r="H1897" s="18" t="s">
        <v>73</v>
      </c>
      <c r="I1897" s="18" t="s">
        <v>74</v>
      </c>
      <c r="J1897" s="16">
        <v>2026</v>
      </c>
      <c r="K1897" s="18" t="s">
        <v>6291</v>
      </c>
      <c r="L1897" s="16">
        <v>9785002232130</v>
      </c>
      <c r="M1897" s="18" t="s">
        <v>6292</v>
      </c>
      <c r="N1897" s="16">
        <v>616</v>
      </c>
      <c r="O1897" s="19">
        <v>0.83</v>
      </c>
      <c r="P1897" s="16">
        <v>150</v>
      </c>
      <c r="Q1897" s="16">
        <v>220</v>
      </c>
      <c r="R1897" s="16">
        <v>8</v>
      </c>
      <c r="S1897" s="18" t="s">
        <v>43</v>
      </c>
      <c r="T1897" s="18"/>
      <c r="U1897" s="17">
        <v>2000</v>
      </c>
      <c r="V1897" s="18" t="s">
        <v>77</v>
      </c>
      <c r="W1897" s="18" t="s">
        <v>69</v>
      </c>
      <c r="X1897" s="16">
        <v>10</v>
      </c>
      <c r="Y1897" s="43" t="str">
        <f>HYPERLINK("https://api-enni.alpina.ru/FilePrivilegesApproval/975","https://api-enni.alpina.ru/FilePrivilegesApproval/975")</f>
        <v>https://api-enni.alpina.ru/FilePrivilegesApproval/975</v>
      </c>
      <c r="Z1897" s="18"/>
      <c r="AS1897" s="1">
        <f>IF($A1897&lt;&gt;0,1,0)</f>
        <v>0</v>
      </c>
      <c r="AT1897" s="1">
        <f>$A1897*$B1897</f>
        <v>0</v>
      </c>
      <c r="AU1897" s="1">
        <f>$A1897*$O1897</f>
        <v>0</v>
      </c>
      <c r="AV1897" s="1">
        <f>IF($R1897=0,0,INT($A1897/$R1897))</f>
        <v>0</v>
      </c>
      <c r="AW1897" s="1">
        <f>$A1897-$AV1897*$R1897</f>
        <v>0</v>
      </c>
    </row>
    <row r="1898" ht="24.95" customHeight="1" outlineLevel="3" s="1" customFormat="1">
      <c r="A1898" s="15"/>
      <c r="B1898" s="17">
        <v>1090</v>
      </c>
      <c r="C1898" s="17">
        <v>1472</v>
      </c>
      <c r="D1898" s="16">
        <v>29954</v>
      </c>
      <c r="E1898" s="18"/>
      <c r="F1898" s="18" t="s">
        <v>6169</v>
      </c>
      <c r="G1898" s="18" t="s">
        <v>6293</v>
      </c>
      <c r="H1898" s="18" t="s">
        <v>73</v>
      </c>
      <c r="I1898" s="18" t="s">
        <v>74</v>
      </c>
      <c r="J1898" s="16">
        <v>2026</v>
      </c>
      <c r="K1898" s="18" t="s">
        <v>6294</v>
      </c>
      <c r="L1898" s="16">
        <v>9785002232154</v>
      </c>
      <c r="M1898" s="18" t="s">
        <v>6295</v>
      </c>
      <c r="N1898" s="16">
        <v>392</v>
      </c>
      <c r="O1898" s="19">
        <v>0.57</v>
      </c>
      <c r="P1898" s="16">
        <v>150</v>
      </c>
      <c r="Q1898" s="16">
        <v>220</v>
      </c>
      <c r="R1898" s="16">
        <v>10</v>
      </c>
      <c r="S1898" s="18" t="s">
        <v>43</v>
      </c>
      <c r="T1898" s="18"/>
      <c r="U1898" s="17">
        <v>2000</v>
      </c>
      <c r="V1898" s="18" t="s">
        <v>77</v>
      </c>
      <c r="W1898" s="18" t="s">
        <v>45</v>
      </c>
      <c r="X1898" s="16">
        <v>10</v>
      </c>
      <c r="Y1898" s="43" t="str">
        <f>HYPERLINK("https://api-enni.alpina.ru/FilePrivilegesApproval/1225","https://api-enni.alpina.ru/FilePrivilegesApproval/1225")</f>
        <v>https://api-enni.alpina.ru/FilePrivilegesApproval/1225</v>
      </c>
      <c r="Z1898" s="18" t="s">
        <v>251</v>
      </c>
      <c r="AS1898" s="1">
        <f>IF($A1898&lt;&gt;0,1,0)</f>
        <v>0</v>
      </c>
      <c r="AT1898" s="1">
        <f>$A1898*$B1898</f>
        <v>0</v>
      </c>
      <c r="AU1898" s="1">
        <f>$A1898*$O1898</f>
        <v>0</v>
      </c>
      <c r="AV1898" s="1">
        <f>IF($R1898=0,0,INT($A1898/$R1898))</f>
        <v>0</v>
      </c>
      <c r="AW1898" s="1">
        <f>$A1898-$AV1898*$R1898</f>
        <v>0</v>
      </c>
    </row>
    <row r="1899" ht="24.95" customHeight="1" outlineLevel="3" s="1" customFormat="1">
      <c r="A1899" s="15"/>
      <c r="B1899" s="17">
        <v>1040</v>
      </c>
      <c r="C1899" s="17">
        <v>1404</v>
      </c>
      <c r="D1899" s="16">
        <v>18193</v>
      </c>
      <c r="E1899" s="18"/>
      <c r="F1899" s="18" t="s">
        <v>6169</v>
      </c>
      <c r="G1899" s="18" t="s">
        <v>6296</v>
      </c>
      <c r="H1899" s="18" t="s">
        <v>73</v>
      </c>
      <c r="I1899" s="18" t="s">
        <v>74</v>
      </c>
      <c r="J1899" s="16">
        <v>2025</v>
      </c>
      <c r="K1899" s="18" t="s">
        <v>6297</v>
      </c>
      <c r="L1899" s="16">
        <v>9785001393276</v>
      </c>
      <c r="M1899" s="18" t="s">
        <v>6298</v>
      </c>
      <c r="N1899" s="16">
        <v>542</v>
      </c>
      <c r="O1899" s="19">
        <v>0.77</v>
      </c>
      <c r="P1899" s="16">
        <v>150</v>
      </c>
      <c r="Q1899" s="16">
        <v>220</v>
      </c>
      <c r="R1899" s="16">
        <v>8</v>
      </c>
      <c r="S1899" s="18" t="s">
        <v>43</v>
      </c>
      <c r="T1899" s="18"/>
      <c r="U1899" s="17">
        <v>4000</v>
      </c>
      <c r="V1899" s="18" t="s">
        <v>77</v>
      </c>
      <c r="W1899" s="18" t="s">
        <v>91</v>
      </c>
      <c r="X1899" s="16">
        <v>10</v>
      </c>
      <c r="Y1899" s="43" t="str">
        <f>HYPERLINK("https://api-enni.alpina.ru/FilePrivilegesApproval/149","https://api-enni.alpina.ru/FilePrivilegesApproval/149")</f>
        <v>https://api-enni.alpina.ru/FilePrivilegesApproval/149</v>
      </c>
      <c r="Z1899" s="18"/>
      <c r="AS1899" s="1">
        <f>IF($A1899&lt;&gt;0,1,0)</f>
        <v>0</v>
      </c>
      <c r="AT1899" s="1">
        <f>$A1899*$B1899</f>
        <v>0</v>
      </c>
      <c r="AU1899" s="1">
        <f>$A1899*$O1899</f>
        <v>0</v>
      </c>
      <c r="AV1899" s="1">
        <f>IF($R1899=0,0,INT($A1899/$R1899))</f>
        <v>0</v>
      </c>
      <c r="AW1899" s="1">
        <f>$A1899-$AV1899*$R1899</f>
        <v>0</v>
      </c>
    </row>
    <row r="1900" ht="24.95" customHeight="1" outlineLevel="3" s="1" customFormat="1">
      <c r="A1900" s="15"/>
      <c r="B1900" s="17">
        <v>1190</v>
      </c>
      <c r="C1900" s="17">
        <v>1606</v>
      </c>
      <c r="D1900" s="16">
        <v>37197</v>
      </c>
      <c r="E1900" s="18"/>
      <c r="F1900" s="18" t="s">
        <v>6169</v>
      </c>
      <c r="G1900" s="18" t="s">
        <v>6296</v>
      </c>
      <c r="H1900" s="18" t="s">
        <v>73</v>
      </c>
      <c r="I1900" s="18" t="s">
        <v>74</v>
      </c>
      <c r="J1900" s="16">
        <v>2026</v>
      </c>
      <c r="K1900" s="18" t="s">
        <v>6299</v>
      </c>
      <c r="L1900" s="16">
        <v>9785002239412</v>
      </c>
      <c r="M1900" s="18" t="s">
        <v>6300</v>
      </c>
      <c r="N1900" s="16">
        <v>542</v>
      </c>
      <c r="O1900" s="19">
        <v>0.76</v>
      </c>
      <c r="P1900" s="16">
        <v>150</v>
      </c>
      <c r="Q1900" s="16">
        <v>220</v>
      </c>
      <c r="R1900" s="16">
        <v>8</v>
      </c>
      <c r="S1900" s="18" t="s">
        <v>43</v>
      </c>
      <c r="T1900" s="18"/>
      <c r="U1900" s="17">
        <v>3000</v>
      </c>
      <c r="V1900" s="18" t="s">
        <v>77</v>
      </c>
      <c r="W1900" s="18" t="s">
        <v>69</v>
      </c>
      <c r="X1900" s="16">
        <v>10</v>
      </c>
      <c r="Y1900" s="43" t="str">
        <f>HYPERLINK("https://api-enni.alpina.ru/FilePrivilegesApproval/149","https://api-enni.alpina.ru/FilePrivilegesApproval/149")</f>
        <v>https://api-enni.alpina.ru/FilePrivilegesApproval/149</v>
      </c>
      <c r="Z1900" s="18" t="s">
        <v>753</v>
      </c>
      <c r="AS1900" s="1">
        <f>IF($A1900&lt;&gt;0,1,0)</f>
        <v>0</v>
      </c>
      <c r="AT1900" s="1">
        <f>$A1900*$B1900</f>
        <v>0</v>
      </c>
      <c r="AU1900" s="1">
        <f>$A1900*$O1900</f>
        <v>0</v>
      </c>
      <c r="AV1900" s="1">
        <f>IF($R1900=0,0,INT($A1900/$R1900))</f>
        <v>0</v>
      </c>
      <c r="AW1900" s="1">
        <f>$A1900-$AV1900*$R1900</f>
        <v>0</v>
      </c>
    </row>
    <row r="1901" ht="24.95" customHeight="1" outlineLevel="3" s="1" customFormat="1">
      <c r="A1901" s="15"/>
      <c r="B1901" s="17">
        <v>1250</v>
      </c>
      <c r="C1901" s="17">
        <v>1688</v>
      </c>
      <c r="D1901" s="16">
        <v>29949</v>
      </c>
      <c r="E1901" s="18"/>
      <c r="F1901" s="18" t="s">
        <v>6169</v>
      </c>
      <c r="G1901" s="18" t="s">
        <v>6301</v>
      </c>
      <c r="H1901" s="18" t="s">
        <v>73</v>
      </c>
      <c r="I1901" s="18" t="s">
        <v>74</v>
      </c>
      <c r="J1901" s="16">
        <v>2026</v>
      </c>
      <c r="K1901" s="18" t="s">
        <v>6302</v>
      </c>
      <c r="L1901" s="16">
        <v>9785002232116</v>
      </c>
      <c r="M1901" s="18" t="s">
        <v>6303</v>
      </c>
      <c r="N1901" s="16">
        <v>660</v>
      </c>
      <c r="O1901" s="19">
        <v>0.89</v>
      </c>
      <c r="P1901" s="16">
        <v>150</v>
      </c>
      <c r="Q1901" s="16">
        <v>220</v>
      </c>
      <c r="R1901" s="16">
        <v>6</v>
      </c>
      <c r="S1901" s="18" t="s">
        <v>43</v>
      </c>
      <c r="T1901" s="18"/>
      <c r="U1901" s="17">
        <v>2000</v>
      </c>
      <c r="V1901" s="18" t="s">
        <v>77</v>
      </c>
      <c r="W1901" s="18" t="s">
        <v>45</v>
      </c>
      <c r="X1901" s="16">
        <v>10</v>
      </c>
      <c r="Y1901" s="43" t="str">
        <f>HYPERLINK("https://api-enni.alpina.ru/FilePrivilegesApproval/1186","https://api-enni.alpina.ru/FilePrivilegesApproval/1186")</f>
        <v>https://api-enni.alpina.ru/FilePrivilegesApproval/1186</v>
      </c>
      <c r="Z1901" s="18" t="s">
        <v>753</v>
      </c>
      <c r="AS1901" s="1">
        <f>IF($A1901&lt;&gt;0,1,0)</f>
        <v>0</v>
      </c>
      <c r="AT1901" s="1">
        <f>$A1901*$B1901</f>
        <v>0</v>
      </c>
      <c r="AU1901" s="1">
        <f>$A1901*$O1901</f>
        <v>0</v>
      </c>
      <c r="AV1901" s="1">
        <f>IF($R1901=0,0,INT($A1901/$R1901))</f>
        <v>0</v>
      </c>
      <c r="AW1901" s="1">
        <f>$A1901-$AV1901*$R1901</f>
        <v>0</v>
      </c>
    </row>
    <row r="1902" ht="24.95" customHeight="1" outlineLevel="3" s="1" customFormat="1">
      <c r="A1902" s="15"/>
      <c r="B1902" s="16">
        <v>690</v>
      </c>
      <c r="C1902" s="17">
        <v>1035</v>
      </c>
      <c r="D1902" s="16">
        <v>24119</v>
      </c>
      <c r="E1902" s="18"/>
      <c r="F1902" s="18" t="s">
        <v>406</v>
      </c>
      <c r="G1902" s="18" t="s">
        <v>6304</v>
      </c>
      <c r="H1902" s="18" t="s">
        <v>86</v>
      </c>
      <c r="I1902" s="18"/>
      <c r="J1902" s="16">
        <v>2026</v>
      </c>
      <c r="K1902" s="18" t="s">
        <v>6305</v>
      </c>
      <c r="L1902" s="16">
        <v>9785961474503</v>
      </c>
      <c r="M1902" s="18" t="s">
        <v>6306</v>
      </c>
      <c r="N1902" s="16">
        <v>176</v>
      </c>
      <c r="O1902" s="19">
        <v>0.31</v>
      </c>
      <c r="P1902" s="16">
        <v>130</v>
      </c>
      <c r="Q1902" s="16">
        <v>210</v>
      </c>
      <c r="R1902" s="16">
        <v>18</v>
      </c>
      <c r="S1902" s="18" t="s">
        <v>90</v>
      </c>
      <c r="T1902" s="18"/>
      <c r="U1902" s="17">
        <v>3000</v>
      </c>
      <c r="V1902" s="18" t="s">
        <v>77</v>
      </c>
      <c r="W1902" s="18" t="s">
        <v>91</v>
      </c>
      <c r="X1902" s="16">
        <v>10</v>
      </c>
      <c r="Y1902" s="43" t="str">
        <f>HYPERLINK("https://api-enni.alpina.ru/FilePrivilegesApproval/128","https://api-enni.alpina.ru/FilePrivilegesApproval/128")</f>
        <v>https://api-enni.alpina.ru/FilePrivilegesApproval/128</v>
      </c>
      <c r="Z1902" s="18"/>
      <c r="AS1902" s="1">
        <f>IF($A1902&lt;&gt;0,1,0)</f>
        <v>0</v>
      </c>
      <c r="AT1902" s="1">
        <f>$A1902*$B1902</f>
        <v>0</v>
      </c>
      <c r="AU1902" s="1">
        <f>$A1902*$O1902</f>
        <v>0</v>
      </c>
      <c r="AV1902" s="1">
        <f>IF($R1902=0,0,INT($A1902/$R1902))</f>
        <v>0</v>
      </c>
      <c r="AW1902" s="1">
        <f>$A1902-$AV1902*$R1902</f>
        <v>0</v>
      </c>
    </row>
    <row r="1903" ht="24.95" customHeight="1" outlineLevel="3" s="1" customFormat="1">
      <c r="A1903" s="15"/>
      <c r="B1903" s="16">
        <v>620</v>
      </c>
      <c r="C1903" s="16">
        <v>930</v>
      </c>
      <c r="D1903" s="16">
        <v>31160</v>
      </c>
      <c r="E1903" s="18"/>
      <c r="F1903" s="18" t="s">
        <v>6307</v>
      </c>
      <c r="G1903" s="18" t="s">
        <v>6308</v>
      </c>
      <c r="H1903" s="18" t="s">
        <v>73</v>
      </c>
      <c r="I1903" s="18" t="s">
        <v>74</v>
      </c>
      <c r="J1903" s="16">
        <v>2025</v>
      </c>
      <c r="K1903" s="18" t="s">
        <v>6309</v>
      </c>
      <c r="L1903" s="16">
        <v>9785002233441</v>
      </c>
      <c r="M1903" s="18" t="s">
        <v>6310</v>
      </c>
      <c r="N1903" s="16">
        <v>198</v>
      </c>
      <c r="O1903" s="19">
        <v>0.14</v>
      </c>
      <c r="P1903" s="16">
        <v>120</v>
      </c>
      <c r="Q1903" s="16">
        <v>170</v>
      </c>
      <c r="R1903" s="16">
        <v>28</v>
      </c>
      <c r="S1903" s="18" t="s">
        <v>190</v>
      </c>
      <c r="T1903" s="18"/>
      <c r="U1903" s="17">
        <v>2000</v>
      </c>
      <c r="V1903" s="18" t="s">
        <v>44</v>
      </c>
      <c r="W1903" s="18" t="s">
        <v>69</v>
      </c>
      <c r="X1903" s="16">
        <v>10</v>
      </c>
      <c r="Y1903" s="43" t="str">
        <f>HYPERLINK("https://api-enni.alpina.ru/FilePrivilegesApproval/822","https://api-enni.alpina.ru/FilePrivilegesApproval/822")</f>
        <v>https://api-enni.alpina.ru/FilePrivilegesApproval/822</v>
      </c>
      <c r="Z1903" s="18"/>
      <c r="AS1903" s="1">
        <f>IF($A1903&lt;&gt;0,1,0)</f>
        <v>0</v>
      </c>
      <c r="AT1903" s="1">
        <f>$A1903*$B1903</f>
        <v>0</v>
      </c>
      <c r="AU1903" s="1">
        <f>$A1903*$O1903</f>
        <v>0</v>
      </c>
      <c r="AV1903" s="1">
        <f>IF($R1903=0,0,INT($A1903/$R1903))</f>
        <v>0</v>
      </c>
      <c r="AW1903" s="1">
        <f>$A1903-$AV1903*$R1903</f>
        <v>0</v>
      </c>
    </row>
    <row r="1904" ht="24.95" customHeight="1" outlineLevel="3" s="1" customFormat="1">
      <c r="A1904" s="25"/>
      <c r="B1904" s="26">
        <v>790</v>
      </c>
      <c r="C1904" s="29">
        <v>1146</v>
      </c>
      <c r="D1904" s="26">
        <v>17448</v>
      </c>
      <c r="E1904" s="27"/>
      <c r="F1904" s="27" t="s">
        <v>6311</v>
      </c>
      <c r="G1904" s="27" t="s">
        <v>6312</v>
      </c>
      <c r="H1904" s="27" t="s">
        <v>73</v>
      </c>
      <c r="I1904" s="27"/>
      <c r="J1904" s="26">
        <v>2021</v>
      </c>
      <c r="K1904" s="27" t="s">
        <v>6313</v>
      </c>
      <c r="L1904" s="26">
        <v>9785001393689</v>
      </c>
      <c r="M1904" s="27" t="s">
        <v>6314</v>
      </c>
      <c r="N1904" s="26">
        <v>426</v>
      </c>
      <c r="O1904" s="28">
        <v>0.6</v>
      </c>
      <c r="P1904" s="26">
        <v>146</v>
      </c>
      <c r="Q1904" s="26">
        <v>216</v>
      </c>
      <c r="R1904" s="26">
        <v>8</v>
      </c>
      <c r="S1904" s="27" t="s">
        <v>43</v>
      </c>
      <c r="T1904" s="27"/>
      <c r="U1904" s="29">
        <v>3000</v>
      </c>
      <c r="V1904" s="27" t="s">
        <v>77</v>
      </c>
      <c r="W1904" s="27" t="s">
        <v>91</v>
      </c>
      <c r="X1904" s="26">
        <v>10</v>
      </c>
      <c r="Y1904" s="45" t="str">
        <f>HYPERLINK("https://api-enni.alpina.ru/FilePrivilegesApproval/226","https://api-enni.alpina.ru/FilePrivilegesApproval/226")</f>
        <v>https://api-enni.alpina.ru/FilePrivilegesApproval/226</v>
      </c>
      <c r="Z1904" s="27"/>
      <c r="AS1904" s="1">
        <f>IF($A1904&lt;&gt;0,1,0)</f>
        <v>0</v>
      </c>
      <c r="AT1904" s="1">
        <f>$A1904*$B1904</f>
        <v>0</v>
      </c>
      <c r="AU1904" s="1">
        <f>$A1904*$O1904</f>
        <v>0</v>
      </c>
      <c r="AV1904" s="1">
        <f>IF($R1904=0,0,INT($A1904/$R1904))</f>
        <v>0</v>
      </c>
      <c r="AW1904" s="1">
        <f>$A1904-$AV1904*$R1904</f>
        <v>0</v>
      </c>
    </row>
    <row r="1905" ht="24.95" customHeight="1" outlineLevel="3" s="1" customFormat="1">
      <c r="A1905" s="15"/>
      <c r="B1905" s="16">
        <v>890</v>
      </c>
      <c r="C1905" s="17">
        <v>1246</v>
      </c>
      <c r="D1905" s="16">
        <v>33119</v>
      </c>
      <c r="E1905" s="18"/>
      <c r="F1905" s="18" t="s">
        <v>6315</v>
      </c>
      <c r="G1905" s="18" t="s">
        <v>6316</v>
      </c>
      <c r="H1905" s="18" t="s">
        <v>73</v>
      </c>
      <c r="I1905" s="18" t="s">
        <v>74</v>
      </c>
      <c r="J1905" s="16">
        <v>2026</v>
      </c>
      <c r="K1905" s="18" t="s">
        <v>6317</v>
      </c>
      <c r="L1905" s="16">
        <v>9785002235384</v>
      </c>
      <c r="M1905" s="18" t="s">
        <v>6318</v>
      </c>
      <c r="N1905" s="16">
        <v>276</v>
      </c>
      <c r="O1905" s="19">
        <v>0.56</v>
      </c>
      <c r="P1905" s="16">
        <v>170</v>
      </c>
      <c r="Q1905" s="16">
        <v>240</v>
      </c>
      <c r="R1905" s="16">
        <v>8</v>
      </c>
      <c r="S1905" s="18" t="s">
        <v>123</v>
      </c>
      <c r="T1905" s="18"/>
      <c r="U1905" s="17">
        <v>3000</v>
      </c>
      <c r="V1905" s="18" t="s">
        <v>77</v>
      </c>
      <c r="W1905" s="18" t="s">
        <v>69</v>
      </c>
      <c r="X1905" s="16">
        <v>10</v>
      </c>
      <c r="Y1905" s="43" t="str">
        <f>HYPERLINK("https://api-enni.alpina.ru/FilePrivilegesApproval/1006","https://api-enni.alpina.ru/FilePrivilegesApproval/1006")</f>
        <v>https://api-enni.alpina.ru/FilePrivilegesApproval/1006</v>
      </c>
      <c r="Z1905" s="18"/>
      <c r="AS1905" s="1">
        <f>IF($A1905&lt;&gt;0,1,0)</f>
        <v>0</v>
      </c>
      <c r="AT1905" s="1">
        <f>$A1905*$B1905</f>
        <v>0</v>
      </c>
      <c r="AU1905" s="1">
        <f>$A1905*$O1905</f>
        <v>0</v>
      </c>
      <c r="AV1905" s="1">
        <f>IF($R1905=0,0,INT($A1905/$R1905))</f>
        <v>0</v>
      </c>
      <c r="AW1905" s="1">
        <f>$A1905-$AV1905*$R1905</f>
        <v>0</v>
      </c>
    </row>
    <row r="1906" ht="24.95" customHeight="1" outlineLevel="3" s="1" customFormat="1">
      <c r="A1906" s="25"/>
      <c r="B1906" s="26">
        <v>590</v>
      </c>
      <c r="C1906" s="26">
        <v>885</v>
      </c>
      <c r="D1906" s="26">
        <v>19016</v>
      </c>
      <c r="E1906" s="27"/>
      <c r="F1906" s="27" t="s">
        <v>6319</v>
      </c>
      <c r="G1906" s="27" t="s">
        <v>6320</v>
      </c>
      <c r="H1906" s="27" t="s">
        <v>86</v>
      </c>
      <c r="I1906" s="27"/>
      <c r="J1906" s="26">
        <v>2025</v>
      </c>
      <c r="K1906" s="27" t="s">
        <v>6321</v>
      </c>
      <c r="L1906" s="26">
        <v>9785961477139</v>
      </c>
      <c r="M1906" s="27" t="s">
        <v>6322</v>
      </c>
      <c r="N1906" s="26">
        <v>208</v>
      </c>
      <c r="O1906" s="28">
        <v>0.35</v>
      </c>
      <c r="P1906" s="26">
        <v>150</v>
      </c>
      <c r="Q1906" s="26">
        <v>220</v>
      </c>
      <c r="R1906" s="26">
        <v>8</v>
      </c>
      <c r="S1906" s="27" t="s">
        <v>43</v>
      </c>
      <c r="T1906" s="27"/>
      <c r="U1906" s="29">
        <v>1000</v>
      </c>
      <c r="V1906" s="27" t="s">
        <v>77</v>
      </c>
      <c r="W1906" s="27" t="s">
        <v>184</v>
      </c>
      <c r="X1906" s="26">
        <v>10</v>
      </c>
      <c r="Y1906" s="45" t="str">
        <f>HYPERLINK("https://api-enni.alpina.ru/FilePrivilegesApproval/135","https://api-enni.alpina.ru/FilePrivilegesApproval/135")</f>
        <v>https://api-enni.alpina.ru/FilePrivilegesApproval/135</v>
      </c>
      <c r="Z1906" s="27"/>
      <c r="AS1906" s="1">
        <f>IF($A1906&lt;&gt;0,1,0)</f>
        <v>0</v>
      </c>
      <c r="AT1906" s="1">
        <f>$A1906*$B1906</f>
        <v>0</v>
      </c>
      <c r="AU1906" s="1">
        <f>$A1906*$O1906</f>
        <v>0</v>
      </c>
      <c r="AV1906" s="1">
        <f>IF($R1906=0,0,INT($A1906/$R1906))</f>
        <v>0</v>
      </c>
      <c r="AW1906" s="1">
        <f>$A1906-$AV1906*$R1906</f>
        <v>0</v>
      </c>
    </row>
    <row r="1907" ht="11.1" customHeight="1" outlineLevel="2">
      <c r="A1907" s="41" t="s">
        <v>6323</v>
      </c>
      <c r="B1907" s="41"/>
      <c r="C1907" s="41"/>
      <c r="D1907" s="41"/>
      <c r="E1907" s="41"/>
      <c r="F1907" s="41"/>
      <c r="G1907" s="41"/>
      <c r="H1907" s="41"/>
      <c r="I1907" s="41"/>
      <c r="J1907" s="41"/>
      <c r="K1907" s="41"/>
      <c r="L1907" s="41"/>
      <c r="M1907" s="41"/>
      <c r="N1907" s="41"/>
      <c r="O1907" s="41"/>
      <c r="P1907" s="41"/>
      <c r="Q1907" s="41"/>
      <c r="R1907" s="41"/>
      <c r="S1907" s="41"/>
      <c r="T1907" s="41"/>
      <c r="U1907" s="41"/>
      <c r="V1907" s="41"/>
      <c r="W1907" s="41"/>
      <c r="X1907" s="41"/>
      <c r="Y1907" s="41"/>
      <c r="Z1907" s="24"/>
    </row>
    <row r="1908" ht="24.95" customHeight="1" outlineLevel="3" s="1" customFormat="1">
      <c r="A1908" s="15"/>
      <c r="B1908" s="16">
        <v>550</v>
      </c>
      <c r="C1908" s="16">
        <v>852</v>
      </c>
      <c r="D1908" s="16">
        <v>12711</v>
      </c>
      <c r="E1908" s="18"/>
      <c r="F1908" s="18" t="s">
        <v>6324</v>
      </c>
      <c r="G1908" s="18" t="s">
        <v>6325</v>
      </c>
      <c r="H1908" s="18" t="s">
        <v>73</v>
      </c>
      <c r="I1908" s="18" t="s">
        <v>74</v>
      </c>
      <c r="J1908" s="16">
        <v>2025</v>
      </c>
      <c r="K1908" s="18" t="s">
        <v>6326</v>
      </c>
      <c r="L1908" s="16">
        <v>9785001391401</v>
      </c>
      <c r="M1908" s="18" t="s">
        <v>6327</v>
      </c>
      <c r="N1908" s="16">
        <v>314</v>
      </c>
      <c r="O1908" s="19">
        <v>0.2</v>
      </c>
      <c r="P1908" s="16">
        <v>110</v>
      </c>
      <c r="Q1908" s="16">
        <v>160</v>
      </c>
      <c r="R1908" s="16">
        <v>12</v>
      </c>
      <c r="S1908" s="18" t="s">
        <v>190</v>
      </c>
      <c r="T1908" s="18" t="s">
        <v>2653</v>
      </c>
      <c r="U1908" s="17">
        <v>2000</v>
      </c>
      <c r="V1908" s="18" t="s">
        <v>44</v>
      </c>
      <c r="W1908" s="18" t="s">
        <v>91</v>
      </c>
      <c r="X1908" s="16">
        <v>10</v>
      </c>
      <c r="Y1908" s="43" t="str">
        <f>HYPERLINK("https://api-enni.alpina.ru/FilePrivilegesApproval/150","https://api-enni.alpina.ru/FilePrivilegesApproval/150")</f>
        <v>https://api-enni.alpina.ru/FilePrivilegesApproval/150</v>
      </c>
      <c r="Z1908" s="18"/>
      <c r="AS1908" s="1">
        <f>IF($A1908&lt;&gt;0,1,0)</f>
        <v>0</v>
      </c>
      <c r="AT1908" s="1">
        <f>$A1908*$B1908</f>
        <v>0</v>
      </c>
      <c r="AU1908" s="1">
        <f>$A1908*$O1908</f>
        <v>0</v>
      </c>
      <c r="AV1908" s="1">
        <f>IF($R1908=0,0,INT($A1908/$R1908))</f>
        <v>0</v>
      </c>
      <c r="AW1908" s="1">
        <f>$A1908-$AV1908*$R1908</f>
        <v>0</v>
      </c>
    </row>
    <row r="1909" ht="24.95" customHeight="1" outlineLevel="3" s="1" customFormat="1">
      <c r="A1909" s="15"/>
      <c r="B1909" s="16">
        <v>590</v>
      </c>
      <c r="C1909" s="16">
        <v>885</v>
      </c>
      <c r="D1909" s="16">
        <v>12600</v>
      </c>
      <c r="E1909" s="18"/>
      <c r="F1909" s="18" t="s">
        <v>6328</v>
      </c>
      <c r="G1909" s="18" t="s">
        <v>6329</v>
      </c>
      <c r="H1909" s="18" t="s">
        <v>95</v>
      </c>
      <c r="I1909" s="18" t="s">
        <v>74</v>
      </c>
      <c r="J1909" s="16">
        <v>2022</v>
      </c>
      <c r="K1909" s="18" t="s">
        <v>6330</v>
      </c>
      <c r="L1909" s="16">
        <v>9785907394971</v>
      </c>
      <c r="M1909" s="18" t="s">
        <v>6331</v>
      </c>
      <c r="N1909" s="16">
        <v>621</v>
      </c>
      <c r="O1909" s="19">
        <v>0.4</v>
      </c>
      <c r="P1909" s="16">
        <v>115</v>
      </c>
      <c r="Q1909" s="16">
        <v>165</v>
      </c>
      <c r="R1909" s="16">
        <v>8</v>
      </c>
      <c r="S1909" s="18" t="s">
        <v>190</v>
      </c>
      <c r="T1909" s="18" t="s">
        <v>2653</v>
      </c>
      <c r="U1909" s="17">
        <v>2000</v>
      </c>
      <c r="V1909" s="18" t="s">
        <v>44</v>
      </c>
      <c r="W1909" s="18" t="s">
        <v>69</v>
      </c>
      <c r="X1909" s="16">
        <v>10</v>
      </c>
      <c r="Y1909" s="43" t="str">
        <f>HYPERLINK("https://api-enni.alpina.ru/FilePrivilegesApproval/402","https://api-enni.alpina.ru/FilePrivilegesApproval/402")</f>
        <v>https://api-enni.alpina.ru/FilePrivilegesApproval/402</v>
      </c>
      <c r="Z1909" s="18"/>
      <c r="AS1909" s="1">
        <f>IF($A1909&lt;&gt;0,1,0)</f>
        <v>0</v>
      </c>
      <c r="AT1909" s="1">
        <f>$A1909*$B1909</f>
        <v>0</v>
      </c>
      <c r="AU1909" s="1">
        <f>$A1909*$O1909</f>
        <v>0</v>
      </c>
      <c r="AV1909" s="1">
        <f>IF($R1909=0,0,INT($A1909/$R1909))</f>
        <v>0</v>
      </c>
      <c r="AW1909" s="1">
        <f>$A1909-$AV1909*$R1909</f>
        <v>0</v>
      </c>
    </row>
    <row r="1910" ht="24.95" customHeight="1" outlineLevel="3" s="1" customFormat="1">
      <c r="A1910" s="15"/>
      <c r="B1910" s="16">
        <v>510</v>
      </c>
      <c r="C1910" s="16">
        <v>790</v>
      </c>
      <c r="D1910" s="16">
        <v>32247</v>
      </c>
      <c r="E1910" s="18"/>
      <c r="F1910" s="18" t="s">
        <v>5379</v>
      </c>
      <c r="G1910" s="18" t="s">
        <v>6332</v>
      </c>
      <c r="H1910" s="18" t="s">
        <v>73</v>
      </c>
      <c r="I1910" s="18" t="s">
        <v>74</v>
      </c>
      <c r="J1910" s="16">
        <v>2025</v>
      </c>
      <c r="K1910" s="18" t="s">
        <v>6333</v>
      </c>
      <c r="L1910" s="16">
        <v>9785002234844</v>
      </c>
      <c r="M1910" s="18" t="s">
        <v>6334</v>
      </c>
      <c r="N1910" s="16">
        <v>576</v>
      </c>
      <c r="O1910" s="19">
        <v>0.37</v>
      </c>
      <c r="P1910" s="16">
        <v>120</v>
      </c>
      <c r="Q1910" s="16">
        <v>170</v>
      </c>
      <c r="R1910" s="16">
        <v>6</v>
      </c>
      <c r="S1910" s="18" t="s">
        <v>190</v>
      </c>
      <c r="T1910" s="18" t="s">
        <v>2653</v>
      </c>
      <c r="U1910" s="17">
        <v>2000</v>
      </c>
      <c r="V1910" s="18" t="s">
        <v>44</v>
      </c>
      <c r="W1910" s="18" t="s">
        <v>45</v>
      </c>
      <c r="X1910" s="16">
        <v>10</v>
      </c>
      <c r="Y1910" s="43" t="str">
        <f>HYPERLINK("https://api-enni.alpina.ru/FilePrivilegesApproval/915","https://api-enni.alpina.ru/FilePrivilegesApproval/915")</f>
        <v>https://api-enni.alpina.ru/FilePrivilegesApproval/915</v>
      </c>
      <c r="Z1910" s="18"/>
      <c r="AS1910" s="1">
        <f>IF($A1910&lt;&gt;0,1,0)</f>
        <v>0</v>
      </c>
      <c r="AT1910" s="1">
        <f>$A1910*$B1910</f>
        <v>0</v>
      </c>
      <c r="AU1910" s="1">
        <f>$A1910*$O1910</f>
        <v>0</v>
      </c>
      <c r="AV1910" s="1">
        <f>IF($R1910=0,0,INT($A1910/$R1910))</f>
        <v>0</v>
      </c>
      <c r="AW1910" s="1">
        <f>$A1910-$AV1910*$R1910</f>
        <v>0</v>
      </c>
    </row>
    <row r="1911" ht="24.95" customHeight="1" outlineLevel="3" s="1" customFormat="1">
      <c r="A1911" s="15"/>
      <c r="B1911" s="16">
        <v>510</v>
      </c>
      <c r="C1911" s="16">
        <v>791</v>
      </c>
      <c r="D1911" s="16">
        <v>12561</v>
      </c>
      <c r="E1911" s="18"/>
      <c r="F1911" s="18" t="s">
        <v>6335</v>
      </c>
      <c r="G1911" s="18" t="s">
        <v>6336</v>
      </c>
      <c r="H1911" s="18" t="s">
        <v>73</v>
      </c>
      <c r="I1911" s="18" t="s">
        <v>74</v>
      </c>
      <c r="J1911" s="16">
        <v>2025</v>
      </c>
      <c r="K1911" s="18" t="s">
        <v>6337</v>
      </c>
      <c r="L1911" s="16">
        <v>9785001391258</v>
      </c>
      <c r="M1911" s="18" t="s">
        <v>6338</v>
      </c>
      <c r="N1911" s="16">
        <v>432</v>
      </c>
      <c r="O1911" s="19">
        <v>0.28</v>
      </c>
      <c r="P1911" s="16">
        <v>120</v>
      </c>
      <c r="Q1911" s="16">
        <v>170</v>
      </c>
      <c r="R1911" s="16">
        <v>12</v>
      </c>
      <c r="S1911" s="18" t="s">
        <v>190</v>
      </c>
      <c r="T1911" s="18" t="s">
        <v>2653</v>
      </c>
      <c r="U1911" s="17">
        <v>2000</v>
      </c>
      <c r="V1911" s="18" t="s">
        <v>44</v>
      </c>
      <c r="W1911" s="18" t="s">
        <v>69</v>
      </c>
      <c r="X1911" s="16">
        <v>10</v>
      </c>
      <c r="Y1911" s="43" t="str">
        <f>HYPERLINK("https://api-enni.alpina.ru/FilePrivilegesApproval/127","https://api-enni.alpina.ru/FilePrivilegesApproval/127")</f>
        <v>https://api-enni.alpina.ru/FilePrivilegesApproval/127</v>
      </c>
      <c r="Z1911" s="18"/>
      <c r="AS1911" s="1">
        <f>IF($A1911&lt;&gt;0,1,0)</f>
        <v>0</v>
      </c>
      <c r="AT1911" s="1">
        <f>$A1911*$B1911</f>
        <v>0</v>
      </c>
      <c r="AU1911" s="1">
        <f>$A1911*$O1911</f>
        <v>0</v>
      </c>
      <c r="AV1911" s="1">
        <f>IF($R1911=0,0,INT($A1911/$R1911))</f>
        <v>0</v>
      </c>
      <c r="AW1911" s="1">
        <f>$A1911-$AV1911*$R1911</f>
        <v>0</v>
      </c>
    </row>
    <row r="1912" ht="24.95" customHeight="1" outlineLevel="3" s="1" customFormat="1">
      <c r="A1912" s="15"/>
      <c r="B1912" s="16">
        <v>600</v>
      </c>
      <c r="C1912" s="16">
        <v>900</v>
      </c>
      <c r="D1912" s="16">
        <v>12752</v>
      </c>
      <c r="E1912" s="18"/>
      <c r="F1912" s="18" t="s">
        <v>6265</v>
      </c>
      <c r="G1912" s="18" t="s">
        <v>6339</v>
      </c>
      <c r="H1912" s="18" t="s">
        <v>73</v>
      </c>
      <c r="I1912" s="18" t="s">
        <v>74</v>
      </c>
      <c r="J1912" s="16">
        <v>2026</v>
      </c>
      <c r="K1912" s="18" t="s">
        <v>6340</v>
      </c>
      <c r="L1912" s="16">
        <v>9785001391449</v>
      </c>
      <c r="M1912" s="18" t="s">
        <v>6341</v>
      </c>
      <c r="N1912" s="16">
        <v>608</v>
      </c>
      <c r="O1912" s="19">
        <v>0.38</v>
      </c>
      <c r="P1912" s="16">
        <v>115</v>
      </c>
      <c r="Q1912" s="16">
        <v>165</v>
      </c>
      <c r="R1912" s="16">
        <v>6</v>
      </c>
      <c r="S1912" s="18" t="s">
        <v>190</v>
      </c>
      <c r="T1912" s="18" t="s">
        <v>2653</v>
      </c>
      <c r="U1912" s="17">
        <v>3000</v>
      </c>
      <c r="V1912" s="18" t="s">
        <v>44</v>
      </c>
      <c r="W1912" s="18" t="s">
        <v>69</v>
      </c>
      <c r="X1912" s="16">
        <v>10</v>
      </c>
      <c r="Y1912" s="43" t="str">
        <f>HYPERLINK("https://api-enni.alpina.ru/FilePrivilegesApproval/131","https://api-enni.alpina.ru/FilePrivilegesApproval/131")</f>
        <v>https://api-enni.alpina.ru/FilePrivilegesApproval/131</v>
      </c>
      <c r="Z1912" s="18" t="s">
        <v>1945</v>
      </c>
      <c r="AS1912" s="1">
        <f>IF($A1912&lt;&gt;0,1,0)</f>
        <v>0</v>
      </c>
      <c r="AT1912" s="1">
        <f>$A1912*$B1912</f>
        <v>0</v>
      </c>
      <c r="AU1912" s="1">
        <f>$A1912*$O1912</f>
        <v>0</v>
      </c>
      <c r="AV1912" s="1">
        <f>IF($R1912=0,0,INT($A1912/$R1912))</f>
        <v>0</v>
      </c>
      <c r="AW1912" s="1">
        <f>$A1912-$AV1912*$R1912</f>
        <v>0</v>
      </c>
    </row>
    <row r="1913" ht="24.95" customHeight="1" outlineLevel="3" s="1" customFormat="1">
      <c r="A1913" s="15"/>
      <c r="B1913" s="16">
        <v>390</v>
      </c>
      <c r="C1913" s="16">
        <v>624</v>
      </c>
      <c r="D1913" s="16">
        <v>12468</v>
      </c>
      <c r="E1913" s="18"/>
      <c r="F1913" s="18" t="s">
        <v>6342</v>
      </c>
      <c r="G1913" s="18" t="s">
        <v>6343</v>
      </c>
      <c r="H1913" s="18" t="s">
        <v>86</v>
      </c>
      <c r="I1913" s="18" t="s">
        <v>74</v>
      </c>
      <c r="J1913" s="16">
        <v>2026</v>
      </c>
      <c r="K1913" s="18" t="s">
        <v>6344</v>
      </c>
      <c r="L1913" s="16">
        <v>9785961425536</v>
      </c>
      <c r="M1913" s="18" t="s">
        <v>6345</v>
      </c>
      <c r="N1913" s="16">
        <v>364</v>
      </c>
      <c r="O1913" s="19">
        <v>0.24</v>
      </c>
      <c r="P1913" s="16">
        <v>120</v>
      </c>
      <c r="Q1913" s="16">
        <v>170</v>
      </c>
      <c r="R1913" s="16">
        <v>10</v>
      </c>
      <c r="S1913" s="18" t="s">
        <v>190</v>
      </c>
      <c r="T1913" s="18" t="s">
        <v>2653</v>
      </c>
      <c r="U1913" s="17">
        <v>3000</v>
      </c>
      <c r="V1913" s="18" t="s">
        <v>44</v>
      </c>
      <c r="W1913" s="18" t="s">
        <v>184</v>
      </c>
      <c r="X1913" s="16">
        <v>10</v>
      </c>
      <c r="Y1913" s="43" t="str">
        <f>HYPERLINK("https://api-enni.alpina.ru/FilePrivilegesApproval/124","https://api-enni.alpina.ru/FilePrivilegesApproval/124")</f>
        <v>https://api-enni.alpina.ru/FilePrivilegesApproval/124</v>
      </c>
      <c r="Z1913" s="18"/>
      <c r="AS1913" s="1">
        <f>IF($A1913&lt;&gt;0,1,0)</f>
        <v>0</v>
      </c>
      <c r="AT1913" s="1">
        <f>$A1913*$B1913</f>
        <v>0</v>
      </c>
      <c r="AU1913" s="1">
        <f>$A1913*$O1913</f>
        <v>0</v>
      </c>
      <c r="AV1913" s="1">
        <f>IF($R1913=0,0,INT($A1913/$R1913))</f>
        <v>0</v>
      </c>
      <c r="AW1913" s="1">
        <f>$A1913-$AV1913*$R1913</f>
        <v>0</v>
      </c>
    </row>
    <row r="1914" ht="24.95" customHeight="1" outlineLevel="3" s="1" customFormat="1">
      <c r="A1914" s="15"/>
      <c r="B1914" s="16">
        <v>440</v>
      </c>
      <c r="C1914" s="16">
        <v>682</v>
      </c>
      <c r="D1914" s="16">
        <v>12710</v>
      </c>
      <c r="E1914" s="18"/>
      <c r="F1914" s="18" t="s">
        <v>6346</v>
      </c>
      <c r="G1914" s="18" t="s">
        <v>6347</v>
      </c>
      <c r="H1914" s="18" t="s">
        <v>73</v>
      </c>
      <c r="I1914" s="18" t="s">
        <v>74</v>
      </c>
      <c r="J1914" s="16">
        <v>2025</v>
      </c>
      <c r="K1914" s="18" t="s">
        <v>6348</v>
      </c>
      <c r="L1914" s="16">
        <v>9785001391395</v>
      </c>
      <c r="M1914" s="18" t="s">
        <v>6349</v>
      </c>
      <c r="N1914" s="16">
        <v>220</v>
      </c>
      <c r="O1914" s="19">
        <v>0.15</v>
      </c>
      <c r="P1914" s="16">
        <v>115</v>
      </c>
      <c r="Q1914" s="16">
        <v>165</v>
      </c>
      <c r="R1914" s="16">
        <v>24</v>
      </c>
      <c r="S1914" s="18" t="s">
        <v>190</v>
      </c>
      <c r="T1914" s="18" t="s">
        <v>2653</v>
      </c>
      <c r="U1914" s="17">
        <v>2000</v>
      </c>
      <c r="V1914" s="18" t="s">
        <v>44</v>
      </c>
      <c r="W1914" s="18" t="s">
        <v>69</v>
      </c>
      <c r="X1914" s="16">
        <v>10</v>
      </c>
      <c r="Y1914" s="43" t="str">
        <f>HYPERLINK("https://api-enni.alpina.ru/FilePrivilegesApproval/131","https://api-enni.alpina.ru/FilePrivilegesApproval/131")</f>
        <v>https://api-enni.alpina.ru/FilePrivilegesApproval/131</v>
      </c>
      <c r="Z1914" s="18"/>
      <c r="AS1914" s="1">
        <f>IF($A1914&lt;&gt;0,1,0)</f>
        <v>0</v>
      </c>
      <c r="AT1914" s="1">
        <f>$A1914*$B1914</f>
        <v>0</v>
      </c>
      <c r="AU1914" s="1">
        <f>$A1914*$O1914</f>
        <v>0</v>
      </c>
      <c r="AV1914" s="1">
        <f>IF($R1914=0,0,INT($A1914/$R1914))</f>
        <v>0</v>
      </c>
      <c r="AW1914" s="1">
        <f>$A1914-$AV1914*$R1914</f>
        <v>0</v>
      </c>
    </row>
    <row r="1915" ht="24.95" customHeight="1" outlineLevel="3" s="1" customFormat="1">
      <c r="A1915" s="15"/>
      <c r="B1915" s="16">
        <v>400</v>
      </c>
      <c r="C1915" s="16">
        <v>640</v>
      </c>
      <c r="D1915" s="16">
        <v>26439</v>
      </c>
      <c r="E1915" s="18"/>
      <c r="F1915" s="18" t="s">
        <v>6181</v>
      </c>
      <c r="G1915" s="18" t="s">
        <v>6350</v>
      </c>
      <c r="H1915" s="18" t="s">
        <v>73</v>
      </c>
      <c r="I1915" s="18" t="s">
        <v>74</v>
      </c>
      <c r="J1915" s="16">
        <v>2026</v>
      </c>
      <c r="K1915" s="18" t="s">
        <v>6351</v>
      </c>
      <c r="L1915" s="16">
        <v>9785001397694</v>
      </c>
      <c r="M1915" s="18" t="s">
        <v>6352</v>
      </c>
      <c r="N1915" s="16">
        <v>266</v>
      </c>
      <c r="O1915" s="19">
        <v>0.18</v>
      </c>
      <c r="P1915" s="16">
        <v>120</v>
      </c>
      <c r="Q1915" s="16">
        <v>170</v>
      </c>
      <c r="R1915" s="16">
        <v>12</v>
      </c>
      <c r="S1915" s="18" t="s">
        <v>190</v>
      </c>
      <c r="T1915" s="18" t="s">
        <v>2653</v>
      </c>
      <c r="U1915" s="17">
        <v>3000</v>
      </c>
      <c r="V1915" s="18" t="s">
        <v>44</v>
      </c>
      <c r="W1915" s="18" t="s">
        <v>91</v>
      </c>
      <c r="X1915" s="16">
        <v>10</v>
      </c>
      <c r="Y1915" s="43" t="str">
        <f>HYPERLINK("https://api-enni.alpina.ru/FilePrivilegesApproval/150","https://api-enni.alpina.ru/FilePrivilegesApproval/150")</f>
        <v>https://api-enni.alpina.ru/FilePrivilegesApproval/150</v>
      </c>
      <c r="Z1915" s="18" t="s">
        <v>1945</v>
      </c>
      <c r="AS1915" s="1">
        <f>IF($A1915&lt;&gt;0,1,0)</f>
        <v>0</v>
      </c>
      <c r="AT1915" s="1">
        <f>$A1915*$B1915</f>
        <v>0</v>
      </c>
      <c r="AU1915" s="1">
        <f>$A1915*$O1915</f>
        <v>0</v>
      </c>
      <c r="AV1915" s="1">
        <f>IF($R1915=0,0,INT($A1915/$R1915))</f>
        <v>0</v>
      </c>
      <c r="AW1915" s="1">
        <f>$A1915-$AV1915*$R1915</f>
        <v>0</v>
      </c>
    </row>
    <row r="1916" ht="24.95" customHeight="1" outlineLevel="3" s="1" customFormat="1">
      <c r="A1916" s="15"/>
      <c r="B1916" s="16">
        <v>490</v>
      </c>
      <c r="C1916" s="16">
        <v>760</v>
      </c>
      <c r="D1916" s="16">
        <v>12695</v>
      </c>
      <c r="E1916" s="18"/>
      <c r="F1916" s="18" t="s">
        <v>6353</v>
      </c>
      <c r="G1916" s="18" t="s">
        <v>6354</v>
      </c>
      <c r="H1916" s="18" t="s">
        <v>73</v>
      </c>
      <c r="I1916" s="18" t="s">
        <v>74</v>
      </c>
      <c r="J1916" s="16">
        <v>2024</v>
      </c>
      <c r="K1916" s="18" t="s">
        <v>6355</v>
      </c>
      <c r="L1916" s="16">
        <v>9785001391388</v>
      </c>
      <c r="M1916" s="18" t="s">
        <v>6356</v>
      </c>
      <c r="N1916" s="16">
        <v>408</v>
      </c>
      <c r="O1916" s="19">
        <v>0.27</v>
      </c>
      <c r="P1916" s="16">
        <v>115</v>
      </c>
      <c r="Q1916" s="16">
        <v>165</v>
      </c>
      <c r="R1916" s="16">
        <v>8</v>
      </c>
      <c r="S1916" s="18" t="s">
        <v>190</v>
      </c>
      <c r="T1916" s="18" t="s">
        <v>2653</v>
      </c>
      <c r="U1916" s="17">
        <v>2000</v>
      </c>
      <c r="V1916" s="18" t="s">
        <v>44</v>
      </c>
      <c r="W1916" s="18" t="s">
        <v>91</v>
      </c>
      <c r="X1916" s="16">
        <v>10</v>
      </c>
      <c r="Y1916" s="43" t="str">
        <f>HYPERLINK("https://api-enni.alpina.ru/FilePrivilegesApproval/127","https://api-enni.alpina.ru/FilePrivilegesApproval/127")</f>
        <v>https://api-enni.alpina.ru/FilePrivilegesApproval/127</v>
      </c>
      <c r="Z1916" s="18" t="s">
        <v>1313</v>
      </c>
      <c r="AS1916" s="1">
        <f>IF($A1916&lt;&gt;0,1,0)</f>
        <v>0</v>
      </c>
      <c r="AT1916" s="1">
        <f>$A1916*$B1916</f>
        <v>0</v>
      </c>
      <c r="AU1916" s="1">
        <f>$A1916*$O1916</f>
        <v>0</v>
      </c>
      <c r="AV1916" s="1">
        <f>IF($R1916=0,0,INT($A1916/$R1916))</f>
        <v>0</v>
      </c>
      <c r="AW1916" s="1">
        <f>$A1916-$AV1916*$R1916</f>
        <v>0</v>
      </c>
    </row>
    <row r="1917" ht="11.1" customHeight="1" outlineLevel="2">
      <c r="A1917" s="41" t="s">
        <v>6357</v>
      </c>
      <c r="B1917" s="41"/>
      <c r="C1917" s="41"/>
      <c r="D1917" s="41"/>
      <c r="E1917" s="41"/>
      <c r="F1917" s="41"/>
      <c r="G1917" s="41"/>
      <c r="H1917" s="41"/>
      <c r="I1917" s="41"/>
      <c r="J1917" s="41"/>
      <c r="K1917" s="41"/>
      <c r="L1917" s="41"/>
      <c r="M1917" s="41"/>
      <c r="N1917" s="41"/>
      <c r="O1917" s="41"/>
      <c r="P1917" s="41"/>
      <c r="Q1917" s="41"/>
      <c r="R1917" s="41"/>
      <c r="S1917" s="41"/>
      <c r="T1917" s="41"/>
      <c r="U1917" s="41"/>
      <c r="V1917" s="41"/>
      <c r="W1917" s="41"/>
      <c r="X1917" s="41"/>
      <c r="Y1917" s="41"/>
      <c r="Z1917" s="24"/>
    </row>
    <row r="1918" ht="24.95" customHeight="1" outlineLevel="3" s="1" customFormat="1">
      <c r="A1918" s="15"/>
      <c r="B1918" s="16">
        <v>590</v>
      </c>
      <c r="C1918" s="16">
        <v>885</v>
      </c>
      <c r="D1918" s="16">
        <v>5870</v>
      </c>
      <c r="E1918" s="18"/>
      <c r="F1918" s="18" t="s">
        <v>6358</v>
      </c>
      <c r="G1918" s="18" t="s">
        <v>6359</v>
      </c>
      <c r="H1918" s="18" t="s">
        <v>86</v>
      </c>
      <c r="I1918" s="18" t="s">
        <v>74</v>
      </c>
      <c r="J1918" s="16">
        <v>2026</v>
      </c>
      <c r="K1918" s="18" t="s">
        <v>6360</v>
      </c>
      <c r="L1918" s="16">
        <v>9785961462401</v>
      </c>
      <c r="M1918" s="18" t="s">
        <v>6361</v>
      </c>
      <c r="N1918" s="16">
        <v>176</v>
      </c>
      <c r="O1918" s="19">
        <v>0.27</v>
      </c>
      <c r="P1918" s="16">
        <v>163</v>
      </c>
      <c r="Q1918" s="16">
        <v>215</v>
      </c>
      <c r="R1918" s="16">
        <v>14</v>
      </c>
      <c r="S1918" s="18" t="s">
        <v>52</v>
      </c>
      <c r="T1918" s="18"/>
      <c r="U1918" s="17">
        <v>2000</v>
      </c>
      <c r="V1918" s="18" t="s">
        <v>44</v>
      </c>
      <c r="W1918" s="18" t="s">
        <v>184</v>
      </c>
      <c r="X1918" s="16">
        <v>10</v>
      </c>
      <c r="Y1918" s="43" t="str">
        <f>HYPERLINK("https://api-enni.alpina.ru/FilePrivilegesApproval/2","https://api-enni.alpina.ru/FilePrivilegesApproval/2")</f>
        <v>https://api-enni.alpina.ru/FilePrivilegesApproval/2</v>
      </c>
      <c r="Z1918" s="18" t="s">
        <v>744</v>
      </c>
      <c r="AS1918" s="1">
        <f>IF($A1918&lt;&gt;0,1,0)</f>
        <v>0</v>
      </c>
      <c r="AT1918" s="1">
        <f>$A1918*$B1918</f>
        <v>0</v>
      </c>
      <c r="AU1918" s="1">
        <f>$A1918*$O1918</f>
        <v>0</v>
      </c>
      <c r="AV1918" s="1">
        <f>IF($R1918=0,0,INT($A1918/$R1918))</f>
        <v>0</v>
      </c>
      <c r="AW1918" s="1">
        <f>$A1918-$AV1918*$R1918</f>
        <v>0</v>
      </c>
    </row>
    <row r="1919" ht="24.95" customHeight="1" outlineLevel="3" s="1" customFormat="1">
      <c r="A1919" s="15"/>
      <c r="B1919" s="16">
        <v>590</v>
      </c>
      <c r="C1919" s="16">
        <v>885</v>
      </c>
      <c r="D1919" s="16">
        <v>21010</v>
      </c>
      <c r="E1919" s="18"/>
      <c r="F1919" s="18" t="s">
        <v>6362</v>
      </c>
      <c r="G1919" s="18" t="s">
        <v>6363</v>
      </c>
      <c r="H1919" s="18" t="s">
        <v>86</v>
      </c>
      <c r="I1919" s="18" t="s">
        <v>74</v>
      </c>
      <c r="J1919" s="16">
        <v>2026</v>
      </c>
      <c r="K1919" s="18" t="s">
        <v>6364</v>
      </c>
      <c r="L1919" s="16">
        <v>9785961475135</v>
      </c>
      <c r="M1919" s="18" t="s">
        <v>6365</v>
      </c>
      <c r="N1919" s="16">
        <v>192</v>
      </c>
      <c r="O1919" s="19">
        <v>0.24</v>
      </c>
      <c r="P1919" s="16">
        <v>150</v>
      </c>
      <c r="Q1919" s="16">
        <v>210</v>
      </c>
      <c r="R1919" s="16">
        <v>20</v>
      </c>
      <c r="S1919" s="18" t="s">
        <v>43</v>
      </c>
      <c r="T1919" s="18"/>
      <c r="U1919" s="17">
        <v>5000</v>
      </c>
      <c r="V1919" s="18" t="s">
        <v>44</v>
      </c>
      <c r="W1919" s="18" t="s">
        <v>184</v>
      </c>
      <c r="X1919" s="16">
        <v>10</v>
      </c>
      <c r="Y1919" s="43" t="str">
        <f>HYPERLINK("https://api-enni.alpina.ru/FilePrivilegesApproval/140","https://api-enni.alpina.ru/FilePrivilegesApproval/140")</f>
        <v>https://api-enni.alpina.ru/FilePrivilegesApproval/140</v>
      </c>
      <c r="Z1919" s="18" t="s">
        <v>1958</v>
      </c>
      <c r="AS1919" s="1">
        <f>IF($A1919&lt;&gt;0,1,0)</f>
        <v>0</v>
      </c>
      <c r="AT1919" s="1">
        <f>$A1919*$B1919</f>
        <v>0</v>
      </c>
      <c r="AU1919" s="1">
        <f>$A1919*$O1919</f>
        <v>0</v>
      </c>
      <c r="AV1919" s="1">
        <f>IF($R1919=0,0,INT($A1919/$R1919))</f>
        <v>0</v>
      </c>
      <c r="AW1919" s="1">
        <f>$A1919-$AV1919*$R1919</f>
        <v>0</v>
      </c>
    </row>
    <row r="1920" ht="24.95" customHeight="1" outlineLevel="3" s="1" customFormat="1">
      <c r="A1920" s="15"/>
      <c r="B1920" s="16">
        <v>740</v>
      </c>
      <c r="C1920" s="17">
        <v>1073</v>
      </c>
      <c r="D1920" s="16">
        <v>37410</v>
      </c>
      <c r="E1920" s="18"/>
      <c r="F1920" s="18" t="s">
        <v>6362</v>
      </c>
      <c r="G1920" s="18" t="s">
        <v>6363</v>
      </c>
      <c r="H1920" s="18" t="s">
        <v>86</v>
      </c>
      <c r="I1920" s="18" t="s">
        <v>74</v>
      </c>
      <c r="J1920" s="16">
        <v>2026</v>
      </c>
      <c r="K1920" s="18" t="s">
        <v>6366</v>
      </c>
      <c r="L1920" s="16">
        <v>9785006320062</v>
      </c>
      <c r="M1920" s="18" t="s">
        <v>6367</v>
      </c>
      <c r="N1920" s="16">
        <v>192</v>
      </c>
      <c r="O1920" s="19">
        <v>0.34</v>
      </c>
      <c r="P1920" s="16">
        <v>150</v>
      </c>
      <c r="Q1920" s="16">
        <v>220</v>
      </c>
      <c r="R1920" s="16">
        <v>20</v>
      </c>
      <c r="S1920" s="18" t="s">
        <v>43</v>
      </c>
      <c r="T1920" s="18"/>
      <c r="U1920" s="17">
        <v>2000</v>
      </c>
      <c r="V1920" s="18" t="s">
        <v>77</v>
      </c>
      <c r="W1920" s="18" t="s">
        <v>184</v>
      </c>
      <c r="X1920" s="16">
        <v>10</v>
      </c>
      <c r="Y1920" s="43" t="str">
        <f>HYPERLINK("https://api-enni.alpina.ru/FilePrivilegesApproval/1195","https://api-enni.alpina.ru/FilePrivilegesApproval/1195")</f>
        <v>https://api-enni.alpina.ru/FilePrivilegesApproval/1195</v>
      </c>
      <c r="Z1920" s="18" t="s">
        <v>835</v>
      </c>
      <c r="AS1920" s="1">
        <f>IF($A1920&lt;&gt;0,1,0)</f>
        <v>0</v>
      </c>
      <c r="AT1920" s="1">
        <f>$A1920*$B1920</f>
        <v>0</v>
      </c>
      <c r="AU1920" s="1">
        <f>$A1920*$O1920</f>
        <v>0</v>
      </c>
      <c r="AV1920" s="1">
        <f>IF($R1920=0,0,INT($A1920/$R1920))</f>
        <v>0</v>
      </c>
      <c r="AW1920" s="1">
        <f>$A1920-$AV1920*$R1920</f>
        <v>0</v>
      </c>
    </row>
    <row r="1921" ht="24.95" customHeight="1" outlineLevel="3" s="1" customFormat="1">
      <c r="A1921" s="15"/>
      <c r="B1921" s="16">
        <v>390</v>
      </c>
      <c r="C1921" s="16">
        <v>624</v>
      </c>
      <c r="D1921" s="16">
        <v>29029</v>
      </c>
      <c r="E1921" s="18"/>
      <c r="F1921" s="18" t="s">
        <v>6368</v>
      </c>
      <c r="G1921" s="18" t="s">
        <v>6369</v>
      </c>
      <c r="H1921" s="18" t="s">
        <v>86</v>
      </c>
      <c r="I1921" s="18" t="s">
        <v>74</v>
      </c>
      <c r="J1921" s="16">
        <v>2026</v>
      </c>
      <c r="K1921" s="18" t="s">
        <v>6370</v>
      </c>
      <c r="L1921" s="16">
        <v>9785961491104</v>
      </c>
      <c r="M1921" s="18" t="s">
        <v>6371</v>
      </c>
      <c r="N1921" s="16">
        <v>446</v>
      </c>
      <c r="O1921" s="19">
        <v>0.29</v>
      </c>
      <c r="P1921" s="16">
        <v>120</v>
      </c>
      <c r="Q1921" s="16">
        <v>170</v>
      </c>
      <c r="R1921" s="16">
        <v>8</v>
      </c>
      <c r="S1921" s="18" t="s">
        <v>190</v>
      </c>
      <c r="T1921" s="18" t="s">
        <v>2653</v>
      </c>
      <c r="U1921" s="17">
        <v>3000</v>
      </c>
      <c r="V1921" s="18" t="s">
        <v>44</v>
      </c>
      <c r="W1921" s="18" t="s">
        <v>184</v>
      </c>
      <c r="X1921" s="16">
        <v>10</v>
      </c>
      <c r="Y1921" s="43" t="str">
        <f>HYPERLINK("https://api-enni.alpina.ru/FilePrivilegesApproval/315","https://api-enni.alpina.ru/FilePrivilegesApproval/315")</f>
        <v>https://api-enni.alpina.ru/FilePrivilegesApproval/315</v>
      </c>
      <c r="Z1921" s="18" t="s">
        <v>1869</v>
      </c>
      <c r="AS1921" s="1">
        <f>IF($A1921&lt;&gt;0,1,0)</f>
        <v>0</v>
      </c>
      <c r="AT1921" s="1">
        <f>$A1921*$B1921</f>
        <v>0</v>
      </c>
      <c r="AU1921" s="1">
        <f>$A1921*$O1921</f>
        <v>0</v>
      </c>
      <c r="AV1921" s="1">
        <f>IF($R1921=0,0,INT($A1921/$R1921))</f>
        <v>0</v>
      </c>
      <c r="AW1921" s="1">
        <f>$A1921-$AV1921*$R1921</f>
        <v>0</v>
      </c>
    </row>
    <row r="1922" ht="24.95" customHeight="1" outlineLevel="3" s="1" customFormat="1">
      <c r="A1922" s="15"/>
      <c r="B1922" s="17">
        <v>1590</v>
      </c>
      <c r="C1922" s="17">
        <v>2067</v>
      </c>
      <c r="D1922" s="16">
        <v>13894</v>
      </c>
      <c r="E1922" s="18"/>
      <c r="F1922" s="18" t="s">
        <v>6372</v>
      </c>
      <c r="G1922" s="18" t="s">
        <v>6373</v>
      </c>
      <c r="H1922" s="18" t="s">
        <v>73</v>
      </c>
      <c r="I1922" s="18" t="s">
        <v>74</v>
      </c>
      <c r="J1922" s="16">
        <v>2024</v>
      </c>
      <c r="K1922" s="18" t="s">
        <v>6374</v>
      </c>
      <c r="L1922" s="16">
        <v>9785001391944</v>
      </c>
      <c r="M1922" s="18" t="s">
        <v>6375</v>
      </c>
      <c r="N1922" s="16">
        <v>400</v>
      </c>
      <c r="O1922" s="19">
        <v>0.73</v>
      </c>
      <c r="P1922" s="16">
        <v>170</v>
      </c>
      <c r="Q1922" s="16">
        <v>220</v>
      </c>
      <c r="R1922" s="16">
        <v>6</v>
      </c>
      <c r="S1922" s="18" t="s">
        <v>52</v>
      </c>
      <c r="T1922" s="18"/>
      <c r="U1922" s="17">
        <v>2000</v>
      </c>
      <c r="V1922" s="18" t="s">
        <v>44</v>
      </c>
      <c r="W1922" s="18" t="s">
        <v>91</v>
      </c>
      <c r="X1922" s="16">
        <v>10</v>
      </c>
      <c r="Y1922" s="43" t="str">
        <f>HYPERLINK("https://api-enni.alpina.ru/FilePrivilegesApproval/207","https://api-enni.alpina.ru/FilePrivilegesApproval/207")</f>
        <v>https://api-enni.alpina.ru/FilePrivilegesApproval/207</v>
      </c>
      <c r="Z1922" s="18"/>
      <c r="AS1922" s="1">
        <f>IF($A1922&lt;&gt;0,1,0)</f>
        <v>0</v>
      </c>
      <c r="AT1922" s="1">
        <f>$A1922*$B1922</f>
        <v>0</v>
      </c>
      <c r="AU1922" s="1">
        <f>$A1922*$O1922</f>
        <v>0</v>
      </c>
      <c r="AV1922" s="1">
        <f>IF($R1922=0,0,INT($A1922/$R1922))</f>
        <v>0</v>
      </c>
      <c r="AW1922" s="1">
        <f>$A1922-$AV1922*$R1922</f>
        <v>0</v>
      </c>
    </row>
    <row r="1923" ht="24.95" customHeight="1" outlineLevel="3" s="1" customFormat="1">
      <c r="A1923" s="15"/>
      <c r="B1923" s="16">
        <v>490</v>
      </c>
      <c r="C1923" s="16">
        <v>760</v>
      </c>
      <c r="D1923" s="16">
        <v>24640</v>
      </c>
      <c r="E1923" s="18"/>
      <c r="F1923" s="18" t="s">
        <v>6376</v>
      </c>
      <c r="G1923" s="18" t="s">
        <v>6377</v>
      </c>
      <c r="H1923" s="18" t="s">
        <v>95</v>
      </c>
      <c r="I1923" s="18"/>
      <c r="J1923" s="16">
        <v>2022</v>
      </c>
      <c r="K1923" s="18" t="s">
        <v>6378</v>
      </c>
      <c r="L1923" s="16">
        <v>9785907470989</v>
      </c>
      <c r="M1923" s="18" t="s">
        <v>6379</v>
      </c>
      <c r="N1923" s="16">
        <v>80</v>
      </c>
      <c r="O1923" s="19">
        <v>0.29</v>
      </c>
      <c r="P1923" s="16">
        <v>168</v>
      </c>
      <c r="Q1923" s="16">
        <v>241</v>
      </c>
      <c r="R1923" s="16">
        <v>12</v>
      </c>
      <c r="S1923" s="18" t="s">
        <v>123</v>
      </c>
      <c r="T1923" s="18"/>
      <c r="U1923" s="17">
        <v>1000</v>
      </c>
      <c r="V1923" s="18" t="s">
        <v>77</v>
      </c>
      <c r="W1923" s="18" t="s">
        <v>91</v>
      </c>
      <c r="X1923" s="16">
        <v>10</v>
      </c>
      <c r="Y1923" s="43" t="str">
        <f>HYPERLINK("https://api-enni.alpina.ru/FilePrivilegesApproval/282","https://api-enni.alpina.ru/FilePrivilegesApproval/282")</f>
        <v>https://api-enni.alpina.ru/FilePrivilegesApproval/282</v>
      </c>
      <c r="Z1923" s="18"/>
      <c r="AS1923" s="1">
        <f>IF($A1923&lt;&gt;0,1,0)</f>
        <v>0</v>
      </c>
      <c r="AT1923" s="1">
        <f>$A1923*$B1923</f>
        <v>0</v>
      </c>
      <c r="AU1923" s="1">
        <f>$A1923*$O1923</f>
        <v>0</v>
      </c>
      <c r="AV1923" s="1">
        <f>IF($R1923=0,0,INT($A1923/$R1923))</f>
        <v>0</v>
      </c>
      <c r="AW1923" s="1">
        <f>$A1923-$AV1923*$R1923</f>
        <v>0</v>
      </c>
    </row>
    <row r="1924" ht="24.95" customHeight="1" outlineLevel="3" s="1" customFormat="1">
      <c r="A1924" s="15"/>
      <c r="B1924" s="16">
        <v>854</v>
      </c>
      <c r="C1924" s="17">
        <v>1196</v>
      </c>
      <c r="D1924" s="16">
        <v>32994</v>
      </c>
      <c r="E1924" s="18"/>
      <c r="F1924" s="18" t="s">
        <v>6380</v>
      </c>
      <c r="G1924" s="18" t="s">
        <v>6381</v>
      </c>
      <c r="H1924" s="18" t="s">
        <v>95</v>
      </c>
      <c r="I1924" s="18"/>
      <c r="J1924" s="16">
        <v>2026</v>
      </c>
      <c r="K1924" s="18" t="s">
        <v>6382</v>
      </c>
      <c r="L1924" s="16">
        <v>9785206004489</v>
      </c>
      <c r="M1924" s="18" t="s">
        <v>6383</v>
      </c>
      <c r="N1924" s="16">
        <v>352</v>
      </c>
      <c r="O1924" s="19">
        <v>0.29</v>
      </c>
      <c r="P1924" s="16">
        <v>140</v>
      </c>
      <c r="Q1924" s="16">
        <v>210</v>
      </c>
      <c r="R1924" s="16">
        <v>8</v>
      </c>
      <c r="S1924" s="18" t="s">
        <v>43</v>
      </c>
      <c r="T1924" s="18"/>
      <c r="U1924" s="17">
        <v>1005</v>
      </c>
      <c r="V1924" s="18" t="s">
        <v>44</v>
      </c>
      <c r="W1924" s="18" t="s">
        <v>45</v>
      </c>
      <c r="X1924" s="16">
        <v>22</v>
      </c>
      <c r="Y1924" s="43" t="str">
        <f>HYPERLINK("https://api-enni.alpina.ru/FilePrivilegesApproval/984","https://api-enni.alpina.ru/FilePrivilegesApproval/984")</f>
        <v>https://api-enni.alpina.ru/FilePrivilegesApproval/984</v>
      </c>
      <c r="Z1924" s="18"/>
      <c r="AS1924" s="1">
        <f>IF($A1924&lt;&gt;0,1,0)</f>
        <v>0</v>
      </c>
      <c r="AT1924" s="1">
        <f>$A1924*$B1924</f>
        <v>0</v>
      </c>
      <c r="AU1924" s="1">
        <f>$A1924*$O1924</f>
        <v>0</v>
      </c>
      <c r="AV1924" s="1">
        <f>IF($R1924=0,0,INT($A1924/$R1924))</f>
        <v>0</v>
      </c>
      <c r="AW1924" s="1">
        <f>$A1924-$AV1924*$R1924</f>
        <v>0</v>
      </c>
    </row>
    <row r="1925" ht="21.95" customHeight="1" outlineLevel="3" s="1" customFormat="1">
      <c r="A1925" s="15"/>
      <c r="B1925" s="16">
        <v>490</v>
      </c>
      <c r="C1925" s="16">
        <v>760</v>
      </c>
      <c r="D1925" s="16">
        <v>37702</v>
      </c>
      <c r="E1925" s="18"/>
      <c r="F1925" s="18" t="s">
        <v>195</v>
      </c>
      <c r="G1925" s="18" t="s">
        <v>196</v>
      </c>
      <c r="H1925" s="18" t="s">
        <v>86</v>
      </c>
      <c r="I1925" s="18" t="s">
        <v>74</v>
      </c>
      <c r="J1925" s="16">
        <v>2026</v>
      </c>
      <c r="K1925" s="18" t="s">
        <v>197</v>
      </c>
      <c r="L1925" s="16">
        <v>9785006304406</v>
      </c>
      <c r="M1925" s="18" t="s">
        <v>198</v>
      </c>
      <c r="N1925" s="16">
        <v>108</v>
      </c>
      <c r="O1925" s="19">
        <v>0.43</v>
      </c>
      <c r="P1925" s="16">
        <v>220</v>
      </c>
      <c r="Q1925" s="16">
        <v>280</v>
      </c>
      <c r="R1925" s="16">
        <v>8</v>
      </c>
      <c r="S1925" s="18" t="s">
        <v>83</v>
      </c>
      <c r="T1925" s="18"/>
      <c r="U1925" s="17">
        <v>4000</v>
      </c>
      <c r="V1925" s="18" t="s">
        <v>44</v>
      </c>
      <c r="W1925" s="18" t="s">
        <v>184</v>
      </c>
      <c r="X1925" s="16">
        <v>22</v>
      </c>
      <c r="Y1925" s="43" t="str">
        <f>HYPERLINK("","")</f>
      </c>
      <c r="Z1925" s="18" t="s">
        <v>46</v>
      </c>
      <c r="AS1925" s="1">
        <f>IF($A1925&lt;&gt;0,1,0)</f>
        <v>0</v>
      </c>
      <c r="AT1925" s="1">
        <f>$A1925*$B1925</f>
        <v>0</v>
      </c>
      <c r="AU1925" s="1">
        <f>$A1925*$O1925</f>
        <v>0</v>
      </c>
      <c r="AV1925" s="1">
        <f>IF($R1925=0,0,INT($A1925/$R1925))</f>
        <v>0</v>
      </c>
      <c r="AW1925" s="1">
        <f>$A1925-$AV1925*$R1925</f>
        <v>0</v>
      </c>
    </row>
    <row r="1926" ht="24.95" customHeight="1" outlineLevel="3" s="1" customFormat="1">
      <c r="A1926" s="15"/>
      <c r="B1926" s="16">
        <v>690</v>
      </c>
      <c r="C1926" s="17">
        <v>1035</v>
      </c>
      <c r="D1926" s="16">
        <v>26995</v>
      </c>
      <c r="E1926" s="18"/>
      <c r="F1926" s="18" t="s">
        <v>6384</v>
      </c>
      <c r="G1926" s="18" t="s">
        <v>6385</v>
      </c>
      <c r="H1926" s="18" t="s">
        <v>95</v>
      </c>
      <c r="I1926" s="18"/>
      <c r="J1926" s="16">
        <v>2024</v>
      </c>
      <c r="K1926" s="18" t="s">
        <v>6386</v>
      </c>
      <c r="L1926" s="16">
        <v>9785206001198</v>
      </c>
      <c r="M1926" s="18" t="s">
        <v>6387</v>
      </c>
      <c r="N1926" s="16">
        <v>264</v>
      </c>
      <c r="O1926" s="19">
        <v>0.42</v>
      </c>
      <c r="P1926" s="16">
        <v>150</v>
      </c>
      <c r="Q1926" s="16">
        <v>220</v>
      </c>
      <c r="R1926" s="16">
        <v>5</v>
      </c>
      <c r="S1926" s="18" t="s">
        <v>43</v>
      </c>
      <c r="T1926" s="18"/>
      <c r="U1926" s="17">
        <v>1000</v>
      </c>
      <c r="V1926" s="18" t="s">
        <v>77</v>
      </c>
      <c r="W1926" s="18" t="s">
        <v>91</v>
      </c>
      <c r="X1926" s="16">
        <v>10</v>
      </c>
      <c r="Y1926" s="43" t="str">
        <f>HYPERLINK("https://api-enni.alpina.ru/FilePrivilegesApproval/414","https://api-enni.alpina.ru/FilePrivilegesApproval/414")</f>
        <v>https://api-enni.alpina.ru/FilePrivilegesApproval/414</v>
      </c>
      <c r="Z1926" s="18"/>
      <c r="AS1926" s="1">
        <f>IF($A1926&lt;&gt;0,1,0)</f>
        <v>0</v>
      </c>
      <c r="AT1926" s="1">
        <f>$A1926*$B1926</f>
        <v>0</v>
      </c>
      <c r="AU1926" s="1">
        <f>$A1926*$O1926</f>
        <v>0</v>
      </c>
      <c r="AV1926" s="1">
        <f>IF($R1926=0,0,INT($A1926/$R1926))</f>
        <v>0</v>
      </c>
      <c r="AW1926" s="1">
        <f>$A1926-$AV1926*$R1926</f>
        <v>0</v>
      </c>
    </row>
    <row r="1927" ht="24.95" customHeight="1" outlineLevel="3" s="1" customFormat="1">
      <c r="A1927" s="15"/>
      <c r="B1927" s="16">
        <v>790</v>
      </c>
      <c r="C1927" s="17">
        <v>1146</v>
      </c>
      <c r="D1927" s="16">
        <v>33321</v>
      </c>
      <c r="E1927" s="18"/>
      <c r="F1927" s="18" t="s">
        <v>713</v>
      </c>
      <c r="G1927" s="18" t="s">
        <v>6388</v>
      </c>
      <c r="H1927" s="18" t="s">
        <v>86</v>
      </c>
      <c r="I1927" s="18"/>
      <c r="J1927" s="16">
        <v>2025</v>
      </c>
      <c r="K1927" s="18" t="s">
        <v>6389</v>
      </c>
      <c r="L1927" s="16">
        <v>9785006304277</v>
      </c>
      <c r="M1927" s="18" t="s">
        <v>6390</v>
      </c>
      <c r="N1927" s="16">
        <v>212</v>
      </c>
      <c r="O1927" s="19">
        <v>0.39</v>
      </c>
      <c r="P1927" s="16">
        <v>150</v>
      </c>
      <c r="Q1927" s="16">
        <v>220</v>
      </c>
      <c r="R1927" s="16">
        <v>10</v>
      </c>
      <c r="S1927" s="18" t="s">
        <v>43</v>
      </c>
      <c r="T1927" s="18"/>
      <c r="U1927" s="17">
        <v>1000</v>
      </c>
      <c r="V1927" s="18" t="s">
        <v>77</v>
      </c>
      <c r="W1927" s="18" t="s">
        <v>69</v>
      </c>
      <c r="X1927" s="16">
        <v>10</v>
      </c>
      <c r="Y1927" s="43" t="str">
        <f>HYPERLINK("https://api-enni.alpina.ru/FilePrivilegesApproval/883","https://api-enni.alpina.ru/FilePrivilegesApproval/883")</f>
        <v>https://api-enni.alpina.ru/FilePrivilegesApproval/883</v>
      </c>
      <c r="Z1927" s="18"/>
      <c r="AS1927" s="1">
        <f>IF($A1927&lt;&gt;0,1,0)</f>
        <v>0</v>
      </c>
      <c r="AT1927" s="1">
        <f>$A1927*$B1927</f>
        <v>0</v>
      </c>
      <c r="AU1927" s="1">
        <f>$A1927*$O1927</f>
        <v>0</v>
      </c>
      <c r="AV1927" s="1">
        <f>IF($R1927=0,0,INT($A1927/$R1927))</f>
        <v>0</v>
      </c>
      <c r="AW1927" s="1">
        <f>$A1927-$AV1927*$R1927</f>
        <v>0</v>
      </c>
    </row>
    <row r="1928" ht="24.95" customHeight="1" outlineLevel="3" s="1" customFormat="1">
      <c r="A1928" s="15"/>
      <c r="B1928" s="16">
        <v>790</v>
      </c>
      <c r="C1928" s="17">
        <v>1146</v>
      </c>
      <c r="D1928" s="16">
        <v>12447</v>
      </c>
      <c r="E1928" s="18"/>
      <c r="F1928" s="18" t="s">
        <v>762</v>
      </c>
      <c r="G1928" s="18" t="s">
        <v>6391</v>
      </c>
      <c r="H1928" s="18" t="s">
        <v>86</v>
      </c>
      <c r="I1928" s="18" t="s">
        <v>764</v>
      </c>
      <c r="J1928" s="16">
        <v>2025</v>
      </c>
      <c r="K1928" s="18" t="s">
        <v>6392</v>
      </c>
      <c r="L1928" s="16">
        <v>9785961425369</v>
      </c>
      <c r="M1928" s="18" t="s">
        <v>6393</v>
      </c>
      <c r="N1928" s="16">
        <v>293</v>
      </c>
      <c r="O1928" s="19">
        <v>0.54</v>
      </c>
      <c r="P1928" s="16">
        <v>146</v>
      </c>
      <c r="Q1928" s="16">
        <v>230</v>
      </c>
      <c r="R1928" s="16">
        <v>10</v>
      </c>
      <c r="S1928" s="18" t="s">
        <v>43</v>
      </c>
      <c r="T1928" s="18"/>
      <c r="U1928" s="17">
        <v>2000</v>
      </c>
      <c r="V1928" s="18" t="s">
        <v>77</v>
      </c>
      <c r="W1928" s="18" t="s">
        <v>184</v>
      </c>
      <c r="X1928" s="16">
        <v>10</v>
      </c>
      <c r="Y1928" s="43" t="str">
        <f>HYPERLINK("https://api-enni.alpina.ru/FilePrivilegesApproval/125","https://api-enni.alpina.ru/FilePrivilegesApproval/125")</f>
        <v>https://api-enni.alpina.ru/FilePrivilegesApproval/125</v>
      </c>
      <c r="Z1928" s="18"/>
      <c r="AS1928" s="1">
        <f>IF($A1928&lt;&gt;0,1,0)</f>
        <v>0</v>
      </c>
      <c r="AT1928" s="1">
        <f>$A1928*$B1928</f>
        <v>0</v>
      </c>
      <c r="AU1928" s="1">
        <f>$A1928*$O1928</f>
        <v>0</v>
      </c>
      <c r="AV1928" s="1">
        <f>IF($R1928=0,0,INT($A1928/$R1928))</f>
        <v>0</v>
      </c>
      <c r="AW1928" s="1">
        <f>$A1928-$AV1928*$R1928</f>
        <v>0</v>
      </c>
    </row>
    <row r="1929" ht="24.95" customHeight="1" outlineLevel="3" s="1" customFormat="1">
      <c r="A1929" s="15"/>
      <c r="B1929" s="16">
        <v>340</v>
      </c>
      <c r="C1929" s="16">
        <v>544</v>
      </c>
      <c r="D1929" s="16">
        <v>27597</v>
      </c>
      <c r="E1929" s="18"/>
      <c r="F1929" s="18" t="s">
        <v>762</v>
      </c>
      <c r="G1929" s="18" t="s">
        <v>763</v>
      </c>
      <c r="H1929" s="18" t="s">
        <v>86</v>
      </c>
      <c r="I1929" s="18" t="s">
        <v>764</v>
      </c>
      <c r="J1929" s="16">
        <v>2025</v>
      </c>
      <c r="K1929" s="18" t="s">
        <v>765</v>
      </c>
      <c r="L1929" s="16">
        <v>9785961485813</v>
      </c>
      <c r="M1929" s="18" t="s">
        <v>766</v>
      </c>
      <c r="N1929" s="16">
        <v>316</v>
      </c>
      <c r="O1929" s="19">
        <v>0.21</v>
      </c>
      <c r="P1929" s="16">
        <v>120</v>
      </c>
      <c r="Q1929" s="16">
        <v>170</v>
      </c>
      <c r="R1929" s="16">
        <v>10</v>
      </c>
      <c r="S1929" s="18" t="s">
        <v>190</v>
      </c>
      <c r="T1929" s="18" t="s">
        <v>491</v>
      </c>
      <c r="U1929" s="17">
        <v>8000</v>
      </c>
      <c r="V1929" s="18" t="s">
        <v>44</v>
      </c>
      <c r="W1929" s="18" t="s">
        <v>184</v>
      </c>
      <c r="X1929" s="16">
        <v>10</v>
      </c>
      <c r="Y1929" s="43" t="str">
        <f>HYPERLINK("https://api-enni.alpina.ru/FilePrivilegesApproval/205","https://api-enni.alpina.ru/FilePrivilegesApproval/205")</f>
        <v>https://api-enni.alpina.ru/FilePrivilegesApproval/205</v>
      </c>
      <c r="Z1929" s="18"/>
      <c r="AS1929" s="1">
        <f>IF($A1929&lt;&gt;0,1,0)</f>
        <v>0</v>
      </c>
      <c r="AT1929" s="1">
        <f>$A1929*$B1929</f>
        <v>0</v>
      </c>
      <c r="AU1929" s="1">
        <f>$A1929*$O1929</f>
        <v>0</v>
      </c>
      <c r="AV1929" s="1">
        <f>IF($R1929=0,0,INT($A1929/$R1929))</f>
        <v>0</v>
      </c>
      <c r="AW1929" s="1">
        <f>$A1929-$AV1929*$R1929</f>
        <v>0</v>
      </c>
    </row>
    <row r="1930" ht="21.95" customHeight="1" outlineLevel="3" s="1" customFormat="1">
      <c r="A1930" s="15"/>
      <c r="B1930" s="16">
        <v>740</v>
      </c>
      <c r="C1930" s="17">
        <v>1073</v>
      </c>
      <c r="D1930" s="16">
        <v>25112</v>
      </c>
      <c r="E1930" s="18"/>
      <c r="F1930" s="18" t="s">
        <v>6394</v>
      </c>
      <c r="G1930" s="18" t="s">
        <v>6395</v>
      </c>
      <c r="H1930" s="18" t="s">
        <v>86</v>
      </c>
      <c r="I1930" s="18"/>
      <c r="J1930" s="16">
        <v>2026</v>
      </c>
      <c r="K1930" s="18" t="s">
        <v>6396</v>
      </c>
      <c r="L1930" s="16">
        <v>9785961477047</v>
      </c>
      <c r="M1930" s="18" t="s">
        <v>6397</v>
      </c>
      <c r="N1930" s="16">
        <v>408</v>
      </c>
      <c r="O1930" s="19">
        <v>0.58</v>
      </c>
      <c r="P1930" s="16">
        <v>150</v>
      </c>
      <c r="Q1930" s="16">
        <v>220</v>
      </c>
      <c r="R1930" s="16">
        <v>10</v>
      </c>
      <c r="S1930" s="18" t="s">
        <v>43</v>
      </c>
      <c r="T1930" s="18"/>
      <c r="U1930" s="17">
        <v>4000</v>
      </c>
      <c r="V1930" s="18" t="s">
        <v>77</v>
      </c>
      <c r="W1930" s="18" t="s">
        <v>184</v>
      </c>
      <c r="X1930" s="16">
        <v>10</v>
      </c>
      <c r="Y1930" s="43" t="str">
        <f>HYPERLINK("","")</f>
      </c>
      <c r="Z1930" s="18" t="s">
        <v>211</v>
      </c>
      <c r="AS1930" s="1">
        <f>IF($A1930&lt;&gt;0,1,0)</f>
        <v>0</v>
      </c>
      <c r="AT1930" s="1">
        <f>$A1930*$B1930</f>
        <v>0</v>
      </c>
      <c r="AU1930" s="1">
        <f>$A1930*$O1930</f>
        <v>0</v>
      </c>
      <c r="AV1930" s="1">
        <f>IF($R1930=0,0,INT($A1930/$R1930))</f>
        <v>0</v>
      </c>
      <c r="AW1930" s="1">
        <f>$A1930-$AV1930*$R1930</f>
        <v>0</v>
      </c>
    </row>
    <row r="1931" ht="24.95" customHeight="1" outlineLevel="3" s="1" customFormat="1">
      <c r="A1931" s="15"/>
      <c r="B1931" s="16">
        <v>740</v>
      </c>
      <c r="C1931" s="17">
        <v>1073</v>
      </c>
      <c r="D1931" s="16">
        <v>33348</v>
      </c>
      <c r="E1931" s="18"/>
      <c r="F1931" s="18" t="s">
        <v>6398</v>
      </c>
      <c r="G1931" s="18" t="s">
        <v>6399</v>
      </c>
      <c r="H1931" s="18" t="s">
        <v>95</v>
      </c>
      <c r="I1931" s="18"/>
      <c r="J1931" s="16">
        <v>2025</v>
      </c>
      <c r="K1931" s="18" t="s">
        <v>6400</v>
      </c>
      <c r="L1931" s="16">
        <v>9785206004700</v>
      </c>
      <c r="M1931" s="18" t="s">
        <v>6401</v>
      </c>
      <c r="N1931" s="16">
        <v>160</v>
      </c>
      <c r="O1931" s="19">
        <v>0.29</v>
      </c>
      <c r="P1931" s="16">
        <v>150</v>
      </c>
      <c r="Q1931" s="16">
        <v>220</v>
      </c>
      <c r="R1931" s="16">
        <v>14</v>
      </c>
      <c r="S1931" s="18" t="s">
        <v>43</v>
      </c>
      <c r="T1931" s="18"/>
      <c r="U1931" s="17">
        <v>1000</v>
      </c>
      <c r="V1931" s="18" t="s">
        <v>77</v>
      </c>
      <c r="W1931" s="18" t="s">
        <v>69</v>
      </c>
      <c r="X1931" s="16">
        <v>10</v>
      </c>
      <c r="Y1931" s="43" t="str">
        <f>HYPERLINK("https://api-enni.alpina.ru/FilePrivilegesApproval/920","https://api-enni.alpina.ru/FilePrivilegesApproval/920")</f>
        <v>https://api-enni.alpina.ru/FilePrivilegesApproval/920</v>
      </c>
      <c r="Z1931" s="18"/>
      <c r="AS1931" s="1">
        <f>IF($A1931&lt;&gt;0,1,0)</f>
        <v>0</v>
      </c>
      <c r="AT1931" s="1">
        <f>$A1931*$B1931</f>
        <v>0</v>
      </c>
      <c r="AU1931" s="1">
        <f>$A1931*$O1931</f>
        <v>0</v>
      </c>
      <c r="AV1931" s="1">
        <f>IF($R1931=0,0,INT($A1931/$R1931))</f>
        <v>0</v>
      </c>
      <c r="AW1931" s="1">
        <f>$A1931-$AV1931*$R1931</f>
        <v>0</v>
      </c>
    </row>
    <row r="1932" ht="24.95" customHeight="1" outlineLevel="3" s="1" customFormat="1">
      <c r="A1932" s="15"/>
      <c r="B1932" s="16">
        <v>750</v>
      </c>
      <c r="C1932" s="17">
        <v>1088</v>
      </c>
      <c r="D1932" s="16">
        <v>31387</v>
      </c>
      <c r="E1932" s="18"/>
      <c r="F1932" s="18" t="s">
        <v>6402</v>
      </c>
      <c r="G1932" s="18" t="s">
        <v>6403</v>
      </c>
      <c r="H1932" s="18" t="s">
        <v>86</v>
      </c>
      <c r="I1932" s="18" t="s">
        <v>40</v>
      </c>
      <c r="J1932" s="16">
        <v>2026</v>
      </c>
      <c r="K1932" s="18" t="s">
        <v>6404</v>
      </c>
      <c r="L1932" s="16">
        <v>9785961498486</v>
      </c>
      <c r="M1932" s="18" t="s">
        <v>6405</v>
      </c>
      <c r="N1932" s="16">
        <v>268</v>
      </c>
      <c r="O1932" s="19">
        <v>0.44</v>
      </c>
      <c r="P1932" s="16">
        <v>150</v>
      </c>
      <c r="Q1932" s="16">
        <v>220</v>
      </c>
      <c r="R1932" s="16">
        <v>14</v>
      </c>
      <c r="S1932" s="18" t="s">
        <v>43</v>
      </c>
      <c r="T1932" s="18"/>
      <c r="U1932" s="17">
        <v>2000</v>
      </c>
      <c r="V1932" s="18" t="s">
        <v>77</v>
      </c>
      <c r="W1932" s="18" t="s">
        <v>69</v>
      </c>
      <c r="X1932" s="16">
        <v>10</v>
      </c>
      <c r="Y1932" s="43" t="str">
        <f>HYPERLINK("https://api-enni.alpina.ru/FilePrivilegesApproval/921","https://api-enni.alpina.ru/FilePrivilegesApproval/921")</f>
        <v>https://api-enni.alpina.ru/FilePrivilegesApproval/921</v>
      </c>
      <c r="Z1932" s="18"/>
      <c r="AS1932" s="1">
        <f>IF($A1932&lt;&gt;0,1,0)</f>
        <v>0</v>
      </c>
      <c r="AT1932" s="1">
        <f>$A1932*$B1932</f>
        <v>0</v>
      </c>
      <c r="AU1932" s="1">
        <f>$A1932*$O1932</f>
        <v>0</v>
      </c>
      <c r="AV1932" s="1">
        <f>IF($R1932=0,0,INT($A1932/$R1932))</f>
        <v>0</v>
      </c>
      <c r="AW1932" s="1">
        <f>$A1932-$AV1932*$R1932</f>
        <v>0</v>
      </c>
    </row>
    <row r="1933" ht="24.95" customHeight="1" outlineLevel="3" s="1" customFormat="1">
      <c r="A1933" s="15"/>
      <c r="B1933" s="16">
        <v>840</v>
      </c>
      <c r="C1933" s="17">
        <v>1218</v>
      </c>
      <c r="D1933" s="16">
        <v>9103</v>
      </c>
      <c r="E1933" s="18"/>
      <c r="F1933" s="18" t="s">
        <v>291</v>
      </c>
      <c r="G1933" s="18" t="s">
        <v>6406</v>
      </c>
      <c r="H1933" s="18" t="s">
        <v>86</v>
      </c>
      <c r="I1933" s="18"/>
      <c r="J1933" s="16">
        <v>2025</v>
      </c>
      <c r="K1933" s="18" t="s">
        <v>6407</v>
      </c>
      <c r="L1933" s="16">
        <v>9785961410341</v>
      </c>
      <c r="M1933" s="18" t="s">
        <v>6408</v>
      </c>
      <c r="N1933" s="16">
        <v>240</v>
      </c>
      <c r="O1933" s="19">
        <v>0.46</v>
      </c>
      <c r="P1933" s="16">
        <v>145</v>
      </c>
      <c r="Q1933" s="16">
        <v>203</v>
      </c>
      <c r="R1933" s="16">
        <v>14</v>
      </c>
      <c r="S1933" s="18" t="s">
        <v>43</v>
      </c>
      <c r="T1933" s="18"/>
      <c r="U1933" s="17">
        <v>3000</v>
      </c>
      <c r="V1933" s="18" t="s">
        <v>77</v>
      </c>
      <c r="W1933" s="18" t="s">
        <v>69</v>
      </c>
      <c r="X1933" s="16">
        <v>10</v>
      </c>
      <c r="Y1933" s="43" t="str">
        <f>HYPERLINK("https://api-enni.alpina.ru/FilePrivilegesApproval/153","https://api-enni.alpina.ru/FilePrivilegesApproval/153")</f>
        <v>https://api-enni.alpina.ru/FilePrivilegesApproval/153</v>
      </c>
      <c r="Z1933" s="18"/>
      <c r="AS1933" s="1">
        <f>IF($A1933&lt;&gt;0,1,0)</f>
        <v>0</v>
      </c>
      <c r="AT1933" s="1">
        <f>$A1933*$B1933</f>
        <v>0</v>
      </c>
      <c r="AU1933" s="1">
        <f>$A1933*$O1933</f>
        <v>0</v>
      </c>
      <c r="AV1933" s="1">
        <f>IF($R1933=0,0,INT($A1933/$R1933))</f>
        <v>0</v>
      </c>
      <c r="AW1933" s="1">
        <f>$A1933-$AV1933*$R1933</f>
        <v>0</v>
      </c>
    </row>
    <row r="1934" ht="24.95" customHeight="1" outlineLevel="3" s="1" customFormat="1">
      <c r="A1934" s="15"/>
      <c r="B1934" s="16">
        <v>690</v>
      </c>
      <c r="C1934" s="17">
        <v>1035</v>
      </c>
      <c r="D1934" s="16">
        <v>32917</v>
      </c>
      <c r="E1934" s="18"/>
      <c r="F1934" s="18" t="s">
        <v>309</v>
      </c>
      <c r="G1934" s="18" t="s">
        <v>6409</v>
      </c>
      <c r="H1934" s="18" t="s">
        <v>86</v>
      </c>
      <c r="I1934" s="18"/>
      <c r="J1934" s="16">
        <v>2026</v>
      </c>
      <c r="K1934" s="18" t="s">
        <v>6410</v>
      </c>
      <c r="L1934" s="16">
        <v>9785006303362</v>
      </c>
      <c r="M1934" s="18" t="s">
        <v>6411</v>
      </c>
      <c r="N1934" s="16">
        <v>632</v>
      </c>
      <c r="O1934" s="19">
        <v>0.67</v>
      </c>
      <c r="P1934" s="16">
        <v>150</v>
      </c>
      <c r="Q1934" s="16">
        <v>220</v>
      </c>
      <c r="R1934" s="16">
        <v>6</v>
      </c>
      <c r="S1934" s="18" t="s">
        <v>43</v>
      </c>
      <c r="T1934" s="18"/>
      <c r="U1934" s="17">
        <v>3000</v>
      </c>
      <c r="V1934" s="18" t="s">
        <v>77</v>
      </c>
      <c r="W1934" s="18" t="s">
        <v>69</v>
      </c>
      <c r="X1934" s="16">
        <v>10</v>
      </c>
      <c r="Y1934" s="43" t="str">
        <f>HYPERLINK("https://api-enni.alpina.ru/FilePrivilegesApproval/921","https://api-enni.alpina.ru/FilePrivilegesApproval/921")</f>
        <v>https://api-enni.alpina.ru/FilePrivilegesApproval/921</v>
      </c>
      <c r="Z1934" s="18" t="s">
        <v>267</v>
      </c>
      <c r="AS1934" s="1">
        <f>IF($A1934&lt;&gt;0,1,0)</f>
        <v>0</v>
      </c>
      <c r="AT1934" s="1">
        <f>$A1934*$B1934</f>
        <v>0</v>
      </c>
      <c r="AU1934" s="1">
        <f>$A1934*$O1934</f>
        <v>0</v>
      </c>
      <c r="AV1934" s="1">
        <f>IF($R1934=0,0,INT($A1934/$R1934))</f>
        <v>0</v>
      </c>
      <c r="AW1934" s="1">
        <f>$A1934-$AV1934*$R1934</f>
        <v>0</v>
      </c>
    </row>
    <row r="1935" ht="24.95" customHeight="1" outlineLevel="3" s="1" customFormat="1">
      <c r="A1935" s="15"/>
      <c r="B1935" s="16">
        <v>840</v>
      </c>
      <c r="C1935" s="17">
        <v>1218</v>
      </c>
      <c r="D1935" s="16">
        <v>28037</v>
      </c>
      <c r="E1935" s="18"/>
      <c r="F1935" s="18" t="s">
        <v>291</v>
      </c>
      <c r="G1935" s="18" t="s">
        <v>292</v>
      </c>
      <c r="H1935" s="18" t="s">
        <v>86</v>
      </c>
      <c r="I1935" s="18"/>
      <c r="J1935" s="16">
        <v>2025</v>
      </c>
      <c r="K1935" s="18" t="s">
        <v>797</v>
      </c>
      <c r="L1935" s="16">
        <v>9785961487145</v>
      </c>
      <c r="M1935" s="18" t="s">
        <v>798</v>
      </c>
      <c r="N1935" s="16">
        <v>400</v>
      </c>
      <c r="O1935" s="19">
        <v>0.57</v>
      </c>
      <c r="P1935" s="16">
        <v>140</v>
      </c>
      <c r="Q1935" s="16">
        <v>200</v>
      </c>
      <c r="R1935" s="16">
        <v>6</v>
      </c>
      <c r="S1935" s="18" t="s">
        <v>43</v>
      </c>
      <c r="T1935" s="18"/>
      <c r="U1935" s="17">
        <v>15000</v>
      </c>
      <c r="V1935" s="18" t="s">
        <v>44</v>
      </c>
      <c r="W1935" s="18" t="s">
        <v>91</v>
      </c>
      <c r="X1935" s="16">
        <v>10</v>
      </c>
      <c r="Y1935" s="43" t="str">
        <f>HYPERLINK("https://api-enni.alpina.ru/FilePrivilegesApproval/339","https://api-enni.alpina.ru/FilePrivilegesApproval/339")</f>
        <v>https://api-enni.alpina.ru/FilePrivilegesApproval/339</v>
      </c>
      <c r="Z1935" s="18"/>
      <c r="AS1935" s="1">
        <f>IF($A1935&lt;&gt;0,1,0)</f>
        <v>0</v>
      </c>
      <c r="AT1935" s="1">
        <f>$A1935*$B1935</f>
        <v>0</v>
      </c>
      <c r="AU1935" s="1">
        <f>$A1935*$O1935</f>
        <v>0</v>
      </c>
      <c r="AV1935" s="1">
        <f>IF($R1935=0,0,INT($A1935/$R1935))</f>
        <v>0</v>
      </c>
      <c r="AW1935" s="1">
        <f>$A1935-$AV1935*$R1935</f>
        <v>0</v>
      </c>
    </row>
    <row r="1936" ht="24.95" customHeight="1" outlineLevel="3" s="1" customFormat="1">
      <c r="A1936" s="15"/>
      <c r="B1936" s="16">
        <v>990</v>
      </c>
      <c r="C1936" s="17">
        <v>1386</v>
      </c>
      <c r="D1936" s="16">
        <v>37408</v>
      </c>
      <c r="E1936" s="18"/>
      <c r="F1936" s="18" t="s">
        <v>291</v>
      </c>
      <c r="G1936" s="18" t="s">
        <v>292</v>
      </c>
      <c r="H1936" s="18" t="s">
        <v>86</v>
      </c>
      <c r="I1936" s="18"/>
      <c r="J1936" s="16">
        <v>2026</v>
      </c>
      <c r="K1936" s="18" t="s">
        <v>293</v>
      </c>
      <c r="L1936" s="16">
        <v>9785006320048</v>
      </c>
      <c r="M1936" s="18" t="s">
        <v>294</v>
      </c>
      <c r="N1936" s="16">
        <v>400</v>
      </c>
      <c r="O1936" s="19">
        <v>0.89</v>
      </c>
      <c r="P1936" s="16">
        <v>150</v>
      </c>
      <c r="Q1936" s="16">
        <v>210</v>
      </c>
      <c r="R1936" s="16">
        <v>8</v>
      </c>
      <c r="S1936" s="18" t="s">
        <v>43</v>
      </c>
      <c r="T1936" s="18"/>
      <c r="U1936" s="17">
        <v>3000</v>
      </c>
      <c r="V1936" s="18" t="s">
        <v>77</v>
      </c>
      <c r="W1936" s="18" t="s">
        <v>91</v>
      </c>
      <c r="X1936" s="16">
        <v>10</v>
      </c>
      <c r="Y1936" s="43" t="str">
        <f>HYPERLINK("https://api-enni.alpina.ru/FilePrivilegesApproval/1195","https://api-enni.alpina.ru/FilePrivilegesApproval/1195")</f>
        <v>https://api-enni.alpina.ru/FilePrivilegesApproval/1195</v>
      </c>
      <c r="Z1936" s="18" t="s">
        <v>113</v>
      </c>
      <c r="AS1936" s="1">
        <f>IF($A1936&lt;&gt;0,1,0)</f>
        <v>0</v>
      </c>
      <c r="AT1936" s="1">
        <f>$A1936*$B1936</f>
        <v>0</v>
      </c>
      <c r="AU1936" s="1">
        <f>$A1936*$O1936</f>
        <v>0</v>
      </c>
      <c r="AV1936" s="1">
        <f>IF($R1936=0,0,INT($A1936/$R1936))</f>
        <v>0</v>
      </c>
      <c r="AW1936" s="1">
        <f>$A1936-$AV1936*$R1936</f>
        <v>0</v>
      </c>
    </row>
    <row r="1937" ht="24.95" customHeight="1" outlineLevel="3" s="1" customFormat="1">
      <c r="A1937" s="15"/>
      <c r="B1937" s="16">
        <v>590</v>
      </c>
      <c r="C1937" s="16">
        <v>885</v>
      </c>
      <c r="D1937" s="16">
        <v>18100</v>
      </c>
      <c r="E1937" s="18"/>
      <c r="F1937" s="18" t="s">
        <v>6412</v>
      </c>
      <c r="G1937" s="18" t="s">
        <v>6413</v>
      </c>
      <c r="H1937" s="18" t="s">
        <v>86</v>
      </c>
      <c r="I1937" s="18"/>
      <c r="J1937" s="16">
        <v>2021</v>
      </c>
      <c r="K1937" s="18" t="s">
        <v>6414</v>
      </c>
      <c r="L1937" s="16">
        <v>9785961441031</v>
      </c>
      <c r="M1937" s="18" t="s">
        <v>6415</v>
      </c>
      <c r="N1937" s="16">
        <v>240</v>
      </c>
      <c r="O1937" s="19">
        <v>0.31</v>
      </c>
      <c r="P1937" s="16">
        <v>146</v>
      </c>
      <c r="Q1937" s="16">
        <v>216</v>
      </c>
      <c r="R1937" s="16">
        <v>14</v>
      </c>
      <c r="S1937" s="18" t="s">
        <v>43</v>
      </c>
      <c r="T1937" s="18"/>
      <c r="U1937" s="17">
        <v>1500</v>
      </c>
      <c r="V1937" s="18" t="s">
        <v>77</v>
      </c>
      <c r="W1937" s="18" t="s">
        <v>69</v>
      </c>
      <c r="X1937" s="16">
        <v>10</v>
      </c>
      <c r="Y1937" s="43" t="str">
        <f>HYPERLINK("https://api-enni.alpina.ru/FilePrivilegesApproval/100","https://api-enni.alpina.ru/FilePrivilegesApproval/100")</f>
        <v>https://api-enni.alpina.ru/FilePrivilegesApproval/100</v>
      </c>
      <c r="Z1937" s="18"/>
      <c r="AS1937" s="1">
        <f>IF($A1937&lt;&gt;0,1,0)</f>
        <v>0</v>
      </c>
      <c r="AT1937" s="1">
        <f>$A1937*$B1937</f>
        <v>0</v>
      </c>
      <c r="AU1937" s="1">
        <f>$A1937*$O1937</f>
        <v>0</v>
      </c>
      <c r="AV1937" s="1">
        <f>IF($R1937=0,0,INT($A1937/$R1937))</f>
        <v>0</v>
      </c>
      <c r="AW1937" s="1">
        <f>$A1937-$AV1937*$R1937</f>
        <v>0</v>
      </c>
    </row>
    <row r="1938" ht="24.95" customHeight="1" outlineLevel="3" s="1" customFormat="1">
      <c r="A1938" s="15"/>
      <c r="B1938" s="16">
        <v>790</v>
      </c>
      <c r="C1938" s="17">
        <v>1146</v>
      </c>
      <c r="D1938" s="16">
        <v>8373</v>
      </c>
      <c r="E1938" s="18"/>
      <c r="F1938" s="18" t="s">
        <v>3439</v>
      </c>
      <c r="G1938" s="18" t="s">
        <v>6416</v>
      </c>
      <c r="H1938" s="18" t="s">
        <v>86</v>
      </c>
      <c r="I1938" s="18"/>
      <c r="J1938" s="16">
        <v>2026</v>
      </c>
      <c r="K1938" s="18" t="s">
        <v>6417</v>
      </c>
      <c r="L1938" s="16">
        <v>9785961471441</v>
      </c>
      <c r="M1938" s="18" t="s">
        <v>6418</v>
      </c>
      <c r="N1938" s="16">
        <v>438</v>
      </c>
      <c r="O1938" s="19">
        <v>0.59</v>
      </c>
      <c r="P1938" s="16">
        <v>150</v>
      </c>
      <c r="Q1938" s="16">
        <v>220</v>
      </c>
      <c r="R1938" s="16">
        <v>10</v>
      </c>
      <c r="S1938" s="18" t="s">
        <v>43</v>
      </c>
      <c r="T1938" s="18"/>
      <c r="U1938" s="17">
        <v>1000</v>
      </c>
      <c r="V1938" s="18" t="s">
        <v>77</v>
      </c>
      <c r="W1938" s="18" t="s">
        <v>69</v>
      </c>
      <c r="X1938" s="16">
        <v>10</v>
      </c>
      <c r="Y1938" s="43" t="str">
        <f>HYPERLINK("https://api-enni.alpina.ru/FilePrivilegesApproval/2","https://api-enni.alpina.ru/FilePrivilegesApproval/2")</f>
        <v>https://api-enni.alpina.ru/FilePrivilegesApproval/2</v>
      </c>
      <c r="Z1938" s="18" t="s">
        <v>629</v>
      </c>
      <c r="AS1938" s="1">
        <f>IF($A1938&lt;&gt;0,1,0)</f>
        <v>0</v>
      </c>
      <c r="AT1938" s="1">
        <f>$A1938*$B1938</f>
        <v>0</v>
      </c>
      <c r="AU1938" s="1">
        <f>$A1938*$O1938</f>
        <v>0</v>
      </c>
      <c r="AV1938" s="1">
        <f>IF($R1938=0,0,INT($A1938/$R1938))</f>
        <v>0</v>
      </c>
      <c r="AW1938" s="1">
        <f>$A1938-$AV1938*$R1938</f>
        <v>0</v>
      </c>
    </row>
    <row r="1939" ht="24.95" customHeight="1" outlineLevel="3" s="1" customFormat="1">
      <c r="A1939" s="15"/>
      <c r="B1939" s="16">
        <v>890</v>
      </c>
      <c r="C1939" s="17">
        <v>1246</v>
      </c>
      <c r="D1939" s="16">
        <v>18519</v>
      </c>
      <c r="E1939" s="18"/>
      <c r="F1939" s="18" t="s">
        <v>406</v>
      </c>
      <c r="G1939" s="18" t="s">
        <v>407</v>
      </c>
      <c r="H1939" s="18" t="s">
        <v>86</v>
      </c>
      <c r="I1939" s="18"/>
      <c r="J1939" s="16">
        <v>2025</v>
      </c>
      <c r="K1939" s="18" t="s">
        <v>6419</v>
      </c>
      <c r="L1939" s="16">
        <v>9785961435825</v>
      </c>
      <c r="M1939" s="18" t="s">
        <v>6420</v>
      </c>
      <c r="N1939" s="16">
        <v>448</v>
      </c>
      <c r="O1939" s="19">
        <v>0.63</v>
      </c>
      <c r="P1939" s="16">
        <v>140</v>
      </c>
      <c r="Q1939" s="16">
        <v>200</v>
      </c>
      <c r="R1939" s="16">
        <v>6</v>
      </c>
      <c r="S1939" s="18" t="s">
        <v>43</v>
      </c>
      <c r="T1939" s="18"/>
      <c r="U1939" s="17">
        <v>10000</v>
      </c>
      <c r="V1939" s="18" t="s">
        <v>44</v>
      </c>
      <c r="W1939" s="18" t="s">
        <v>91</v>
      </c>
      <c r="X1939" s="16">
        <v>10</v>
      </c>
      <c r="Y1939" s="43" t="str">
        <f>HYPERLINK("https://api-enni.alpina.ru/FilePrivilegesApproval/109","https://api-enni.alpina.ru/FilePrivilegesApproval/109")</f>
        <v>https://api-enni.alpina.ru/FilePrivilegesApproval/109</v>
      </c>
      <c r="Z1939" s="18"/>
      <c r="AS1939" s="1">
        <f>IF($A1939&lt;&gt;0,1,0)</f>
        <v>0</v>
      </c>
      <c r="AT1939" s="1">
        <f>$A1939*$B1939</f>
        <v>0</v>
      </c>
      <c r="AU1939" s="1">
        <f>$A1939*$O1939</f>
        <v>0</v>
      </c>
      <c r="AV1939" s="1">
        <f>IF($R1939=0,0,INT($A1939/$R1939))</f>
        <v>0</v>
      </c>
      <c r="AW1939" s="1">
        <f>$A1939-$AV1939*$R1939</f>
        <v>0</v>
      </c>
    </row>
    <row r="1940" ht="24.95" customHeight="1" outlineLevel="3" s="1" customFormat="1">
      <c r="A1940" s="15"/>
      <c r="B1940" s="17">
        <v>1040</v>
      </c>
      <c r="C1940" s="17">
        <v>1404</v>
      </c>
      <c r="D1940" s="16">
        <v>37407</v>
      </c>
      <c r="E1940" s="18"/>
      <c r="F1940" s="18" t="s">
        <v>406</v>
      </c>
      <c r="G1940" s="18" t="s">
        <v>407</v>
      </c>
      <c r="H1940" s="18" t="s">
        <v>86</v>
      </c>
      <c r="I1940" s="18"/>
      <c r="J1940" s="16">
        <v>2026</v>
      </c>
      <c r="K1940" s="18" t="s">
        <v>408</v>
      </c>
      <c r="L1940" s="16">
        <v>9785006320031</v>
      </c>
      <c r="M1940" s="18" t="s">
        <v>409</v>
      </c>
      <c r="N1940" s="16">
        <v>448</v>
      </c>
      <c r="O1940" s="19">
        <v>0.73</v>
      </c>
      <c r="P1940" s="16">
        <v>150</v>
      </c>
      <c r="Q1940" s="16">
        <v>210</v>
      </c>
      <c r="R1940" s="16">
        <v>4</v>
      </c>
      <c r="S1940" s="18" t="s">
        <v>43</v>
      </c>
      <c r="T1940" s="18"/>
      <c r="U1940" s="17">
        <v>3000</v>
      </c>
      <c r="V1940" s="18" t="s">
        <v>77</v>
      </c>
      <c r="W1940" s="18" t="s">
        <v>91</v>
      </c>
      <c r="X1940" s="16">
        <v>10</v>
      </c>
      <c r="Y1940" s="43" t="str">
        <f>HYPERLINK("https://api-enni.alpina.ru/FilePrivilegesApproval/1195","https://api-enni.alpina.ru/FilePrivilegesApproval/1195")</f>
        <v>https://api-enni.alpina.ru/FilePrivilegesApproval/1195</v>
      </c>
      <c r="Z1940" s="18" t="s">
        <v>410</v>
      </c>
      <c r="AS1940" s="1">
        <f>IF($A1940&lt;&gt;0,1,0)</f>
        <v>0</v>
      </c>
      <c r="AT1940" s="1">
        <f>$A1940*$B1940</f>
        <v>0</v>
      </c>
      <c r="AU1940" s="1">
        <f>$A1940*$O1940</f>
        <v>0</v>
      </c>
      <c r="AV1940" s="1">
        <f>IF($R1940=0,0,INT($A1940/$R1940))</f>
        <v>0</v>
      </c>
      <c r="AW1940" s="1">
        <f>$A1940-$AV1940*$R1940</f>
        <v>0</v>
      </c>
    </row>
    <row r="1941" ht="15" customHeight="1" outlineLevel="1">
      <c r="A1941" s="40" t="s">
        <v>6421</v>
      </c>
      <c r="B1941" s="40"/>
      <c r="C1941" s="40"/>
      <c r="D1941" s="40"/>
      <c r="E1941" s="40"/>
      <c r="F1941" s="40"/>
      <c r="G1941" s="40"/>
      <c r="H1941" s="40"/>
      <c r="I1941" s="40"/>
      <c r="J1941" s="40"/>
      <c r="K1941" s="40"/>
      <c r="L1941" s="40"/>
      <c r="M1941" s="40"/>
      <c r="N1941" s="40"/>
      <c r="O1941" s="40"/>
      <c r="P1941" s="40"/>
      <c r="Q1941" s="40"/>
      <c r="R1941" s="40"/>
      <c r="S1941" s="40"/>
      <c r="T1941" s="40"/>
      <c r="U1941" s="40"/>
      <c r="V1941" s="40"/>
      <c r="W1941" s="40"/>
      <c r="X1941" s="40"/>
      <c r="Y1941" s="40"/>
      <c r="Z1941" s="23"/>
    </row>
    <row r="1942" ht="11.1" customHeight="1" outlineLevel="2">
      <c r="A1942" s="41" t="s">
        <v>6422</v>
      </c>
      <c r="B1942" s="41"/>
      <c r="C1942" s="41"/>
      <c r="D1942" s="41"/>
      <c r="E1942" s="41"/>
      <c r="F1942" s="41"/>
      <c r="G1942" s="41"/>
      <c r="H1942" s="41"/>
      <c r="I1942" s="41"/>
      <c r="J1942" s="41"/>
      <c r="K1942" s="41"/>
      <c r="L1942" s="41"/>
      <c r="M1942" s="41"/>
      <c r="N1942" s="41"/>
      <c r="O1942" s="41"/>
      <c r="P1942" s="41"/>
      <c r="Q1942" s="41"/>
      <c r="R1942" s="41"/>
      <c r="S1942" s="41"/>
      <c r="T1942" s="41"/>
      <c r="U1942" s="41"/>
      <c r="V1942" s="41"/>
      <c r="W1942" s="41"/>
      <c r="X1942" s="41"/>
      <c r="Y1942" s="41"/>
      <c r="Z1942" s="24"/>
    </row>
    <row r="1943" ht="24.95" customHeight="1" outlineLevel="3" s="1" customFormat="1">
      <c r="A1943" s="15"/>
      <c r="B1943" s="17">
        <v>3000</v>
      </c>
      <c r="C1943" s="17">
        <v>3900</v>
      </c>
      <c r="D1943" s="16">
        <v>9074</v>
      </c>
      <c r="E1943" s="18"/>
      <c r="F1943" s="18" t="s">
        <v>6423</v>
      </c>
      <c r="G1943" s="18" t="s">
        <v>6424</v>
      </c>
      <c r="H1943" s="18" t="s">
        <v>86</v>
      </c>
      <c r="I1943" s="18" t="s">
        <v>74</v>
      </c>
      <c r="J1943" s="16">
        <v>2026</v>
      </c>
      <c r="K1943" s="18" t="s">
        <v>6425</v>
      </c>
      <c r="L1943" s="16">
        <v>9785961410655</v>
      </c>
      <c r="M1943" s="18" t="s">
        <v>6426</v>
      </c>
      <c r="N1943" s="16">
        <v>551</v>
      </c>
      <c r="O1943" s="19">
        <v>1.7</v>
      </c>
      <c r="P1943" s="16">
        <v>220</v>
      </c>
      <c r="Q1943" s="16">
        <v>270</v>
      </c>
      <c r="R1943" s="16">
        <v>4</v>
      </c>
      <c r="S1943" s="18" t="s">
        <v>83</v>
      </c>
      <c r="T1943" s="18"/>
      <c r="U1943" s="17">
        <v>2000</v>
      </c>
      <c r="V1943" s="18" t="s">
        <v>77</v>
      </c>
      <c r="W1943" s="18" t="s">
        <v>69</v>
      </c>
      <c r="X1943" s="16">
        <v>10</v>
      </c>
      <c r="Y1943" s="43" t="str">
        <f>HYPERLINK("https://api-enni.alpina.ru/FilePrivilegesApproval/124","https://api-enni.alpina.ru/FilePrivilegesApproval/124")</f>
        <v>https://api-enni.alpina.ru/FilePrivilegesApproval/124</v>
      </c>
      <c r="Z1943" s="18" t="s">
        <v>744</v>
      </c>
      <c r="AS1943" s="1">
        <f>IF($A1943&lt;&gt;0,1,0)</f>
        <v>0</v>
      </c>
      <c r="AT1943" s="1">
        <f>$A1943*$B1943</f>
        <v>0</v>
      </c>
      <c r="AU1943" s="1">
        <f>$A1943*$O1943</f>
        <v>0</v>
      </c>
      <c r="AV1943" s="1">
        <f>IF($R1943=0,0,INT($A1943/$R1943))</f>
        <v>0</v>
      </c>
      <c r="AW1943" s="1">
        <f>$A1943-$AV1943*$R1943</f>
        <v>0</v>
      </c>
    </row>
    <row r="1944" ht="24.95" customHeight="1" outlineLevel="3" s="1" customFormat="1">
      <c r="A1944" s="15"/>
      <c r="B1944" s="16">
        <v>790</v>
      </c>
      <c r="C1944" s="17">
        <v>1146</v>
      </c>
      <c r="D1944" s="16">
        <v>7046</v>
      </c>
      <c r="E1944" s="18"/>
      <c r="F1944" s="18" t="s">
        <v>1224</v>
      </c>
      <c r="G1944" s="18" t="s">
        <v>6427</v>
      </c>
      <c r="H1944" s="18" t="s">
        <v>73</v>
      </c>
      <c r="I1944" s="18" t="s">
        <v>74</v>
      </c>
      <c r="J1944" s="16">
        <v>2026</v>
      </c>
      <c r="K1944" s="18" t="s">
        <v>6428</v>
      </c>
      <c r="L1944" s="16">
        <v>9785916717914</v>
      </c>
      <c r="M1944" s="18" t="s">
        <v>6429</v>
      </c>
      <c r="N1944" s="16">
        <v>356</v>
      </c>
      <c r="O1944" s="19">
        <v>0.44</v>
      </c>
      <c r="P1944" s="16">
        <v>140</v>
      </c>
      <c r="Q1944" s="16">
        <v>210</v>
      </c>
      <c r="R1944" s="16">
        <v>12</v>
      </c>
      <c r="S1944" s="18" t="s">
        <v>43</v>
      </c>
      <c r="T1944" s="18"/>
      <c r="U1944" s="17">
        <v>4000</v>
      </c>
      <c r="V1944" s="18" t="s">
        <v>44</v>
      </c>
      <c r="W1944" s="18" t="s">
        <v>69</v>
      </c>
      <c r="X1944" s="16">
        <v>10</v>
      </c>
      <c r="Y1944" s="43" t="str">
        <f>HYPERLINK("https://api-enni.alpina.ru/FilePrivilegesApproval/147","https://api-enni.alpina.ru/FilePrivilegesApproval/147")</f>
        <v>https://api-enni.alpina.ru/FilePrivilegesApproval/147</v>
      </c>
      <c r="Z1944" s="18"/>
      <c r="AS1944" s="1">
        <f>IF($A1944&lt;&gt;0,1,0)</f>
        <v>0</v>
      </c>
      <c r="AT1944" s="1">
        <f>$A1944*$B1944</f>
        <v>0</v>
      </c>
      <c r="AU1944" s="1">
        <f>$A1944*$O1944</f>
        <v>0</v>
      </c>
      <c r="AV1944" s="1">
        <f>IF($R1944=0,0,INT($A1944/$R1944))</f>
        <v>0</v>
      </c>
      <c r="AW1944" s="1">
        <f>$A1944-$AV1944*$R1944</f>
        <v>0</v>
      </c>
    </row>
    <row r="1945" ht="24.95" customHeight="1" outlineLevel="3" s="1" customFormat="1">
      <c r="A1945" s="15"/>
      <c r="B1945" s="16">
        <v>990</v>
      </c>
      <c r="C1945" s="17">
        <v>1386</v>
      </c>
      <c r="D1945" s="16">
        <v>27747</v>
      </c>
      <c r="E1945" s="18"/>
      <c r="F1945" s="18" t="s">
        <v>6430</v>
      </c>
      <c r="G1945" s="18" t="s">
        <v>6431</v>
      </c>
      <c r="H1945" s="18" t="s">
        <v>73</v>
      </c>
      <c r="I1945" s="18" t="s">
        <v>74</v>
      </c>
      <c r="J1945" s="16">
        <v>2022</v>
      </c>
      <c r="K1945" s="18" t="s">
        <v>6432</v>
      </c>
      <c r="L1945" s="16">
        <v>9785001399520</v>
      </c>
      <c r="M1945" s="18" t="s">
        <v>6433</v>
      </c>
      <c r="N1945" s="16">
        <v>238</v>
      </c>
      <c r="O1945" s="19">
        <v>0.39</v>
      </c>
      <c r="P1945" s="16">
        <v>170</v>
      </c>
      <c r="Q1945" s="16">
        <v>240</v>
      </c>
      <c r="R1945" s="16">
        <v>10</v>
      </c>
      <c r="S1945" s="18" t="s">
        <v>123</v>
      </c>
      <c r="T1945" s="18"/>
      <c r="U1945" s="17">
        <v>1000</v>
      </c>
      <c r="V1945" s="18" t="s">
        <v>44</v>
      </c>
      <c r="W1945" s="18" t="s">
        <v>91</v>
      </c>
      <c r="X1945" s="16">
        <v>10</v>
      </c>
      <c r="Y1945" s="43" t="str">
        <f>HYPERLINK("https://api-enni.alpina.ru/FilePrivilegesApproval/149","https://api-enni.alpina.ru/FilePrivilegesApproval/149")</f>
        <v>https://api-enni.alpina.ru/FilePrivilegesApproval/149</v>
      </c>
      <c r="Z1945" s="18" t="s">
        <v>843</v>
      </c>
      <c r="AS1945" s="1">
        <f>IF($A1945&lt;&gt;0,1,0)</f>
        <v>0</v>
      </c>
      <c r="AT1945" s="1">
        <f>$A1945*$B1945</f>
        <v>0</v>
      </c>
      <c r="AU1945" s="1">
        <f>$A1945*$O1945</f>
        <v>0</v>
      </c>
      <c r="AV1945" s="1">
        <f>IF($R1945=0,0,INT($A1945/$R1945))</f>
        <v>0</v>
      </c>
      <c r="AW1945" s="1">
        <f>$A1945-$AV1945*$R1945</f>
        <v>0</v>
      </c>
    </row>
    <row r="1946" ht="24.95" customHeight="1" outlineLevel="3" s="1" customFormat="1">
      <c r="A1946" s="15"/>
      <c r="B1946" s="16">
        <v>640</v>
      </c>
      <c r="C1946" s="16">
        <v>960</v>
      </c>
      <c r="D1946" s="16">
        <v>30812</v>
      </c>
      <c r="E1946" s="18"/>
      <c r="F1946" s="18" t="s">
        <v>6434</v>
      </c>
      <c r="G1946" s="18" t="s">
        <v>6435</v>
      </c>
      <c r="H1946" s="18" t="s">
        <v>73</v>
      </c>
      <c r="I1946" s="18"/>
      <c r="J1946" s="16">
        <v>2025</v>
      </c>
      <c r="K1946" s="18" t="s">
        <v>6436</v>
      </c>
      <c r="L1946" s="16">
        <v>9785002234622</v>
      </c>
      <c r="M1946" s="18" t="s">
        <v>6437</v>
      </c>
      <c r="N1946" s="16">
        <v>196</v>
      </c>
      <c r="O1946" s="19">
        <v>0.25</v>
      </c>
      <c r="P1946" s="16">
        <v>120</v>
      </c>
      <c r="Q1946" s="16">
        <v>170</v>
      </c>
      <c r="R1946" s="16">
        <v>16</v>
      </c>
      <c r="S1946" s="18" t="s">
        <v>190</v>
      </c>
      <c r="T1946" s="18" t="s">
        <v>6438</v>
      </c>
      <c r="U1946" s="17">
        <v>3000</v>
      </c>
      <c r="V1946" s="18" t="s">
        <v>77</v>
      </c>
      <c r="W1946" s="18" t="s">
        <v>69</v>
      </c>
      <c r="X1946" s="16">
        <v>10</v>
      </c>
      <c r="Y1946" s="43" t="str">
        <f>HYPERLINK("https://api-enni.alpina.ru/FilePrivilegesApproval/878","https://api-enni.alpina.ru/FilePrivilegesApproval/878")</f>
        <v>https://api-enni.alpina.ru/FilePrivilegesApproval/878</v>
      </c>
      <c r="Z1946" s="18"/>
      <c r="AS1946" s="1">
        <f>IF($A1946&lt;&gt;0,1,0)</f>
        <v>0</v>
      </c>
      <c r="AT1946" s="1">
        <f>$A1946*$B1946</f>
        <v>0</v>
      </c>
      <c r="AU1946" s="1">
        <f>$A1946*$O1946</f>
        <v>0</v>
      </c>
      <c r="AV1946" s="1">
        <f>IF($R1946=0,0,INT($A1946/$R1946))</f>
        <v>0</v>
      </c>
      <c r="AW1946" s="1">
        <f>$A1946-$AV1946*$R1946</f>
        <v>0</v>
      </c>
    </row>
    <row r="1947" ht="24.95" customHeight="1" outlineLevel="3" s="1" customFormat="1">
      <c r="A1947" s="15"/>
      <c r="B1947" s="16">
        <v>640</v>
      </c>
      <c r="C1947" s="16">
        <v>960</v>
      </c>
      <c r="D1947" s="16">
        <v>30813</v>
      </c>
      <c r="E1947" s="18"/>
      <c r="F1947" s="18" t="s">
        <v>6439</v>
      </c>
      <c r="G1947" s="18" t="s">
        <v>6440</v>
      </c>
      <c r="H1947" s="18" t="s">
        <v>73</v>
      </c>
      <c r="I1947" s="18"/>
      <c r="J1947" s="16">
        <v>2025</v>
      </c>
      <c r="K1947" s="18" t="s">
        <v>6441</v>
      </c>
      <c r="L1947" s="16">
        <v>9785002232925</v>
      </c>
      <c r="M1947" s="18" t="s">
        <v>6442</v>
      </c>
      <c r="N1947" s="16">
        <v>169</v>
      </c>
      <c r="O1947" s="19">
        <v>0.22</v>
      </c>
      <c r="P1947" s="16">
        <v>120</v>
      </c>
      <c r="Q1947" s="16">
        <v>170</v>
      </c>
      <c r="R1947" s="16">
        <v>20</v>
      </c>
      <c r="S1947" s="18" t="s">
        <v>190</v>
      </c>
      <c r="T1947" s="18" t="s">
        <v>6438</v>
      </c>
      <c r="U1947" s="17">
        <v>3000</v>
      </c>
      <c r="V1947" s="18" t="s">
        <v>77</v>
      </c>
      <c r="W1947" s="18" t="s">
        <v>69</v>
      </c>
      <c r="X1947" s="16">
        <v>10</v>
      </c>
      <c r="Y1947" s="43" t="str">
        <f>HYPERLINK("https://api-enni.alpina.ru/FilePrivilegesApproval/878","https://api-enni.alpina.ru/FilePrivilegesApproval/878")</f>
        <v>https://api-enni.alpina.ru/FilePrivilegesApproval/878</v>
      </c>
      <c r="Z1947" s="18"/>
      <c r="AS1947" s="1">
        <f>IF($A1947&lt;&gt;0,1,0)</f>
        <v>0</v>
      </c>
      <c r="AT1947" s="1">
        <f>$A1947*$B1947</f>
        <v>0</v>
      </c>
      <c r="AU1947" s="1">
        <f>$A1947*$O1947</f>
        <v>0</v>
      </c>
      <c r="AV1947" s="1">
        <f>IF($R1947=0,0,INT($A1947/$R1947))</f>
        <v>0</v>
      </c>
      <c r="AW1947" s="1">
        <f>$A1947-$AV1947*$R1947</f>
        <v>0</v>
      </c>
    </row>
    <row r="1948" ht="24.95" customHeight="1" outlineLevel="3" s="1" customFormat="1">
      <c r="A1948" s="15"/>
      <c r="B1948" s="16">
        <v>640</v>
      </c>
      <c r="C1948" s="16">
        <v>960</v>
      </c>
      <c r="D1948" s="16">
        <v>30814</v>
      </c>
      <c r="E1948" s="18"/>
      <c r="F1948" s="18" t="s">
        <v>6439</v>
      </c>
      <c r="G1948" s="18" t="s">
        <v>6443</v>
      </c>
      <c r="H1948" s="18" t="s">
        <v>73</v>
      </c>
      <c r="I1948" s="18"/>
      <c r="J1948" s="16">
        <v>2025</v>
      </c>
      <c r="K1948" s="18" t="s">
        <v>6444</v>
      </c>
      <c r="L1948" s="16">
        <v>9785002232932</v>
      </c>
      <c r="M1948" s="18" t="s">
        <v>6445</v>
      </c>
      <c r="N1948" s="16">
        <v>195</v>
      </c>
      <c r="O1948" s="19">
        <v>0.25</v>
      </c>
      <c r="P1948" s="16">
        <v>120</v>
      </c>
      <c r="Q1948" s="16">
        <v>170</v>
      </c>
      <c r="R1948" s="16">
        <v>16</v>
      </c>
      <c r="S1948" s="18" t="s">
        <v>190</v>
      </c>
      <c r="T1948" s="18" t="s">
        <v>6438</v>
      </c>
      <c r="U1948" s="17">
        <v>3000</v>
      </c>
      <c r="V1948" s="18" t="s">
        <v>77</v>
      </c>
      <c r="W1948" s="18" t="s">
        <v>69</v>
      </c>
      <c r="X1948" s="16">
        <v>10</v>
      </c>
      <c r="Y1948" s="43" t="str">
        <f>HYPERLINK("https://api-enni.alpina.ru/FilePrivilegesApproval/878","https://api-enni.alpina.ru/FilePrivilegesApproval/878")</f>
        <v>https://api-enni.alpina.ru/FilePrivilegesApproval/878</v>
      </c>
      <c r="Z1948" s="18"/>
      <c r="AS1948" s="1">
        <f>IF($A1948&lt;&gt;0,1,0)</f>
        <v>0</v>
      </c>
      <c r="AT1948" s="1">
        <f>$A1948*$B1948</f>
        <v>0</v>
      </c>
      <c r="AU1948" s="1">
        <f>$A1948*$O1948</f>
        <v>0</v>
      </c>
      <c r="AV1948" s="1">
        <f>IF($R1948=0,0,INT($A1948/$R1948))</f>
        <v>0</v>
      </c>
      <c r="AW1948" s="1">
        <f>$A1948-$AV1948*$R1948</f>
        <v>0</v>
      </c>
    </row>
    <row r="1949" ht="24.95" customHeight="1" outlineLevel="3" s="1" customFormat="1">
      <c r="A1949" s="15"/>
      <c r="B1949" s="16">
        <v>690</v>
      </c>
      <c r="C1949" s="17">
        <v>1035</v>
      </c>
      <c r="D1949" s="16">
        <v>6201</v>
      </c>
      <c r="E1949" s="18"/>
      <c r="F1949" s="18" t="s">
        <v>6446</v>
      </c>
      <c r="G1949" s="18" t="s">
        <v>6447</v>
      </c>
      <c r="H1949" s="18" t="s">
        <v>86</v>
      </c>
      <c r="I1949" s="18"/>
      <c r="J1949" s="16">
        <v>2026</v>
      </c>
      <c r="K1949" s="18" t="s">
        <v>6448</v>
      </c>
      <c r="L1949" s="16">
        <v>9785961466980</v>
      </c>
      <c r="M1949" s="18" t="s">
        <v>6449</v>
      </c>
      <c r="N1949" s="16">
        <v>400</v>
      </c>
      <c r="O1949" s="19">
        <v>0.47</v>
      </c>
      <c r="P1949" s="16">
        <v>146</v>
      </c>
      <c r="Q1949" s="16">
        <v>216</v>
      </c>
      <c r="R1949" s="16">
        <v>10</v>
      </c>
      <c r="S1949" s="18" t="s">
        <v>43</v>
      </c>
      <c r="T1949" s="18"/>
      <c r="U1949" s="17">
        <v>2000</v>
      </c>
      <c r="V1949" s="18" t="s">
        <v>77</v>
      </c>
      <c r="W1949" s="18" t="s">
        <v>184</v>
      </c>
      <c r="X1949" s="16">
        <v>10</v>
      </c>
      <c r="Y1949" s="43" t="str">
        <f>HYPERLINK("https://api-enni.alpina.ru/FilePrivilegesApproval/2","https://api-enni.alpina.ru/FilePrivilegesApproval/2")</f>
        <v>https://api-enni.alpina.ru/FilePrivilegesApproval/2</v>
      </c>
      <c r="Z1949" s="18"/>
      <c r="AS1949" s="1">
        <f>IF($A1949&lt;&gt;0,1,0)</f>
        <v>0</v>
      </c>
      <c r="AT1949" s="1">
        <f>$A1949*$B1949</f>
        <v>0</v>
      </c>
      <c r="AU1949" s="1">
        <f>$A1949*$O1949</f>
        <v>0</v>
      </c>
      <c r="AV1949" s="1">
        <f>IF($R1949=0,0,INT($A1949/$R1949))</f>
        <v>0</v>
      </c>
      <c r="AW1949" s="1">
        <f>$A1949-$AV1949*$R1949</f>
        <v>0</v>
      </c>
    </row>
    <row r="1950" ht="24.95" customHeight="1" outlineLevel="3" s="1" customFormat="1">
      <c r="A1950" s="15"/>
      <c r="B1950" s="16">
        <v>540</v>
      </c>
      <c r="C1950" s="16">
        <v>837</v>
      </c>
      <c r="D1950" s="16">
        <v>26911</v>
      </c>
      <c r="E1950" s="18"/>
      <c r="F1950" s="18" t="s">
        <v>6450</v>
      </c>
      <c r="G1950" s="18" t="s">
        <v>6451</v>
      </c>
      <c r="H1950" s="18" t="s">
        <v>86</v>
      </c>
      <c r="I1950" s="18"/>
      <c r="J1950" s="16">
        <v>2026</v>
      </c>
      <c r="K1950" s="18" t="s">
        <v>6452</v>
      </c>
      <c r="L1950" s="16">
        <v>9785961483314</v>
      </c>
      <c r="M1950" s="18" t="s">
        <v>6453</v>
      </c>
      <c r="N1950" s="16">
        <v>160</v>
      </c>
      <c r="O1950" s="19">
        <v>0.13</v>
      </c>
      <c r="P1950" s="16">
        <v>130</v>
      </c>
      <c r="Q1950" s="16">
        <v>200</v>
      </c>
      <c r="R1950" s="16">
        <v>24</v>
      </c>
      <c r="S1950" s="18" t="s">
        <v>90</v>
      </c>
      <c r="T1950" s="18"/>
      <c r="U1950" s="17">
        <v>3000</v>
      </c>
      <c r="V1950" s="18" t="s">
        <v>44</v>
      </c>
      <c r="W1950" s="18" t="s">
        <v>91</v>
      </c>
      <c r="X1950" s="16">
        <v>10</v>
      </c>
      <c r="Y1950" s="43" t="str">
        <f>HYPERLINK("https://api-enni.alpina.ru/FilePrivilegesApproval/993","https://api-enni.alpina.ru/FilePrivilegesApproval/993")</f>
        <v>https://api-enni.alpina.ru/FilePrivilegesApproval/993</v>
      </c>
      <c r="Z1950" s="18" t="s">
        <v>1220</v>
      </c>
      <c r="AS1950" s="1">
        <f>IF($A1950&lt;&gt;0,1,0)</f>
        <v>0</v>
      </c>
      <c r="AT1950" s="1">
        <f>$A1950*$B1950</f>
        <v>0</v>
      </c>
      <c r="AU1950" s="1">
        <f>$A1950*$O1950</f>
        <v>0</v>
      </c>
      <c r="AV1950" s="1">
        <f>IF($R1950=0,0,INT($A1950/$R1950))</f>
        <v>0</v>
      </c>
      <c r="AW1950" s="1">
        <f>$A1950-$AV1950*$R1950</f>
        <v>0</v>
      </c>
    </row>
    <row r="1951" ht="24.95" customHeight="1" outlineLevel="3" s="1" customFormat="1">
      <c r="A1951" s="15"/>
      <c r="B1951" s="16">
        <v>690</v>
      </c>
      <c r="C1951" s="17">
        <v>1035</v>
      </c>
      <c r="D1951" s="16">
        <v>33077</v>
      </c>
      <c r="E1951" s="18"/>
      <c r="F1951" s="18" t="s">
        <v>6454</v>
      </c>
      <c r="G1951" s="18" t="s">
        <v>6455</v>
      </c>
      <c r="H1951" s="18" t="s">
        <v>95</v>
      </c>
      <c r="I1951" s="18"/>
      <c r="J1951" s="16">
        <v>2025</v>
      </c>
      <c r="K1951" s="18" t="s">
        <v>6456</v>
      </c>
      <c r="L1951" s="16">
        <v>9785206004526</v>
      </c>
      <c r="M1951" s="18" t="s">
        <v>6457</v>
      </c>
      <c r="N1951" s="16">
        <v>192</v>
      </c>
      <c r="O1951" s="19">
        <v>0.4</v>
      </c>
      <c r="P1951" s="16">
        <v>150</v>
      </c>
      <c r="Q1951" s="16">
        <v>220</v>
      </c>
      <c r="R1951" s="16">
        <v>10</v>
      </c>
      <c r="S1951" s="18" t="s">
        <v>43</v>
      </c>
      <c r="T1951" s="18"/>
      <c r="U1951" s="17">
        <v>3000</v>
      </c>
      <c r="V1951" s="18" t="s">
        <v>77</v>
      </c>
      <c r="W1951" s="18" t="s">
        <v>91</v>
      </c>
      <c r="X1951" s="16">
        <v>10</v>
      </c>
      <c r="Y1951" s="43" t="str">
        <f>HYPERLINK("https://api-enni.alpina.ru/FilePrivilegesApproval/920","https://api-enni.alpina.ru/FilePrivilegesApproval/920")</f>
        <v>https://api-enni.alpina.ru/FilePrivilegesApproval/920</v>
      </c>
      <c r="Z1951" s="18"/>
      <c r="AS1951" s="1">
        <f>IF($A1951&lt;&gt;0,1,0)</f>
        <v>0</v>
      </c>
      <c r="AT1951" s="1">
        <f>$A1951*$B1951</f>
        <v>0</v>
      </c>
      <c r="AU1951" s="1">
        <f>$A1951*$O1951</f>
        <v>0</v>
      </c>
      <c r="AV1951" s="1">
        <f>IF($R1951=0,0,INT($A1951/$R1951))</f>
        <v>0</v>
      </c>
      <c r="AW1951" s="1">
        <f>$A1951-$AV1951*$R1951</f>
        <v>0</v>
      </c>
    </row>
    <row r="1952" ht="24.95" customHeight="1" outlineLevel="3" s="1" customFormat="1">
      <c r="A1952" s="25"/>
      <c r="B1952" s="26">
        <v>890</v>
      </c>
      <c r="C1952" s="29">
        <v>1246</v>
      </c>
      <c r="D1952" s="26">
        <v>5221</v>
      </c>
      <c r="E1952" s="27"/>
      <c r="F1952" s="27" t="s">
        <v>6430</v>
      </c>
      <c r="G1952" s="27" t="s">
        <v>6458</v>
      </c>
      <c r="H1952" s="27" t="s">
        <v>73</v>
      </c>
      <c r="I1952" s="27" t="s">
        <v>74</v>
      </c>
      <c r="J1952" s="26">
        <v>2026</v>
      </c>
      <c r="K1952" s="27" t="s">
        <v>6459</v>
      </c>
      <c r="L1952" s="26">
        <v>9785916718836</v>
      </c>
      <c r="M1952" s="27" t="s">
        <v>6460</v>
      </c>
      <c r="N1952" s="26">
        <v>222</v>
      </c>
      <c r="O1952" s="28">
        <v>0.49</v>
      </c>
      <c r="P1952" s="26">
        <v>171</v>
      </c>
      <c r="Q1952" s="26">
        <v>241</v>
      </c>
      <c r="R1952" s="26">
        <v>10</v>
      </c>
      <c r="S1952" s="27" t="s">
        <v>123</v>
      </c>
      <c r="T1952" s="27"/>
      <c r="U1952" s="29">
        <v>1000</v>
      </c>
      <c r="V1952" s="27" t="s">
        <v>77</v>
      </c>
      <c r="W1952" s="27" t="s">
        <v>91</v>
      </c>
      <c r="X1952" s="26">
        <v>10</v>
      </c>
      <c r="Y1952" s="45" t="str">
        <f>HYPERLINK("https://api-enni.alpina.ru/FilePrivilegesApproval/131","https://api-enni.alpina.ru/FilePrivilegesApproval/131")</f>
        <v>https://api-enni.alpina.ru/FilePrivilegesApproval/131</v>
      </c>
      <c r="Z1952" s="27"/>
      <c r="AS1952" s="1">
        <f>IF($A1952&lt;&gt;0,1,0)</f>
        <v>0</v>
      </c>
      <c r="AT1952" s="1">
        <f>$A1952*$B1952</f>
        <v>0</v>
      </c>
      <c r="AU1952" s="1">
        <f>$A1952*$O1952</f>
        <v>0</v>
      </c>
      <c r="AV1952" s="1">
        <f>IF($R1952=0,0,INT($A1952/$R1952))</f>
        <v>0</v>
      </c>
      <c r="AW1952" s="1">
        <f>$A1952-$AV1952*$R1952</f>
        <v>0</v>
      </c>
    </row>
    <row r="1953" ht="24.95" customHeight="1" outlineLevel="3" s="1" customFormat="1">
      <c r="A1953" s="15"/>
      <c r="B1953" s="16">
        <v>790</v>
      </c>
      <c r="C1953" s="17">
        <v>1146</v>
      </c>
      <c r="D1953" s="16">
        <v>33354</v>
      </c>
      <c r="E1953" s="18"/>
      <c r="F1953" s="18" t="s">
        <v>6461</v>
      </c>
      <c r="G1953" s="18" t="s">
        <v>6462</v>
      </c>
      <c r="H1953" s="18" t="s">
        <v>86</v>
      </c>
      <c r="I1953" s="18" t="s">
        <v>74</v>
      </c>
      <c r="J1953" s="16">
        <v>2025</v>
      </c>
      <c r="K1953" s="18" t="s">
        <v>6463</v>
      </c>
      <c r="L1953" s="16">
        <v>9785006304338</v>
      </c>
      <c r="M1953" s="18" t="s">
        <v>6464</v>
      </c>
      <c r="N1953" s="16">
        <v>352</v>
      </c>
      <c r="O1953" s="19">
        <v>0.53</v>
      </c>
      <c r="P1953" s="16">
        <v>150</v>
      </c>
      <c r="Q1953" s="16">
        <v>220</v>
      </c>
      <c r="R1953" s="16">
        <v>12</v>
      </c>
      <c r="S1953" s="18" t="s">
        <v>43</v>
      </c>
      <c r="T1953" s="18"/>
      <c r="U1953" s="17">
        <v>2000</v>
      </c>
      <c r="V1953" s="18" t="s">
        <v>77</v>
      </c>
      <c r="W1953" s="18" t="s">
        <v>69</v>
      </c>
      <c r="X1953" s="16">
        <v>10</v>
      </c>
      <c r="Y1953" s="43" t="str">
        <f>HYPERLINK("https://api-enni.alpina.ru/FilePrivilegesApproval/993","https://api-enni.alpina.ru/FilePrivilegesApproval/993")</f>
        <v>https://api-enni.alpina.ru/FilePrivilegesApproval/993</v>
      </c>
      <c r="Z1953" s="18"/>
      <c r="AS1953" s="1">
        <f>IF($A1953&lt;&gt;0,1,0)</f>
        <v>0</v>
      </c>
      <c r="AT1953" s="1">
        <f>$A1953*$B1953</f>
        <v>0</v>
      </c>
      <c r="AU1953" s="1">
        <f>$A1953*$O1953</f>
        <v>0</v>
      </c>
      <c r="AV1953" s="1">
        <f>IF($R1953=0,0,INT($A1953/$R1953))</f>
        <v>0</v>
      </c>
      <c r="AW1953" s="1">
        <f>$A1953-$AV1953*$R1953</f>
        <v>0</v>
      </c>
    </row>
    <row r="1954" ht="24.95" customHeight="1" outlineLevel="3" s="1" customFormat="1">
      <c r="A1954" s="15"/>
      <c r="B1954" s="16">
        <v>990</v>
      </c>
      <c r="C1954" s="17">
        <v>1386</v>
      </c>
      <c r="D1954" s="16">
        <v>23274</v>
      </c>
      <c r="E1954" s="18"/>
      <c r="F1954" s="18" t="s">
        <v>6465</v>
      </c>
      <c r="G1954" s="18" t="s">
        <v>6466</v>
      </c>
      <c r="H1954" s="18" t="s">
        <v>95</v>
      </c>
      <c r="I1954" s="18"/>
      <c r="J1954" s="16">
        <v>2021</v>
      </c>
      <c r="K1954" s="18" t="s">
        <v>6467</v>
      </c>
      <c r="L1954" s="16">
        <v>9785907394827</v>
      </c>
      <c r="M1954" s="18" t="s">
        <v>6468</v>
      </c>
      <c r="N1954" s="16">
        <v>528</v>
      </c>
      <c r="O1954" s="19">
        <v>0.91</v>
      </c>
      <c r="P1954" s="16">
        <v>146</v>
      </c>
      <c r="Q1954" s="16">
        <v>216</v>
      </c>
      <c r="R1954" s="16">
        <v>4</v>
      </c>
      <c r="S1954" s="18" t="s">
        <v>43</v>
      </c>
      <c r="T1954" s="18"/>
      <c r="U1954" s="17">
        <v>2500</v>
      </c>
      <c r="V1954" s="18" t="s">
        <v>77</v>
      </c>
      <c r="W1954" s="18" t="s">
        <v>45</v>
      </c>
      <c r="X1954" s="16">
        <v>10</v>
      </c>
      <c r="Y1954" s="43" t="str">
        <f>HYPERLINK("https://api-enni.alpina.ru/FilePrivilegesApproval/120","https://api-enni.alpina.ru/FilePrivilegesApproval/120")</f>
        <v>https://api-enni.alpina.ru/FilePrivilegesApproval/120</v>
      </c>
      <c r="Z1954" s="18"/>
      <c r="AS1954" s="1">
        <f>IF($A1954&lt;&gt;0,1,0)</f>
        <v>0</v>
      </c>
      <c r="AT1954" s="1">
        <f>$A1954*$B1954</f>
        <v>0</v>
      </c>
      <c r="AU1954" s="1">
        <f>$A1954*$O1954</f>
        <v>0</v>
      </c>
      <c r="AV1954" s="1">
        <f>IF($R1954=0,0,INT($A1954/$R1954))</f>
        <v>0</v>
      </c>
      <c r="AW1954" s="1">
        <f>$A1954-$AV1954*$R1954</f>
        <v>0</v>
      </c>
    </row>
    <row r="1955" ht="11.1" customHeight="1" outlineLevel="2">
      <c r="A1955" s="41" t="s">
        <v>6469</v>
      </c>
      <c r="B1955" s="41"/>
      <c r="C1955" s="41"/>
      <c r="D1955" s="41"/>
      <c r="E1955" s="41"/>
      <c r="F1955" s="41"/>
      <c r="G1955" s="41"/>
      <c r="H1955" s="41"/>
      <c r="I1955" s="41"/>
      <c r="J1955" s="41"/>
      <c r="K1955" s="41"/>
      <c r="L1955" s="41"/>
      <c r="M1955" s="41"/>
      <c r="N1955" s="41"/>
      <c r="O1955" s="41"/>
      <c r="P1955" s="41"/>
      <c r="Q1955" s="41"/>
      <c r="R1955" s="41"/>
      <c r="S1955" s="41"/>
      <c r="T1955" s="41"/>
      <c r="U1955" s="41"/>
      <c r="V1955" s="41"/>
      <c r="W1955" s="41"/>
      <c r="X1955" s="41"/>
      <c r="Y1955" s="41"/>
      <c r="Z1955" s="24"/>
    </row>
    <row r="1956" ht="24.95" customHeight="1" outlineLevel="3" s="1" customFormat="1">
      <c r="A1956" s="25"/>
      <c r="B1956" s="26">
        <v>590</v>
      </c>
      <c r="C1956" s="26">
        <v>885</v>
      </c>
      <c r="D1956" s="26">
        <v>33924</v>
      </c>
      <c r="E1956" s="27"/>
      <c r="F1956" s="27" t="s">
        <v>982</v>
      </c>
      <c r="G1956" s="27" t="s">
        <v>6470</v>
      </c>
      <c r="H1956" s="27" t="s">
        <v>86</v>
      </c>
      <c r="I1956" s="27"/>
      <c r="J1956" s="26">
        <v>2025</v>
      </c>
      <c r="K1956" s="27" t="s">
        <v>6471</v>
      </c>
      <c r="L1956" s="26">
        <v>9785006306134</v>
      </c>
      <c r="M1956" s="27" t="s">
        <v>6472</v>
      </c>
      <c r="N1956" s="26">
        <v>256</v>
      </c>
      <c r="O1956" s="28">
        <v>0.4</v>
      </c>
      <c r="P1956" s="26">
        <v>150</v>
      </c>
      <c r="Q1956" s="26">
        <v>220</v>
      </c>
      <c r="R1956" s="26">
        <v>8</v>
      </c>
      <c r="S1956" s="27" t="s">
        <v>43</v>
      </c>
      <c r="T1956" s="27"/>
      <c r="U1956" s="29">
        <v>1000</v>
      </c>
      <c r="V1956" s="27" t="s">
        <v>77</v>
      </c>
      <c r="W1956" s="27" t="s">
        <v>184</v>
      </c>
      <c r="X1956" s="26">
        <v>10</v>
      </c>
      <c r="Y1956" s="45" t="str">
        <f>HYPERLINK("https://api-enni.alpina.ru/FilePrivilegesApproval/898","https://api-enni.alpina.ru/FilePrivilegesApproval/898")</f>
        <v>https://api-enni.alpina.ru/FilePrivilegesApproval/898</v>
      </c>
      <c r="Z1956" s="27"/>
      <c r="AS1956" s="1">
        <f>IF($A1956&lt;&gt;0,1,0)</f>
        <v>0</v>
      </c>
      <c r="AT1956" s="1">
        <f>$A1956*$B1956</f>
        <v>0</v>
      </c>
      <c r="AU1956" s="1">
        <f>$A1956*$O1956</f>
        <v>0</v>
      </c>
      <c r="AV1956" s="1">
        <f>IF($R1956=0,0,INT($A1956/$R1956))</f>
        <v>0</v>
      </c>
      <c r="AW1956" s="1">
        <f>$A1956-$AV1956*$R1956</f>
        <v>0</v>
      </c>
    </row>
    <row r="1957" ht="24.95" customHeight="1" outlineLevel="3" s="1" customFormat="1">
      <c r="A1957" s="15"/>
      <c r="B1957" s="16">
        <v>740</v>
      </c>
      <c r="C1957" s="17">
        <v>1073</v>
      </c>
      <c r="D1957" s="16">
        <v>22528</v>
      </c>
      <c r="E1957" s="18"/>
      <c r="F1957" s="18" t="s">
        <v>6473</v>
      </c>
      <c r="G1957" s="18" t="s">
        <v>6474</v>
      </c>
      <c r="H1957" s="18" t="s">
        <v>86</v>
      </c>
      <c r="I1957" s="18"/>
      <c r="J1957" s="16">
        <v>2021</v>
      </c>
      <c r="K1957" s="18" t="s">
        <v>6475</v>
      </c>
      <c r="L1957" s="16">
        <v>9785961469387</v>
      </c>
      <c r="M1957" s="18" t="s">
        <v>6476</v>
      </c>
      <c r="N1957" s="16">
        <v>368</v>
      </c>
      <c r="O1957" s="19">
        <v>0.6</v>
      </c>
      <c r="P1957" s="16">
        <v>163</v>
      </c>
      <c r="Q1957" s="16">
        <v>215</v>
      </c>
      <c r="R1957" s="16">
        <v>8</v>
      </c>
      <c r="S1957" s="18" t="s">
        <v>52</v>
      </c>
      <c r="T1957" s="18"/>
      <c r="U1957" s="17">
        <v>3000</v>
      </c>
      <c r="V1957" s="18" t="s">
        <v>44</v>
      </c>
      <c r="W1957" s="18" t="s">
        <v>55</v>
      </c>
      <c r="X1957" s="16">
        <v>10</v>
      </c>
      <c r="Y1957" s="43" t="str">
        <f>HYPERLINK("https://api-enni.alpina.ru/FilePrivilegesApproval/111","https://api-enni.alpina.ru/FilePrivilegesApproval/111")</f>
        <v>https://api-enni.alpina.ru/FilePrivilegesApproval/111</v>
      </c>
      <c r="Z1957" s="18"/>
      <c r="AS1957" s="1">
        <f>IF($A1957&lt;&gt;0,1,0)</f>
        <v>0</v>
      </c>
      <c r="AT1957" s="1">
        <f>$A1957*$B1957</f>
        <v>0</v>
      </c>
      <c r="AU1957" s="1">
        <f>$A1957*$O1957</f>
        <v>0</v>
      </c>
      <c r="AV1957" s="1">
        <f>IF($R1957=0,0,INT($A1957/$R1957))</f>
        <v>0</v>
      </c>
      <c r="AW1957" s="1">
        <f>$A1957-$AV1957*$R1957</f>
        <v>0</v>
      </c>
    </row>
    <row r="1958" ht="24.95" customHeight="1" outlineLevel="3" s="1" customFormat="1">
      <c r="A1958" s="15"/>
      <c r="B1958" s="16">
        <v>990</v>
      </c>
      <c r="C1958" s="17">
        <v>1386</v>
      </c>
      <c r="D1958" s="16">
        <v>28425</v>
      </c>
      <c r="E1958" s="18"/>
      <c r="F1958" s="18" t="s">
        <v>6477</v>
      </c>
      <c r="G1958" s="18" t="s">
        <v>6478</v>
      </c>
      <c r="H1958" s="18" t="s">
        <v>86</v>
      </c>
      <c r="I1958" s="18"/>
      <c r="J1958" s="16">
        <v>2025</v>
      </c>
      <c r="K1958" s="18" t="s">
        <v>6479</v>
      </c>
      <c r="L1958" s="16">
        <v>9785961488920</v>
      </c>
      <c r="M1958" s="18" t="s">
        <v>6480</v>
      </c>
      <c r="N1958" s="16">
        <v>362</v>
      </c>
      <c r="O1958" s="19">
        <v>0.59</v>
      </c>
      <c r="P1958" s="16">
        <v>160</v>
      </c>
      <c r="Q1958" s="16">
        <v>220</v>
      </c>
      <c r="R1958" s="16">
        <v>6</v>
      </c>
      <c r="S1958" s="18" t="s">
        <v>43</v>
      </c>
      <c r="T1958" s="18"/>
      <c r="U1958" s="17">
        <v>1500</v>
      </c>
      <c r="V1958" s="18" t="s">
        <v>44</v>
      </c>
      <c r="W1958" s="18" t="s">
        <v>184</v>
      </c>
      <c r="X1958" s="16">
        <v>10</v>
      </c>
      <c r="Y1958" s="43" t="str">
        <f>HYPERLINK("https://api-enni.alpina.ru/FilePrivilegesApproval/264","https://api-enni.alpina.ru/FilePrivilegesApproval/264")</f>
        <v>https://api-enni.alpina.ru/FilePrivilegesApproval/264</v>
      </c>
      <c r="Z1958" s="18"/>
      <c r="AS1958" s="1">
        <f>IF($A1958&lt;&gt;0,1,0)</f>
        <v>0</v>
      </c>
      <c r="AT1958" s="1">
        <f>$A1958*$B1958</f>
        <v>0</v>
      </c>
      <c r="AU1958" s="1">
        <f>$A1958*$O1958</f>
        <v>0</v>
      </c>
      <c r="AV1958" s="1">
        <f>IF($R1958=0,0,INT($A1958/$R1958))</f>
        <v>0</v>
      </c>
      <c r="AW1958" s="1">
        <f>$A1958-$AV1958*$R1958</f>
        <v>0</v>
      </c>
    </row>
    <row r="1959" ht="24.95" customHeight="1" outlineLevel="3" s="1" customFormat="1">
      <c r="A1959" s="15"/>
      <c r="B1959" s="16">
        <v>640</v>
      </c>
      <c r="C1959" s="16">
        <v>960</v>
      </c>
      <c r="D1959" s="16">
        <v>30474</v>
      </c>
      <c r="E1959" s="18"/>
      <c r="F1959" s="18" t="s">
        <v>6481</v>
      </c>
      <c r="G1959" s="18" t="s">
        <v>6482</v>
      </c>
      <c r="H1959" s="18" t="s">
        <v>95</v>
      </c>
      <c r="I1959" s="18"/>
      <c r="J1959" s="16">
        <v>2025</v>
      </c>
      <c r="K1959" s="18" t="s">
        <v>6483</v>
      </c>
      <c r="L1959" s="16">
        <v>9785206003307</v>
      </c>
      <c r="M1959" s="18" t="s">
        <v>6484</v>
      </c>
      <c r="N1959" s="16">
        <v>192</v>
      </c>
      <c r="O1959" s="19">
        <v>0.26</v>
      </c>
      <c r="P1959" s="16">
        <v>140</v>
      </c>
      <c r="Q1959" s="16">
        <v>210</v>
      </c>
      <c r="R1959" s="16">
        <v>18</v>
      </c>
      <c r="S1959" s="18" t="s">
        <v>43</v>
      </c>
      <c r="T1959" s="18"/>
      <c r="U1959" s="17">
        <v>1500</v>
      </c>
      <c r="V1959" s="18" t="s">
        <v>44</v>
      </c>
      <c r="W1959" s="18" t="s">
        <v>69</v>
      </c>
      <c r="X1959" s="16">
        <v>10</v>
      </c>
      <c r="Y1959" s="43" t="str">
        <f>HYPERLINK("https://api-enni.alpina.ru/FilePrivilegesApproval/538","https://api-enni.alpina.ru/FilePrivilegesApproval/538")</f>
        <v>https://api-enni.alpina.ru/FilePrivilegesApproval/538</v>
      </c>
      <c r="Z1959" s="18"/>
      <c r="AS1959" s="1">
        <f>IF($A1959&lt;&gt;0,1,0)</f>
        <v>0</v>
      </c>
      <c r="AT1959" s="1">
        <f>$A1959*$B1959</f>
        <v>0</v>
      </c>
      <c r="AU1959" s="1">
        <f>$A1959*$O1959</f>
        <v>0</v>
      </c>
      <c r="AV1959" s="1">
        <f>IF($R1959=0,0,INT($A1959/$R1959))</f>
        <v>0</v>
      </c>
      <c r="AW1959" s="1">
        <f>$A1959-$AV1959*$R1959</f>
        <v>0</v>
      </c>
    </row>
    <row r="1960" ht="24.95" customHeight="1" outlineLevel="3" s="1" customFormat="1">
      <c r="A1960" s="15"/>
      <c r="B1960" s="16">
        <v>690</v>
      </c>
      <c r="C1960" s="17">
        <v>1035</v>
      </c>
      <c r="D1960" s="16">
        <v>24086</v>
      </c>
      <c r="E1960" s="18"/>
      <c r="F1960" s="18" t="s">
        <v>6485</v>
      </c>
      <c r="G1960" s="18" t="s">
        <v>6486</v>
      </c>
      <c r="H1960" s="18" t="s">
        <v>95</v>
      </c>
      <c r="I1960" s="18"/>
      <c r="J1960" s="16">
        <v>2023</v>
      </c>
      <c r="K1960" s="18" t="s">
        <v>6487</v>
      </c>
      <c r="L1960" s="16">
        <v>9785206000252</v>
      </c>
      <c r="M1960" s="18" t="s">
        <v>6488</v>
      </c>
      <c r="N1960" s="16">
        <v>182</v>
      </c>
      <c r="O1960" s="19">
        <v>0.37</v>
      </c>
      <c r="P1960" s="16">
        <v>146</v>
      </c>
      <c r="Q1960" s="16">
        <v>216</v>
      </c>
      <c r="R1960" s="16">
        <v>12</v>
      </c>
      <c r="S1960" s="18" t="s">
        <v>43</v>
      </c>
      <c r="T1960" s="18"/>
      <c r="U1960" s="17">
        <v>2000</v>
      </c>
      <c r="V1960" s="18" t="s">
        <v>77</v>
      </c>
      <c r="W1960" s="18" t="s">
        <v>45</v>
      </c>
      <c r="X1960" s="16">
        <v>10</v>
      </c>
      <c r="Y1960" s="43" t="str">
        <f>HYPERLINK("https://api-enni.alpina.ru/FilePrivilegesApproval/170","https://api-enni.alpina.ru/FilePrivilegesApproval/170")</f>
        <v>https://api-enni.alpina.ru/FilePrivilegesApproval/170</v>
      </c>
      <c r="Z1960" s="18"/>
      <c r="AS1960" s="1">
        <f>IF($A1960&lt;&gt;0,1,0)</f>
        <v>0</v>
      </c>
      <c r="AT1960" s="1">
        <f>$A1960*$B1960</f>
        <v>0</v>
      </c>
      <c r="AU1960" s="1">
        <f>$A1960*$O1960</f>
        <v>0</v>
      </c>
      <c r="AV1960" s="1">
        <f>IF($R1960=0,0,INT($A1960/$R1960))</f>
        <v>0</v>
      </c>
      <c r="AW1960" s="1">
        <f>$A1960-$AV1960*$R1960</f>
        <v>0</v>
      </c>
    </row>
    <row r="1961" ht="24.95" customHeight="1" outlineLevel="3" s="1" customFormat="1">
      <c r="A1961" s="15"/>
      <c r="B1961" s="17">
        <v>1090</v>
      </c>
      <c r="C1961" s="17">
        <v>1472</v>
      </c>
      <c r="D1961" s="16">
        <v>943</v>
      </c>
      <c r="E1961" s="18"/>
      <c r="F1961" s="18" t="s">
        <v>6489</v>
      </c>
      <c r="G1961" s="18" t="s">
        <v>6490</v>
      </c>
      <c r="H1961" s="18" t="s">
        <v>73</v>
      </c>
      <c r="I1961" s="18"/>
      <c r="J1961" s="16">
        <v>2026</v>
      </c>
      <c r="K1961" s="18" t="s">
        <v>6491</v>
      </c>
      <c r="L1961" s="16">
        <v>9785916717587</v>
      </c>
      <c r="M1961" s="18" t="s">
        <v>6492</v>
      </c>
      <c r="N1961" s="16">
        <v>560</v>
      </c>
      <c r="O1961" s="19">
        <v>0.65</v>
      </c>
      <c r="P1961" s="16">
        <v>140</v>
      </c>
      <c r="Q1961" s="16">
        <v>220</v>
      </c>
      <c r="R1961" s="16">
        <v>8</v>
      </c>
      <c r="S1961" s="18" t="s">
        <v>43</v>
      </c>
      <c r="T1961" s="18"/>
      <c r="U1961" s="17">
        <v>1500</v>
      </c>
      <c r="V1961" s="18" t="s">
        <v>77</v>
      </c>
      <c r="W1961" s="18" t="s">
        <v>91</v>
      </c>
      <c r="X1961" s="16">
        <v>10</v>
      </c>
      <c r="Y1961" s="43" t="str">
        <f>HYPERLINK("https://api-enni.alpina.ru/FilePrivilegesApproval/2","https://api-enni.alpina.ru/FilePrivilegesApproval/2")</f>
        <v>https://api-enni.alpina.ru/FilePrivilegesApproval/2</v>
      </c>
      <c r="Z1961" s="18" t="s">
        <v>773</v>
      </c>
      <c r="AS1961" s="1">
        <f>IF($A1961&lt;&gt;0,1,0)</f>
        <v>0</v>
      </c>
      <c r="AT1961" s="1">
        <f>$A1961*$B1961</f>
        <v>0</v>
      </c>
      <c r="AU1961" s="1">
        <f>$A1961*$O1961</f>
        <v>0</v>
      </c>
      <c r="AV1961" s="1">
        <f>IF($R1961=0,0,INT($A1961/$R1961))</f>
        <v>0</v>
      </c>
      <c r="AW1961" s="1">
        <f>$A1961-$AV1961*$R1961</f>
        <v>0</v>
      </c>
    </row>
    <row r="1962" ht="11.1" customHeight="1" outlineLevel="2">
      <c r="A1962" s="41" t="s">
        <v>6493</v>
      </c>
      <c r="B1962" s="41"/>
      <c r="C1962" s="41"/>
      <c r="D1962" s="41"/>
      <c r="E1962" s="41"/>
      <c r="F1962" s="41"/>
      <c r="G1962" s="41"/>
      <c r="H1962" s="41"/>
      <c r="I1962" s="41"/>
      <c r="J1962" s="41"/>
      <c r="K1962" s="41"/>
      <c r="L1962" s="41"/>
      <c r="M1962" s="41"/>
      <c r="N1962" s="41"/>
      <c r="O1962" s="41"/>
      <c r="P1962" s="41"/>
      <c r="Q1962" s="41"/>
      <c r="R1962" s="41"/>
      <c r="S1962" s="41"/>
      <c r="T1962" s="41"/>
      <c r="U1962" s="41"/>
      <c r="V1962" s="41"/>
      <c r="W1962" s="41"/>
      <c r="X1962" s="41"/>
      <c r="Y1962" s="41"/>
      <c r="Z1962" s="24"/>
    </row>
    <row r="1963" ht="24.95" customHeight="1" outlineLevel="3" s="1" customFormat="1">
      <c r="A1963" s="15"/>
      <c r="B1963" s="17">
        <v>2040</v>
      </c>
      <c r="C1963" s="17">
        <v>2652</v>
      </c>
      <c r="D1963" s="16">
        <v>28117</v>
      </c>
      <c r="E1963" s="18"/>
      <c r="F1963" s="18" t="s">
        <v>6494</v>
      </c>
      <c r="G1963" s="18" t="s">
        <v>6495</v>
      </c>
      <c r="H1963" s="18" t="s">
        <v>95</v>
      </c>
      <c r="I1963" s="18"/>
      <c r="J1963" s="16">
        <v>2025</v>
      </c>
      <c r="K1963" s="18" t="s">
        <v>6496</v>
      </c>
      <c r="L1963" s="16">
        <v>9785206001938</v>
      </c>
      <c r="M1963" s="18" t="s">
        <v>6497</v>
      </c>
      <c r="N1963" s="16">
        <v>352</v>
      </c>
      <c r="O1963" s="19">
        <v>1.15</v>
      </c>
      <c r="P1963" s="16">
        <v>210</v>
      </c>
      <c r="Q1963" s="16">
        <v>270</v>
      </c>
      <c r="R1963" s="16">
        <v>4</v>
      </c>
      <c r="S1963" s="18" t="s">
        <v>328</v>
      </c>
      <c r="T1963" s="18"/>
      <c r="U1963" s="17">
        <v>2000</v>
      </c>
      <c r="V1963" s="18" t="s">
        <v>77</v>
      </c>
      <c r="W1963" s="18" t="s">
        <v>45</v>
      </c>
      <c r="X1963" s="16">
        <v>10</v>
      </c>
      <c r="Y1963" s="43" t="str">
        <f>HYPERLINK("https://api-enni.alpina.ru/FilePrivilegesApproval/538","https://api-enni.alpina.ru/FilePrivilegesApproval/538")</f>
        <v>https://api-enni.alpina.ru/FilePrivilegesApproval/538</v>
      </c>
      <c r="Z1963" s="18"/>
      <c r="AS1963" s="1">
        <f>IF($A1963&lt;&gt;0,1,0)</f>
        <v>0</v>
      </c>
      <c r="AT1963" s="1">
        <f>$A1963*$B1963</f>
        <v>0</v>
      </c>
      <c r="AU1963" s="1">
        <f>$A1963*$O1963</f>
        <v>0</v>
      </c>
      <c r="AV1963" s="1">
        <f>IF($R1963=0,0,INT($A1963/$R1963))</f>
        <v>0</v>
      </c>
      <c r="AW1963" s="1">
        <f>$A1963-$AV1963*$R1963</f>
        <v>0</v>
      </c>
    </row>
    <row r="1964" ht="24.95" customHeight="1" outlineLevel="3" s="1" customFormat="1">
      <c r="A1964" s="15"/>
      <c r="B1964" s="16">
        <v>640</v>
      </c>
      <c r="C1964" s="16">
        <v>960</v>
      </c>
      <c r="D1964" s="16">
        <v>6526</v>
      </c>
      <c r="E1964" s="18"/>
      <c r="F1964" s="18" t="s">
        <v>6498</v>
      </c>
      <c r="G1964" s="18" t="s">
        <v>6499</v>
      </c>
      <c r="H1964" s="18" t="s">
        <v>86</v>
      </c>
      <c r="I1964" s="18"/>
      <c r="J1964" s="16">
        <v>2025</v>
      </c>
      <c r="K1964" s="18" t="s">
        <v>6500</v>
      </c>
      <c r="L1964" s="16">
        <v>9785961468915</v>
      </c>
      <c r="M1964" s="18" t="s">
        <v>6501</v>
      </c>
      <c r="N1964" s="16">
        <v>336</v>
      </c>
      <c r="O1964" s="19">
        <v>0.44</v>
      </c>
      <c r="P1964" s="16">
        <v>141</v>
      </c>
      <c r="Q1964" s="16">
        <v>210</v>
      </c>
      <c r="R1964" s="16">
        <v>10</v>
      </c>
      <c r="S1964" s="18" t="s">
        <v>43</v>
      </c>
      <c r="T1964" s="18"/>
      <c r="U1964" s="17">
        <v>1000</v>
      </c>
      <c r="V1964" s="18" t="s">
        <v>44</v>
      </c>
      <c r="W1964" s="18" t="s">
        <v>184</v>
      </c>
      <c r="X1964" s="16">
        <v>10</v>
      </c>
      <c r="Y1964" s="43" t="str">
        <f>HYPERLINK("https://api-enni.alpina.ru/FilePrivilegesApproval/141","https://api-enni.alpina.ru/FilePrivilegesApproval/141")</f>
        <v>https://api-enni.alpina.ru/FilePrivilegesApproval/141</v>
      </c>
      <c r="Z1964" s="18"/>
      <c r="AS1964" s="1">
        <f>IF($A1964&lt;&gt;0,1,0)</f>
        <v>0</v>
      </c>
      <c r="AT1964" s="1">
        <f>$A1964*$B1964</f>
        <v>0</v>
      </c>
      <c r="AU1964" s="1">
        <f>$A1964*$O1964</f>
        <v>0</v>
      </c>
      <c r="AV1964" s="1">
        <f>IF($R1964=0,0,INT($A1964/$R1964))</f>
        <v>0</v>
      </c>
      <c r="AW1964" s="1">
        <f>$A1964-$AV1964*$R1964</f>
        <v>0</v>
      </c>
    </row>
    <row r="1965" ht="24.95" customHeight="1" outlineLevel="3" s="1" customFormat="1">
      <c r="A1965" s="15"/>
      <c r="B1965" s="17">
        <v>1990</v>
      </c>
      <c r="C1965" s="17">
        <v>2587</v>
      </c>
      <c r="D1965" s="16">
        <v>32185</v>
      </c>
      <c r="E1965" s="18"/>
      <c r="F1965" s="18" t="s">
        <v>6502</v>
      </c>
      <c r="G1965" s="18" t="s">
        <v>6503</v>
      </c>
      <c r="H1965" s="18" t="s">
        <v>86</v>
      </c>
      <c r="I1965" s="18" t="s">
        <v>74</v>
      </c>
      <c r="J1965" s="16">
        <v>2026</v>
      </c>
      <c r="K1965" s="18" t="s">
        <v>6504</v>
      </c>
      <c r="L1965" s="16">
        <v>9785006301627</v>
      </c>
      <c r="M1965" s="18" t="s">
        <v>6505</v>
      </c>
      <c r="N1965" s="16">
        <v>248</v>
      </c>
      <c r="O1965" s="19">
        <v>1.1</v>
      </c>
      <c r="P1965" s="16">
        <v>210</v>
      </c>
      <c r="Q1965" s="16">
        <v>260</v>
      </c>
      <c r="R1965" s="16">
        <v>5</v>
      </c>
      <c r="S1965" s="18" t="s">
        <v>328</v>
      </c>
      <c r="T1965" s="18"/>
      <c r="U1965" s="17">
        <v>3000</v>
      </c>
      <c r="V1965" s="18" t="s">
        <v>77</v>
      </c>
      <c r="W1965" s="18" t="s">
        <v>91</v>
      </c>
      <c r="X1965" s="16">
        <v>10</v>
      </c>
      <c r="Y1965" s="43" t="str">
        <f>HYPERLINK("https://api-enni.alpina.ru/FilePrivilegesApproval/993","https://api-enni.alpina.ru/FilePrivilegesApproval/993")</f>
        <v>https://api-enni.alpina.ru/FilePrivilegesApproval/993</v>
      </c>
      <c r="Z1965" s="18"/>
      <c r="AS1965" s="1">
        <f>IF($A1965&lt;&gt;0,1,0)</f>
        <v>0</v>
      </c>
      <c r="AT1965" s="1">
        <f>$A1965*$B1965</f>
        <v>0</v>
      </c>
      <c r="AU1965" s="1">
        <f>$A1965*$O1965</f>
        <v>0</v>
      </c>
      <c r="AV1965" s="1">
        <f>IF($R1965=0,0,INT($A1965/$R1965))</f>
        <v>0</v>
      </c>
      <c r="AW1965" s="1">
        <f>$A1965-$AV1965*$R1965</f>
        <v>0</v>
      </c>
    </row>
    <row r="1966" ht="24.95" customHeight="1" outlineLevel="3" s="1" customFormat="1">
      <c r="A1966" s="15"/>
      <c r="B1966" s="16">
        <v>940</v>
      </c>
      <c r="C1966" s="17">
        <v>1316</v>
      </c>
      <c r="D1966" s="16">
        <v>23303</v>
      </c>
      <c r="E1966" s="18"/>
      <c r="F1966" s="18" t="s">
        <v>6506</v>
      </c>
      <c r="G1966" s="18" t="s">
        <v>6507</v>
      </c>
      <c r="H1966" s="18" t="s">
        <v>73</v>
      </c>
      <c r="I1966" s="18" t="s">
        <v>74</v>
      </c>
      <c r="J1966" s="16">
        <v>2023</v>
      </c>
      <c r="K1966" s="18" t="s">
        <v>6508</v>
      </c>
      <c r="L1966" s="16">
        <v>9785001394655</v>
      </c>
      <c r="M1966" s="18" t="s">
        <v>6509</v>
      </c>
      <c r="N1966" s="16">
        <v>436</v>
      </c>
      <c r="O1966" s="19">
        <v>0.51</v>
      </c>
      <c r="P1966" s="16">
        <v>150</v>
      </c>
      <c r="Q1966" s="16">
        <v>220</v>
      </c>
      <c r="R1966" s="16">
        <v>8</v>
      </c>
      <c r="S1966" s="18" t="s">
        <v>43</v>
      </c>
      <c r="T1966" s="18"/>
      <c r="U1966" s="17">
        <v>3000</v>
      </c>
      <c r="V1966" s="18" t="s">
        <v>77</v>
      </c>
      <c r="W1966" s="18" t="s">
        <v>91</v>
      </c>
      <c r="X1966" s="16">
        <v>10</v>
      </c>
      <c r="Y1966" s="43" t="str">
        <f>HYPERLINK("https://api-enni.alpina.ru/FilePrivilegesApproval/225","https://api-enni.alpina.ru/FilePrivilegesApproval/225")</f>
        <v>https://api-enni.alpina.ru/FilePrivilegesApproval/225</v>
      </c>
      <c r="Z1966" s="18"/>
      <c r="AS1966" s="1">
        <f>IF($A1966&lt;&gt;0,1,0)</f>
        <v>0</v>
      </c>
      <c r="AT1966" s="1">
        <f>$A1966*$B1966</f>
        <v>0</v>
      </c>
      <c r="AU1966" s="1">
        <f>$A1966*$O1966</f>
        <v>0</v>
      </c>
      <c r="AV1966" s="1">
        <f>IF($R1966=0,0,INT($A1966/$R1966))</f>
        <v>0</v>
      </c>
      <c r="AW1966" s="1">
        <f>$A1966-$AV1966*$R1966</f>
        <v>0</v>
      </c>
    </row>
    <row r="1967" ht="24.95" customHeight="1" outlineLevel="3" s="1" customFormat="1">
      <c r="A1967" s="25"/>
      <c r="B1967" s="26">
        <v>690</v>
      </c>
      <c r="C1967" s="29">
        <v>1035</v>
      </c>
      <c r="D1967" s="26">
        <v>35529</v>
      </c>
      <c r="E1967" s="27"/>
      <c r="F1967" s="27" t="s">
        <v>6510</v>
      </c>
      <c r="G1967" s="27" t="s">
        <v>6511</v>
      </c>
      <c r="H1967" s="27" t="s">
        <v>86</v>
      </c>
      <c r="I1967" s="27"/>
      <c r="J1967" s="26">
        <v>2025</v>
      </c>
      <c r="K1967" s="27" t="s">
        <v>6512</v>
      </c>
      <c r="L1967" s="26">
        <v>9785006312234</v>
      </c>
      <c r="M1967" s="27" t="s">
        <v>6513</v>
      </c>
      <c r="N1967" s="26">
        <v>256</v>
      </c>
      <c r="O1967" s="28">
        <v>0.43</v>
      </c>
      <c r="P1967" s="26">
        <v>150</v>
      </c>
      <c r="Q1967" s="26">
        <v>220</v>
      </c>
      <c r="R1967" s="26">
        <v>6</v>
      </c>
      <c r="S1967" s="27" t="s">
        <v>43</v>
      </c>
      <c r="T1967" s="27"/>
      <c r="U1967" s="29">
        <v>1000</v>
      </c>
      <c r="V1967" s="27" t="s">
        <v>77</v>
      </c>
      <c r="W1967" s="27" t="s">
        <v>184</v>
      </c>
      <c r="X1967" s="26">
        <v>10</v>
      </c>
      <c r="Y1967" s="45" t="str">
        <f>HYPERLINK("https://api-enni.alpina.ru/FilePrivilegesApproval/162","https://api-enni.alpina.ru/FilePrivilegesApproval/162")</f>
        <v>https://api-enni.alpina.ru/FilePrivilegesApproval/162</v>
      </c>
      <c r="Z1967" s="27"/>
      <c r="AS1967" s="1">
        <f>IF($A1967&lt;&gt;0,1,0)</f>
        <v>0</v>
      </c>
      <c r="AT1967" s="1">
        <f>$A1967*$B1967</f>
        <v>0</v>
      </c>
      <c r="AU1967" s="1">
        <f>$A1967*$O1967</f>
        <v>0</v>
      </c>
      <c r="AV1967" s="1">
        <f>IF($R1967=0,0,INT($A1967/$R1967))</f>
        <v>0</v>
      </c>
      <c r="AW1967" s="1">
        <f>$A1967-$AV1967*$R1967</f>
        <v>0</v>
      </c>
    </row>
    <row r="1968" ht="24.95" customHeight="1" outlineLevel="3" s="1" customFormat="1">
      <c r="A1968" s="15"/>
      <c r="B1968" s="16">
        <v>930</v>
      </c>
      <c r="C1968" s="17">
        <v>1302</v>
      </c>
      <c r="D1968" s="16">
        <v>22692</v>
      </c>
      <c r="E1968" s="18"/>
      <c r="F1968" s="18" t="s">
        <v>6514</v>
      </c>
      <c r="G1968" s="18" t="s">
        <v>6515</v>
      </c>
      <c r="H1968" s="18" t="s">
        <v>95</v>
      </c>
      <c r="I1968" s="18" t="s">
        <v>74</v>
      </c>
      <c r="J1968" s="16">
        <v>2025</v>
      </c>
      <c r="K1968" s="18" t="s">
        <v>6516</v>
      </c>
      <c r="L1968" s="16">
        <v>9785907394605</v>
      </c>
      <c r="M1968" s="18" t="s">
        <v>6517</v>
      </c>
      <c r="N1968" s="16">
        <v>502</v>
      </c>
      <c r="O1968" s="19">
        <v>0.8</v>
      </c>
      <c r="P1968" s="16">
        <v>170</v>
      </c>
      <c r="Q1968" s="16">
        <v>240</v>
      </c>
      <c r="R1968" s="16">
        <v>10</v>
      </c>
      <c r="S1968" s="18" t="s">
        <v>123</v>
      </c>
      <c r="T1968" s="18"/>
      <c r="U1968" s="17">
        <v>1000</v>
      </c>
      <c r="V1968" s="18" t="s">
        <v>44</v>
      </c>
      <c r="W1968" s="18" t="s">
        <v>91</v>
      </c>
      <c r="X1968" s="16">
        <v>10</v>
      </c>
      <c r="Y1968" s="43" t="str">
        <f>HYPERLINK("https://api-enni.alpina.ru/FilePrivilegesApproval/116","https://api-enni.alpina.ru/FilePrivilegesApproval/116")</f>
        <v>https://api-enni.alpina.ru/FilePrivilegesApproval/116</v>
      </c>
      <c r="Z1968" s="18"/>
      <c r="AS1968" s="1">
        <f>IF($A1968&lt;&gt;0,1,0)</f>
        <v>0</v>
      </c>
      <c r="AT1968" s="1">
        <f>$A1968*$B1968</f>
        <v>0</v>
      </c>
      <c r="AU1968" s="1">
        <f>$A1968*$O1968</f>
        <v>0</v>
      </c>
      <c r="AV1968" s="1">
        <f>IF($R1968=0,0,INT($A1968/$R1968))</f>
        <v>0</v>
      </c>
      <c r="AW1968" s="1">
        <f>$A1968-$AV1968*$R1968</f>
        <v>0</v>
      </c>
    </row>
    <row r="1969" ht="24.95" customHeight="1" outlineLevel="3" s="1" customFormat="1">
      <c r="A1969" s="15"/>
      <c r="B1969" s="16">
        <v>390</v>
      </c>
      <c r="C1969" s="16">
        <v>624</v>
      </c>
      <c r="D1969" s="16">
        <v>27128</v>
      </c>
      <c r="E1969" s="18"/>
      <c r="F1969" s="18" t="s">
        <v>6518</v>
      </c>
      <c r="G1969" s="18" t="s">
        <v>6519</v>
      </c>
      <c r="H1969" s="18" t="s">
        <v>86</v>
      </c>
      <c r="I1969" s="18" t="s">
        <v>74</v>
      </c>
      <c r="J1969" s="16">
        <v>2025</v>
      </c>
      <c r="K1969" s="18" t="s">
        <v>6520</v>
      </c>
      <c r="L1969" s="16">
        <v>9785961484076</v>
      </c>
      <c r="M1969" s="18" t="s">
        <v>6521</v>
      </c>
      <c r="N1969" s="16">
        <v>444</v>
      </c>
      <c r="O1969" s="19">
        <v>0.29</v>
      </c>
      <c r="P1969" s="16">
        <v>120</v>
      </c>
      <c r="Q1969" s="16">
        <v>170</v>
      </c>
      <c r="R1969" s="16">
        <v>14</v>
      </c>
      <c r="S1969" s="18" t="s">
        <v>190</v>
      </c>
      <c r="T1969" s="18" t="s">
        <v>451</v>
      </c>
      <c r="U1969" s="17">
        <v>2000</v>
      </c>
      <c r="V1969" s="18" t="s">
        <v>44</v>
      </c>
      <c r="W1969" s="18" t="s">
        <v>184</v>
      </c>
      <c r="X1969" s="16">
        <v>10</v>
      </c>
      <c r="Y1969" s="43" t="str">
        <f>HYPERLINK("https://api-enni.alpina.ru/FilePrivilegesApproval/177","https://api-enni.alpina.ru/FilePrivilegesApproval/177")</f>
        <v>https://api-enni.alpina.ru/FilePrivilegesApproval/177</v>
      </c>
      <c r="Z1969" s="18"/>
      <c r="AS1969" s="1">
        <f>IF($A1969&lt;&gt;0,1,0)</f>
        <v>0</v>
      </c>
      <c r="AT1969" s="1">
        <f>$A1969*$B1969</f>
        <v>0</v>
      </c>
      <c r="AU1969" s="1">
        <f>$A1969*$O1969</f>
        <v>0</v>
      </c>
      <c r="AV1969" s="1">
        <f>IF($R1969=0,0,INT($A1969/$R1969))</f>
        <v>0</v>
      </c>
      <c r="AW1969" s="1">
        <f>$A1969-$AV1969*$R1969</f>
        <v>0</v>
      </c>
    </row>
    <row r="1970" ht="24.95" customHeight="1" outlineLevel="3" s="1" customFormat="1">
      <c r="A1970" s="25"/>
      <c r="B1970" s="26">
        <v>490</v>
      </c>
      <c r="C1970" s="26">
        <v>760</v>
      </c>
      <c r="D1970" s="26">
        <v>3571</v>
      </c>
      <c r="E1970" s="27"/>
      <c r="F1970" s="27" t="s">
        <v>6522</v>
      </c>
      <c r="G1970" s="27" t="s">
        <v>6523</v>
      </c>
      <c r="H1970" s="27" t="s">
        <v>86</v>
      </c>
      <c r="I1970" s="27"/>
      <c r="J1970" s="26">
        <v>2023</v>
      </c>
      <c r="K1970" s="27" t="s">
        <v>6524</v>
      </c>
      <c r="L1970" s="26">
        <v>9785961463880</v>
      </c>
      <c r="M1970" s="27" t="s">
        <v>6525</v>
      </c>
      <c r="N1970" s="26">
        <v>160</v>
      </c>
      <c r="O1970" s="28">
        <v>0.26</v>
      </c>
      <c r="P1970" s="26">
        <v>141</v>
      </c>
      <c r="Q1970" s="26">
        <v>210</v>
      </c>
      <c r="R1970" s="26">
        <v>20</v>
      </c>
      <c r="S1970" s="27" t="s">
        <v>43</v>
      </c>
      <c r="T1970" s="27"/>
      <c r="U1970" s="29">
        <v>2000</v>
      </c>
      <c r="V1970" s="27" t="s">
        <v>44</v>
      </c>
      <c r="W1970" s="27" t="s">
        <v>184</v>
      </c>
      <c r="X1970" s="26">
        <v>10</v>
      </c>
      <c r="Y1970" s="45" t="str">
        <f>HYPERLINK("https://api-enni.alpina.ru/FilePrivilegesApproval/2","https://api-enni.alpina.ru/FilePrivilegesApproval/2")</f>
        <v>https://api-enni.alpina.ru/FilePrivilegesApproval/2</v>
      </c>
      <c r="Z1970" s="27"/>
      <c r="AS1970" s="1">
        <f>IF($A1970&lt;&gt;0,1,0)</f>
        <v>0</v>
      </c>
      <c r="AT1970" s="1">
        <f>$A1970*$B1970</f>
        <v>0</v>
      </c>
      <c r="AU1970" s="1">
        <f>$A1970*$O1970</f>
        <v>0</v>
      </c>
      <c r="AV1970" s="1">
        <f>IF($R1970=0,0,INT($A1970/$R1970))</f>
        <v>0</v>
      </c>
      <c r="AW1970" s="1">
        <f>$A1970-$AV1970*$R1970</f>
        <v>0</v>
      </c>
    </row>
    <row r="1971" ht="24.95" customHeight="1" outlineLevel="3" s="1" customFormat="1">
      <c r="A1971" s="15"/>
      <c r="B1971" s="16">
        <v>320</v>
      </c>
      <c r="C1971" s="16">
        <v>512</v>
      </c>
      <c r="D1971" s="16">
        <v>6599</v>
      </c>
      <c r="E1971" s="18"/>
      <c r="F1971" s="18" t="s">
        <v>6526</v>
      </c>
      <c r="G1971" s="18" t="s">
        <v>6527</v>
      </c>
      <c r="H1971" s="18" t="s">
        <v>86</v>
      </c>
      <c r="I1971" s="18"/>
      <c r="J1971" s="15"/>
      <c r="K1971" s="18" t="s">
        <v>6528</v>
      </c>
      <c r="L1971" s="16">
        <v>9785961459609</v>
      </c>
      <c r="M1971" s="18" t="s">
        <v>6529</v>
      </c>
      <c r="N1971" s="16">
        <v>224</v>
      </c>
      <c r="O1971" s="19">
        <v>0.27</v>
      </c>
      <c r="P1971" s="16">
        <v>140</v>
      </c>
      <c r="Q1971" s="16">
        <v>200</v>
      </c>
      <c r="R1971" s="16">
        <v>20</v>
      </c>
      <c r="S1971" s="18" t="s">
        <v>43</v>
      </c>
      <c r="T1971" s="18"/>
      <c r="U1971" s="17">
        <v>2000</v>
      </c>
      <c r="V1971" s="18" t="s">
        <v>44</v>
      </c>
      <c r="W1971" s="18" t="s">
        <v>184</v>
      </c>
      <c r="X1971" s="16">
        <v>10</v>
      </c>
      <c r="Y1971" s="43" t="str">
        <f>HYPERLINK("https://api-enni.alpina.ru/FilePrivilegesApproval/2","https://api-enni.alpina.ru/FilePrivilegesApproval/2")</f>
        <v>https://api-enni.alpina.ru/FilePrivilegesApproval/2</v>
      </c>
      <c r="Z1971" s="18"/>
      <c r="AS1971" s="1">
        <f>IF($A1971&lt;&gt;0,1,0)</f>
        <v>0</v>
      </c>
      <c r="AT1971" s="1">
        <f>$A1971*$B1971</f>
        <v>0</v>
      </c>
      <c r="AU1971" s="1">
        <f>$A1971*$O1971</f>
        <v>0</v>
      </c>
      <c r="AV1971" s="1">
        <f>IF($R1971=0,0,INT($A1971/$R1971))</f>
        <v>0</v>
      </c>
      <c r="AW1971" s="1">
        <f>$A1971-$AV1971*$R1971</f>
        <v>0</v>
      </c>
    </row>
    <row r="1972" ht="15" customHeight="1" outlineLevel="1">
      <c r="A1972" s="40" t="s">
        <v>6530</v>
      </c>
      <c r="B1972" s="40"/>
      <c r="C1972" s="40"/>
      <c r="D1972" s="40"/>
      <c r="E1972" s="40"/>
      <c r="F1972" s="40"/>
      <c r="G1972" s="40"/>
      <c r="H1972" s="40"/>
      <c r="I1972" s="40"/>
      <c r="J1972" s="40"/>
      <c r="K1972" s="40"/>
      <c r="L1972" s="40"/>
      <c r="M1972" s="40"/>
      <c r="N1972" s="40"/>
      <c r="O1972" s="40"/>
      <c r="P1972" s="40"/>
      <c r="Q1972" s="40"/>
      <c r="R1972" s="40"/>
      <c r="S1972" s="40"/>
      <c r="T1972" s="40"/>
      <c r="U1972" s="40"/>
      <c r="V1972" s="40"/>
      <c r="W1972" s="40"/>
      <c r="X1972" s="40"/>
      <c r="Y1972" s="40"/>
      <c r="Z1972" s="23"/>
    </row>
    <row r="1973" ht="11.1" customHeight="1" outlineLevel="2">
      <c r="A1973" s="41" t="s">
        <v>6531</v>
      </c>
      <c r="B1973" s="41"/>
      <c r="C1973" s="41"/>
      <c r="D1973" s="41"/>
      <c r="E1973" s="41"/>
      <c r="F1973" s="41"/>
      <c r="G1973" s="41"/>
      <c r="H1973" s="41"/>
      <c r="I1973" s="41"/>
      <c r="J1973" s="41"/>
      <c r="K1973" s="41"/>
      <c r="L1973" s="41"/>
      <c r="M1973" s="41"/>
      <c r="N1973" s="41"/>
      <c r="O1973" s="41"/>
      <c r="P1973" s="41"/>
      <c r="Q1973" s="41"/>
      <c r="R1973" s="41"/>
      <c r="S1973" s="41"/>
      <c r="T1973" s="41"/>
      <c r="U1973" s="41"/>
      <c r="V1973" s="41"/>
      <c r="W1973" s="41"/>
      <c r="X1973" s="41"/>
      <c r="Y1973" s="41"/>
      <c r="Z1973" s="24"/>
    </row>
    <row r="1974" ht="24.95" customHeight="1" outlineLevel="3" s="1" customFormat="1">
      <c r="A1974" s="15"/>
      <c r="B1974" s="16">
        <v>890</v>
      </c>
      <c r="C1974" s="17">
        <v>1246</v>
      </c>
      <c r="D1974" s="16">
        <v>26783</v>
      </c>
      <c r="E1974" s="18"/>
      <c r="F1974" s="18" t="s">
        <v>586</v>
      </c>
      <c r="G1974" s="18" t="s">
        <v>6532</v>
      </c>
      <c r="H1974" s="18" t="s">
        <v>171</v>
      </c>
      <c r="I1974" s="18"/>
      <c r="J1974" s="16">
        <v>2026</v>
      </c>
      <c r="K1974" s="18" t="s">
        <v>6533</v>
      </c>
      <c r="L1974" s="16">
        <v>9785961483055</v>
      </c>
      <c r="M1974" s="18" t="s">
        <v>6534</v>
      </c>
      <c r="N1974" s="16">
        <v>744</v>
      </c>
      <c r="O1974" s="19">
        <v>1.14</v>
      </c>
      <c r="P1974" s="16">
        <v>180</v>
      </c>
      <c r="Q1974" s="16">
        <v>220</v>
      </c>
      <c r="R1974" s="16">
        <v>10</v>
      </c>
      <c r="S1974" s="18" t="s">
        <v>52</v>
      </c>
      <c r="T1974" s="18" t="s">
        <v>509</v>
      </c>
      <c r="U1974" s="17">
        <v>4000</v>
      </c>
      <c r="V1974" s="18" t="s">
        <v>54</v>
      </c>
      <c r="W1974" s="18" t="s">
        <v>69</v>
      </c>
      <c r="X1974" s="16">
        <v>10</v>
      </c>
      <c r="Y1974" s="43" t="str">
        <f>HYPERLINK("https://api-enni.alpina.ru/FilePrivilegesApproval/200","https://api-enni.alpina.ru/FilePrivilegesApproval/200")</f>
        <v>https://api-enni.alpina.ru/FilePrivilegesApproval/200</v>
      </c>
      <c r="Z1974" s="18"/>
      <c r="AS1974" s="1">
        <f>IF($A1974&lt;&gt;0,1,0)</f>
        <v>0</v>
      </c>
      <c r="AT1974" s="1">
        <f>$A1974*$B1974</f>
        <v>0</v>
      </c>
      <c r="AU1974" s="1">
        <f>$A1974*$O1974</f>
        <v>0</v>
      </c>
      <c r="AV1974" s="1">
        <f>IF($R1974=0,0,INT($A1974/$R1974))</f>
        <v>0</v>
      </c>
      <c r="AW1974" s="1">
        <f>$A1974-$AV1974*$R1974</f>
        <v>0</v>
      </c>
    </row>
    <row r="1975" ht="24.95" customHeight="1" outlineLevel="3" s="1" customFormat="1">
      <c r="A1975" s="15"/>
      <c r="B1975" s="16">
        <v>730</v>
      </c>
      <c r="C1975" s="17">
        <v>1058</v>
      </c>
      <c r="D1975" s="16">
        <v>29298</v>
      </c>
      <c r="E1975" s="18"/>
      <c r="F1975" s="18" t="s">
        <v>309</v>
      </c>
      <c r="G1975" s="18" t="s">
        <v>6535</v>
      </c>
      <c r="H1975" s="18" t="s">
        <v>171</v>
      </c>
      <c r="I1975" s="18"/>
      <c r="J1975" s="16">
        <v>2024</v>
      </c>
      <c r="K1975" s="18" t="s">
        <v>6536</v>
      </c>
      <c r="L1975" s="16">
        <v>9785961492132</v>
      </c>
      <c r="M1975" s="18" t="s">
        <v>6537</v>
      </c>
      <c r="N1975" s="16">
        <v>282</v>
      </c>
      <c r="O1975" s="19">
        <v>0.52</v>
      </c>
      <c r="P1975" s="16">
        <v>170</v>
      </c>
      <c r="Q1975" s="16">
        <v>220</v>
      </c>
      <c r="R1975" s="16">
        <v>26</v>
      </c>
      <c r="S1975" s="18" t="s">
        <v>52</v>
      </c>
      <c r="T1975" s="18" t="s">
        <v>509</v>
      </c>
      <c r="U1975" s="17">
        <v>2000</v>
      </c>
      <c r="V1975" s="18" t="s">
        <v>54</v>
      </c>
      <c r="W1975" s="18" t="s">
        <v>91</v>
      </c>
      <c r="X1975" s="16">
        <v>10</v>
      </c>
      <c r="Y1975" s="43" t="str">
        <f>HYPERLINK("https://api-enni.alpina.ru/FilePrivilegesApproval/352","https://api-enni.alpina.ru/FilePrivilegesApproval/352")</f>
        <v>https://api-enni.alpina.ru/FilePrivilegesApproval/352</v>
      </c>
      <c r="Z1975" s="18"/>
      <c r="AS1975" s="1">
        <f>IF($A1975&lt;&gt;0,1,0)</f>
        <v>0</v>
      </c>
      <c r="AT1975" s="1">
        <f>$A1975*$B1975</f>
        <v>0</v>
      </c>
      <c r="AU1975" s="1">
        <f>$A1975*$O1975</f>
        <v>0</v>
      </c>
      <c r="AV1975" s="1">
        <f>IF($R1975=0,0,INT($A1975/$R1975))</f>
        <v>0</v>
      </c>
      <c r="AW1975" s="1">
        <f>$A1975-$AV1975*$R1975</f>
        <v>0</v>
      </c>
    </row>
    <row r="1976" ht="24.95" customHeight="1" outlineLevel="3" s="1" customFormat="1">
      <c r="A1976" s="15"/>
      <c r="B1976" s="16">
        <v>730</v>
      </c>
      <c r="C1976" s="17">
        <v>1058</v>
      </c>
      <c r="D1976" s="16">
        <v>27479</v>
      </c>
      <c r="E1976" s="18"/>
      <c r="F1976" s="18" t="s">
        <v>207</v>
      </c>
      <c r="G1976" s="18" t="s">
        <v>506</v>
      </c>
      <c r="H1976" s="18" t="s">
        <v>171</v>
      </c>
      <c r="I1976" s="18"/>
      <c r="J1976" s="16">
        <v>2026</v>
      </c>
      <c r="K1976" s="18" t="s">
        <v>507</v>
      </c>
      <c r="L1976" s="16">
        <v>9785961485288</v>
      </c>
      <c r="M1976" s="18" t="s">
        <v>508</v>
      </c>
      <c r="N1976" s="16">
        <v>310</v>
      </c>
      <c r="O1976" s="19">
        <v>0.54</v>
      </c>
      <c r="P1976" s="16">
        <v>170</v>
      </c>
      <c r="Q1976" s="16">
        <v>220</v>
      </c>
      <c r="R1976" s="16">
        <v>22</v>
      </c>
      <c r="S1976" s="18" t="s">
        <v>52</v>
      </c>
      <c r="T1976" s="18" t="s">
        <v>509</v>
      </c>
      <c r="U1976" s="17">
        <v>2002</v>
      </c>
      <c r="V1976" s="18" t="s">
        <v>54</v>
      </c>
      <c r="W1976" s="18" t="s">
        <v>91</v>
      </c>
      <c r="X1976" s="16">
        <v>10</v>
      </c>
      <c r="Y1976" s="43" t="str">
        <f>HYPERLINK("https://api-enni.alpina.ru/FilePrivilegesApproval/210","https://api-enni.alpina.ru/FilePrivilegesApproval/210")</f>
        <v>https://api-enni.alpina.ru/FilePrivilegesApproval/210</v>
      </c>
      <c r="Z1976" s="18"/>
      <c r="AS1976" s="1">
        <f>IF($A1976&lt;&gt;0,1,0)</f>
        <v>0</v>
      </c>
      <c r="AT1976" s="1">
        <f>$A1976*$B1976</f>
        <v>0</v>
      </c>
      <c r="AU1976" s="1">
        <f>$A1976*$O1976</f>
        <v>0</v>
      </c>
      <c r="AV1976" s="1">
        <f>IF($R1976=0,0,INT($A1976/$R1976))</f>
        <v>0</v>
      </c>
      <c r="AW1976" s="1">
        <f>$A1976-$AV1976*$R1976</f>
        <v>0</v>
      </c>
    </row>
    <row r="1977" ht="24.95" customHeight="1" outlineLevel="3" s="1" customFormat="1">
      <c r="A1977" s="15"/>
      <c r="B1977" s="16">
        <v>890</v>
      </c>
      <c r="C1977" s="17">
        <v>1246</v>
      </c>
      <c r="D1977" s="16">
        <v>27456</v>
      </c>
      <c r="E1977" s="18"/>
      <c r="F1977" s="18" t="s">
        <v>309</v>
      </c>
      <c r="G1977" s="18" t="s">
        <v>510</v>
      </c>
      <c r="H1977" s="18" t="s">
        <v>171</v>
      </c>
      <c r="I1977" s="18"/>
      <c r="J1977" s="16">
        <v>2026</v>
      </c>
      <c r="K1977" s="18" t="s">
        <v>511</v>
      </c>
      <c r="L1977" s="16">
        <v>9785961485219</v>
      </c>
      <c r="M1977" s="18" t="s">
        <v>512</v>
      </c>
      <c r="N1977" s="16">
        <v>602</v>
      </c>
      <c r="O1977" s="19">
        <v>0.94</v>
      </c>
      <c r="P1977" s="16">
        <v>170</v>
      </c>
      <c r="Q1977" s="16">
        <v>220</v>
      </c>
      <c r="R1977" s="16">
        <v>14</v>
      </c>
      <c r="S1977" s="18" t="s">
        <v>52</v>
      </c>
      <c r="T1977" s="18" t="s">
        <v>509</v>
      </c>
      <c r="U1977" s="17">
        <v>5012</v>
      </c>
      <c r="V1977" s="18" t="s">
        <v>54</v>
      </c>
      <c r="W1977" s="18" t="s">
        <v>69</v>
      </c>
      <c r="X1977" s="16">
        <v>10</v>
      </c>
      <c r="Y1977" s="43" t="str">
        <f>HYPERLINK("https://api-enni.alpina.ru/FilePrivilegesApproval/221","https://api-enni.alpina.ru/FilePrivilegesApproval/221")</f>
        <v>https://api-enni.alpina.ru/FilePrivilegesApproval/221</v>
      </c>
      <c r="Z1977" s="18"/>
      <c r="AS1977" s="1">
        <f>IF($A1977&lt;&gt;0,1,0)</f>
        <v>0</v>
      </c>
      <c r="AT1977" s="1">
        <f>$A1977*$B1977</f>
        <v>0</v>
      </c>
      <c r="AU1977" s="1">
        <f>$A1977*$O1977</f>
        <v>0</v>
      </c>
      <c r="AV1977" s="1">
        <f>IF($R1977=0,0,INT($A1977/$R1977))</f>
        <v>0</v>
      </c>
      <c r="AW1977" s="1">
        <f>$A1977-$AV1977*$R1977</f>
        <v>0</v>
      </c>
    </row>
    <row r="1978" ht="24.95" customHeight="1" outlineLevel="3" s="1" customFormat="1">
      <c r="A1978" s="15"/>
      <c r="B1978" s="16">
        <v>730</v>
      </c>
      <c r="C1978" s="17">
        <v>1058</v>
      </c>
      <c r="D1978" s="16">
        <v>27402</v>
      </c>
      <c r="E1978" s="18"/>
      <c r="F1978" s="18" t="s">
        <v>114</v>
      </c>
      <c r="G1978" s="18" t="s">
        <v>529</v>
      </c>
      <c r="H1978" s="18" t="s">
        <v>171</v>
      </c>
      <c r="I1978" s="18"/>
      <c r="J1978" s="16">
        <v>2026</v>
      </c>
      <c r="K1978" s="18" t="s">
        <v>530</v>
      </c>
      <c r="L1978" s="16">
        <v>9785961484830</v>
      </c>
      <c r="M1978" s="18" t="s">
        <v>531</v>
      </c>
      <c r="N1978" s="16">
        <v>254</v>
      </c>
      <c r="O1978" s="19">
        <v>0.48</v>
      </c>
      <c r="P1978" s="16">
        <v>170</v>
      </c>
      <c r="Q1978" s="16">
        <v>220</v>
      </c>
      <c r="R1978" s="16">
        <v>26</v>
      </c>
      <c r="S1978" s="18" t="s">
        <v>52</v>
      </c>
      <c r="T1978" s="18" t="s">
        <v>509</v>
      </c>
      <c r="U1978" s="17">
        <v>2002</v>
      </c>
      <c r="V1978" s="18" t="s">
        <v>54</v>
      </c>
      <c r="W1978" s="18" t="s">
        <v>91</v>
      </c>
      <c r="X1978" s="16">
        <v>10</v>
      </c>
      <c r="Y1978" s="43" t="str">
        <f>HYPERLINK("https://api-enni.alpina.ru/FilePrivilegesApproval/200","https://api-enni.alpina.ru/FilePrivilegesApproval/200")</f>
        <v>https://api-enni.alpina.ru/FilePrivilegesApproval/200</v>
      </c>
      <c r="Z1978" s="18"/>
      <c r="AS1978" s="1">
        <f>IF($A1978&lt;&gt;0,1,0)</f>
        <v>0</v>
      </c>
      <c r="AT1978" s="1">
        <f>$A1978*$B1978</f>
        <v>0</v>
      </c>
      <c r="AU1978" s="1">
        <f>$A1978*$O1978</f>
        <v>0</v>
      </c>
      <c r="AV1978" s="1">
        <f>IF($R1978=0,0,INT($A1978/$R1978))</f>
        <v>0</v>
      </c>
      <c r="AW1978" s="1">
        <f>$A1978-$AV1978*$R1978</f>
        <v>0</v>
      </c>
    </row>
    <row r="1979" ht="24.95" customHeight="1" outlineLevel="3" s="1" customFormat="1">
      <c r="A1979" s="15"/>
      <c r="B1979" s="17">
        <v>1090</v>
      </c>
      <c r="C1979" s="17">
        <v>1472</v>
      </c>
      <c r="D1979" s="16">
        <v>29205</v>
      </c>
      <c r="E1979" s="18"/>
      <c r="F1979" s="18" t="s">
        <v>309</v>
      </c>
      <c r="G1979" s="18" t="s">
        <v>532</v>
      </c>
      <c r="H1979" s="18" t="s">
        <v>171</v>
      </c>
      <c r="I1979" s="18"/>
      <c r="J1979" s="16">
        <v>2026</v>
      </c>
      <c r="K1979" s="18" t="s">
        <v>533</v>
      </c>
      <c r="L1979" s="16">
        <v>9785961491746</v>
      </c>
      <c r="M1979" s="18" t="s">
        <v>534</v>
      </c>
      <c r="N1979" s="16">
        <v>848</v>
      </c>
      <c r="O1979" s="19">
        <v>1.27</v>
      </c>
      <c r="P1979" s="16">
        <v>180</v>
      </c>
      <c r="Q1979" s="16">
        <v>220</v>
      </c>
      <c r="R1979" s="16">
        <v>10</v>
      </c>
      <c r="S1979" s="18" t="s">
        <v>52</v>
      </c>
      <c r="T1979" s="18" t="s">
        <v>509</v>
      </c>
      <c r="U1979" s="17">
        <v>5000</v>
      </c>
      <c r="V1979" s="18" t="s">
        <v>54</v>
      </c>
      <c r="W1979" s="18" t="s">
        <v>91</v>
      </c>
      <c r="X1979" s="16">
        <v>10</v>
      </c>
      <c r="Y1979" s="43" t="str">
        <f>HYPERLINK("https://api-enni.alpina.ru/FilePrivilegesApproval/352","https://api-enni.alpina.ru/FilePrivilegesApproval/352")</f>
        <v>https://api-enni.alpina.ru/FilePrivilegesApproval/352</v>
      </c>
      <c r="Z1979" s="18"/>
      <c r="AS1979" s="1">
        <f>IF($A1979&lt;&gt;0,1,0)</f>
        <v>0</v>
      </c>
      <c r="AT1979" s="1">
        <f>$A1979*$B1979</f>
        <v>0</v>
      </c>
      <c r="AU1979" s="1">
        <f>$A1979*$O1979</f>
        <v>0</v>
      </c>
      <c r="AV1979" s="1">
        <f>IF($R1979=0,0,INT($A1979/$R1979))</f>
        <v>0</v>
      </c>
      <c r="AW1979" s="1">
        <f>$A1979-$AV1979*$R1979</f>
        <v>0</v>
      </c>
    </row>
    <row r="1980" ht="24.95" customHeight="1" outlineLevel="3" s="1" customFormat="1">
      <c r="A1980" s="15"/>
      <c r="B1980" s="17">
        <v>1690</v>
      </c>
      <c r="C1980" s="17">
        <v>2197</v>
      </c>
      <c r="D1980" s="16">
        <v>27534</v>
      </c>
      <c r="E1980" s="18"/>
      <c r="F1980" s="18" t="s">
        <v>6538</v>
      </c>
      <c r="G1980" s="18" t="s">
        <v>6539</v>
      </c>
      <c r="H1980" s="18" t="s">
        <v>171</v>
      </c>
      <c r="I1980" s="18"/>
      <c r="J1980" s="16">
        <v>2024</v>
      </c>
      <c r="K1980" s="18" t="s">
        <v>6540</v>
      </c>
      <c r="L1980" s="16">
        <v>9785961485530</v>
      </c>
      <c r="M1980" s="18" t="s">
        <v>6541</v>
      </c>
      <c r="N1980" s="17">
        <v>1304</v>
      </c>
      <c r="O1980" s="19">
        <v>2.01</v>
      </c>
      <c r="P1980" s="16">
        <v>170</v>
      </c>
      <c r="Q1980" s="16">
        <v>220</v>
      </c>
      <c r="R1980" s="16">
        <v>6</v>
      </c>
      <c r="S1980" s="18" t="s">
        <v>52</v>
      </c>
      <c r="T1980" s="18" t="s">
        <v>509</v>
      </c>
      <c r="U1980" s="17">
        <v>3000</v>
      </c>
      <c r="V1980" s="18" t="s">
        <v>54</v>
      </c>
      <c r="W1980" s="18" t="s">
        <v>69</v>
      </c>
      <c r="X1980" s="16">
        <v>10</v>
      </c>
      <c r="Y1980" s="43" t="str">
        <f>HYPERLINK("https://api-enni.alpina.ru/FilePrivilegesApproval/221","https://api-enni.alpina.ru/FilePrivilegesApproval/221")</f>
        <v>https://api-enni.alpina.ru/FilePrivilegesApproval/221</v>
      </c>
      <c r="Z1980" s="18"/>
      <c r="AS1980" s="1">
        <f>IF($A1980&lt;&gt;0,1,0)</f>
        <v>0</v>
      </c>
      <c r="AT1980" s="1">
        <f>$A1980*$B1980</f>
        <v>0</v>
      </c>
      <c r="AU1980" s="1">
        <f>$A1980*$O1980</f>
        <v>0</v>
      </c>
      <c r="AV1980" s="1">
        <f>IF($R1980=0,0,INT($A1980/$R1980))</f>
        <v>0</v>
      </c>
      <c r="AW1980" s="1">
        <f>$A1980-$AV1980*$R1980</f>
        <v>0</v>
      </c>
    </row>
    <row r="1981" ht="24.95" customHeight="1" outlineLevel="3" s="1" customFormat="1">
      <c r="A1981" s="15"/>
      <c r="B1981" s="16">
        <v>790</v>
      </c>
      <c r="C1981" s="17">
        <v>1146</v>
      </c>
      <c r="D1981" s="16">
        <v>29464</v>
      </c>
      <c r="E1981" s="18"/>
      <c r="F1981" s="18" t="s">
        <v>6542</v>
      </c>
      <c r="G1981" s="18" t="s">
        <v>6543</v>
      </c>
      <c r="H1981" s="18" t="s">
        <v>171</v>
      </c>
      <c r="I1981" s="18"/>
      <c r="J1981" s="16">
        <v>2024</v>
      </c>
      <c r="K1981" s="18" t="s">
        <v>6544</v>
      </c>
      <c r="L1981" s="16">
        <v>9785961492668</v>
      </c>
      <c r="M1981" s="18" t="s">
        <v>6545</v>
      </c>
      <c r="N1981" s="16">
        <v>488</v>
      </c>
      <c r="O1981" s="19">
        <v>0.77</v>
      </c>
      <c r="P1981" s="16">
        <v>170</v>
      </c>
      <c r="Q1981" s="16">
        <v>220</v>
      </c>
      <c r="R1981" s="16">
        <v>16</v>
      </c>
      <c r="S1981" s="18" t="s">
        <v>52</v>
      </c>
      <c r="T1981" s="18" t="s">
        <v>509</v>
      </c>
      <c r="U1981" s="17">
        <v>2000</v>
      </c>
      <c r="V1981" s="18" t="s">
        <v>54</v>
      </c>
      <c r="W1981" s="18" t="s">
        <v>91</v>
      </c>
      <c r="X1981" s="16">
        <v>10</v>
      </c>
      <c r="Y1981" s="43" t="str">
        <f>HYPERLINK("https://api-enni.alpina.ru/FilePrivilegesApproval/339","https://api-enni.alpina.ru/FilePrivilegesApproval/339")</f>
        <v>https://api-enni.alpina.ru/FilePrivilegesApproval/339</v>
      </c>
      <c r="Z1981" s="18"/>
      <c r="AS1981" s="1">
        <f>IF($A1981&lt;&gt;0,1,0)</f>
        <v>0</v>
      </c>
      <c r="AT1981" s="1">
        <f>$A1981*$B1981</f>
        <v>0</v>
      </c>
      <c r="AU1981" s="1">
        <f>$A1981*$O1981</f>
        <v>0</v>
      </c>
      <c r="AV1981" s="1">
        <f>IF($R1981=0,0,INT($A1981/$R1981))</f>
        <v>0</v>
      </c>
      <c r="AW1981" s="1">
        <f>$A1981-$AV1981*$R1981</f>
        <v>0</v>
      </c>
    </row>
    <row r="1982" ht="24.95" customHeight="1" outlineLevel="3" s="1" customFormat="1">
      <c r="A1982" s="15"/>
      <c r="B1982" s="17">
        <v>1690</v>
      </c>
      <c r="C1982" s="17">
        <v>2197</v>
      </c>
      <c r="D1982" s="16">
        <v>28960</v>
      </c>
      <c r="E1982" s="18"/>
      <c r="F1982" s="18" t="s">
        <v>586</v>
      </c>
      <c r="G1982" s="18" t="s">
        <v>6546</v>
      </c>
      <c r="H1982" s="18" t="s">
        <v>171</v>
      </c>
      <c r="I1982" s="18"/>
      <c r="J1982" s="16">
        <v>2026</v>
      </c>
      <c r="K1982" s="18" t="s">
        <v>6547</v>
      </c>
      <c r="L1982" s="16">
        <v>9785961490855</v>
      </c>
      <c r="M1982" s="18" t="s">
        <v>6548</v>
      </c>
      <c r="N1982" s="17">
        <v>1452</v>
      </c>
      <c r="O1982" s="19">
        <v>2.23</v>
      </c>
      <c r="P1982" s="16">
        <v>170</v>
      </c>
      <c r="Q1982" s="16">
        <v>220</v>
      </c>
      <c r="R1982" s="16">
        <v>6</v>
      </c>
      <c r="S1982" s="18" t="s">
        <v>52</v>
      </c>
      <c r="T1982" s="18" t="s">
        <v>509</v>
      </c>
      <c r="U1982" s="17">
        <v>5004</v>
      </c>
      <c r="V1982" s="18" t="s">
        <v>54</v>
      </c>
      <c r="W1982" s="18" t="s">
        <v>91</v>
      </c>
      <c r="X1982" s="16">
        <v>10</v>
      </c>
      <c r="Y1982" s="43" t="str">
        <f>HYPERLINK("https://api-enni.alpina.ru/FilePrivilegesApproval/313","https://api-enni.alpina.ru/FilePrivilegesApproval/313")</f>
        <v>https://api-enni.alpina.ru/FilePrivilegesApproval/313</v>
      </c>
      <c r="Z1982" s="18"/>
      <c r="AS1982" s="1">
        <f>IF($A1982&lt;&gt;0,1,0)</f>
        <v>0</v>
      </c>
      <c r="AT1982" s="1">
        <f>$A1982*$B1982</f>
        <v>0</v>
      </c>
      <c r="AU1982" s="1">
        <f>$A1982*$O1982</f>
        <v>0</v>
      </c>
      <c r="AV1982" s="1">
        <f>IF($R1982=0,0,INT($A1982/$R1982))</f>
        <v>0</v>
      </c>
      <c r="AW1982" s="1">
        <f>$A1982-$AV1982*$R1982</f>
        <v>0</v>
      </c>
    </row>
    <row r="1983" ht="24.95" customHeight="1" outlineLevel="3" s="1" customFormat="1">
      <c r="A1983" s="15"/>
      <c r="B1983" s="16">
        <v>730</v>
      </c>
      <c r="C1983" s="17">
        <v>1058</v>
      </c>
      <c r="D1983" s="16">
        <v>26770</v>
      </c>
      <c r="E1983" s="18"/>
      <c r="F1983" s="18" t="s">
        <v>6549</v>
      </c>
      <c r="G1983" s="18" t="s">
        <v>6550</v>
      </c>
      <c r="H1983" s="18" t="s">
        <v>171</v>
      </c>
      <c r="I1983" s="18"/>
      <c r="J1983" s="16">
        <v>2025</v>
      </c>
      <c r="K1983" s="18" t="s">
        <v>6551</v>
      </c>
      <c r="L1983" s="16">
        <v>9785961482973</v>
      </c>
      <c r="M1983" s="18" t="s">
        <v>6552</v>
      </c>
      <c r="N1983" s="16">
        <v>188</v>
      </c>
      <c r="O1983" s="19">
        <v>0.39</v>
      </c>
      <c r="P1983" s="16">
        <v>180</v>
      </c>
      <c r="Q1983" s="16">
        <v>220</v>
      </c>
      <c r="R1983" s="16">
        <v>34</v>
      </c>
      <c r="S1983" s="18" t="s">
        <v>52</v>
      </c>
      <c r="T1983" s="18" t="s">
        <v>509</v>
      </c>
      <c r="U1983" s="17">
        <v>2000</v>
      </c>
      <c r="V1983" s="18" t="s">
        <v>54</v>
      </c>
      <c r="W1983" s="18" t="s">
        <v>91</v>
      </c>
      <c r="X1983" s="16">
        <v>10</v>
      </c>
      <c r="Y1983" s="43" t="str">
        <f>HYPERLINK("https://api-enni.alpina.ru/FilePrivilegesApproval/172","https://api-enni.alpina.ru/FilePrivilegesApproval/172")</f>
        <v>https://api-enni.alpina.ru/FilePrivilegesApproval/172</v>
      </c>
      <c r="Z1983" s="18"/>
      <c r="AS1983" s="1">
        <f>IF($A1983&lt;&gt;0,1,0)</f>
        <v>0</v>
      </c>
      <c r="AT1983" s="1">
        <f>$A1983*$B1983</f>
        <v>0</v>
      </c>
      <c r="AU1983" s="1">
        <f>$A1983*$O1983</f>
        <v>0</v>
      </c>
      <c r="AV1983" s="1">
        <f>IF($R1983=0,0,INT($A1983/$R1983))</f>
        <v>0</v>
      </c>
      <c r="AW1983" s="1">
        <f>$A1983-$AV1983*$R1983</f>
        <v>0</v>
      </c>
    </row>
    <row r="1984" ht="24.95" customHeight="1" outlineLevel="3" s="1" customFormat="1">
      <c r="A1984" s="15"/>
      <c r="B1984" s="16">
        <v>790</v>
      </c>
      <c r="C1984" s="17">
        <v>1146</v>
      </c>
      <c r="D1984" s="16">
        <v>29417</v>
      </c>
      <c r="E1984" s="18"/>
      <c r="F1984" s="18" t="s">
        <v>6553</v>
      </c>
      <c r="G1984" s="18" t="s">
        <v>6554</v>
      </c>
      <c r="H1984" s="18" t="s">
        <v>171</v>
      </c>
      <c r="I1984" s="18"/>
      <c r="J1984" s="16">
        <v>2024</v>
      </c>
      <c r="K1984" s="18" t="s">
        <v>6555</v>
      </c>
      <c r="L1984" s="16">
        <v>9785961492514</v>
      </c>
      <c r="M1984" s="18" t="s">
        <v>6556</v>
      </c>
      <c r="N1984" s="16">
        <v>336</v>
      </c>
      <c r="O1984" s="19">
        <v>0.58</v>
      </c>
      <c r="P1984" s="16">
        <v>170</v>
      </c>
      <c r="Q1984" s="16">
        <v>220</v>
      </c>
      <c r="R1984" s="16">
        <v>22</v>
      </c>
      <c r="S1984" s="18" t="s">
        <v>52</v>
      </c>
      <c r="T1984" s="18" t="s">
        <v>509</v>
      </c>
      <c r="U1984" s="17">
        <v>2000</v>
      </c>
      <c r="V1984" s="18" t="s">
        <v>54</v>
      </c>
      <c r="W1984" s="18" t="s">
        <v>91</v>
      </c>
      <c r="X1984" s="16">
        <v>10</v>
      </c>
      <c r="Y1984" s="43" t="str">
        <f>HYPERLINK("https://api-enni.alpina.ru/FilePrivilegesApproval/352","https://api-enni.alpina.ru/FilePrivilegesApproval/352")</f>
        <v>https://api-enni.alpina.ru/FilePrivilegesApproval/352</v>
      </c>
      <c r="Z1984" s="18"/>
      <c r="AS1984" s="1">
        <f>IF($A1984&lt;&gt;0,1,0)</f>
        <v>0</v>
      </c>
      <c r="AT1984" s="1">
        <f>$A1984*$B1984</f>
        <v>0</v>
      </c>
      <c r="AU1984" s="1">
        <f>$A1984*$O1984</f>
        <v>0</v>
      </c>
      <c r="AV1984" s="1">
        <f>IF($R1984=0,0,INT($A1984/$R1984))</f>
        <v>0</v>
      </c>
      <c r="AW1984" s="1">
        <f>$A1984-$AV1984*$R1984</f>
        <v>0</v>
      </c>
    </row>
    <row r="1985" ht="24.95" customHeight="1" outlineLevel="3" s="1" customFormat="1">
      <c r="A1985" s="15"/>
      <c r="B1985" s="16">
        <v>730</v>
      </c>
      <c r="C1985" s="17">
        <v>1058</v>
      </c>
      <c r="D1985" s="16">
        <v>27444</v>
      </c>
      <c r="E1985" s="18"/>
      <c r="F1985" s="18" t="s">
        <v>566</v>
      </c>
      <c r="G1985" s="18" t="s">
        <v>567</v>
      </c>
      <c r="H1985" s="18" t="s">
        <v>171</v>
      </c>
      <c r="I1985" s="18"/>
      <c r="J1985" s="16">
        <v>2026</v>
      </c>
      <c r="K1985" s="18" t="s">
        <v>568</v>
      </c>
      <c r="L1985" s="16">
        <v>9785961485103</v>
      </c>
      <c r="M1985" s="18" t="s">
        <v>569</v>
      </c>
      <c r="N1985" s="16">
        <v>320</v>
      </c>
      <c r="O1985" s="19">
        <v>0.56</v>
      </c>
      <c r="P1985" s="16">
        <v>170</v>
      </c>
      <c r="Q1985" s="16">
        <v>220</v>
      </c>
      <c r="R1985" s="16">
        <v>22</v>
      </c>
      <c r="S1985" s="18" t="s">
        <v>52</v>
      </c>
      <c r="T1985" s="18" t="s">
        <v>509</v>
      </c>
      <c r="U1985" s="17">
        <v>2002</v>
      </c>
      <c r="V1985" s="18" t="s">
        <v>54</v>
      </c>
      <c r="W1985" s="18" t="s">
        <v>91</v>
      </c>
      <c r="X1985" s="16">
        <v>10</v>
      </c>
      <c r="Y1985" s="43" t="str">
        <f>HYPERLINK("https://api-enni.alpina.ru/FilePrivilegesApproval/221","https://api-enni.alpina.ru/FilePrivilegesApproval/221")</f>
        <v>https://api-enni.alpina.ru/FilePrivilegesApproval/221</v>
      </c>
      <c r="Z1985" s="18"/>
      <c r="AS1985" s="1">
        <f>IF($A1985&lt;&gt;0,1,0)</f>
        <v>0</v>
      </c>
      <c r="AT1985" s="1">
        <f>$A1985*$B1985</f>
        <v>0</v>
      </c>
      <c r="AU1985" s="1">
        <f>$A1985*$O1985</f>
        <v>0</v>
      </c>
      <c r="AV1985" s="1">
        <f>IF($R1985=0,0,INT($A1985/$R1985))</f>
        <v>0</v>
      </c>
      <c r="AW1985" s="1">
        <f>$A1985-$AV1985*$R1985</f>
        <v>0</v>
      </c>
    </row>
    <row r="1986" ht="24.95" customHeight="1" outlineLevel="3" s="1" customFormat="1">
      <c r="A1986" s="15"/>
      <c r="B1986" s="17">
        <v>1090</v>
      </c>
      <c r="C1986" s="17">
        <v>1472</v>
      </c>
      <c r="D1986" s="16">
        <v>29271</v>
      </c>
      <c r="E1986" s="18"/>
      <c r="F1986" s="18" t="s">
        <v>6557</v>
      </c>
      <c r="G1986" s="18" t="s">
        <v>6558</v>
      </c>
      <c r="H1986" s="18" t="s">
        <v>171</v>
      </c>
      <c r="I1986" s="18"/>
      <c r="J1986" s="16">
        <v>2024</v>
      </c>
      <c r="K1986" s="18" t="s">
        <v>6559</v>
      </c>
      <c r="L1986" s="16">
        <v>9785961491982</v>
      </c>
      <c r="M1986" s="18" t="s">
        <v>6560</v>
      </c>
      <c r="N1986" s="16">
        <v>672</v>
      </c>
      <c r="O1986" s="19">
        <v>1.04</v>
      </c>
      <c r="P1986" s="16">
        <v>170</v>
      </c>
      <c r="Q1986" s="16">
        <v>220</v>
      </c>
      <c r="R1986" s="16">
        <v>12</v>
      </c>
      <c r="S1986" s="18" t="s">
        <v>52</v>
      </c>
      <c r="T1986" s="18" t="s">
        <v>509</v>
      </c>
      <c r="U1986" s="17">
        <v>2500</v>
      </c>
      <c r="V1986" s="18" t="s">
        <v>54</v>
      </c>
      <c r="W1986" s="18" t="s">
        <v>91</v>
      </c>
      <c r="X1986" s="16">
        <v>10</v>
      </c>
      <c r="Y1986" s="43" t="str">
        <f>HYPERLINK("https://api-enni.alpina.ru/FilePrivilegesApproval/352","https://api-enni.alpina.ru/FilePrivilegesApproval/352")</f>
        <v>https://api-enni.alpina.ru/FilePrivilegesApproval/352</v>
      </c>
      <c r="Z1986" s="18"/>
      <c r="AS1986" s="1">
        <f>IF($A1986&lt;&gt;0,1,0)</f>
        <v>0</v>
      </c>
      <c r="AT1986" s="1">
        <f>$A1986*$B1986</f>
        <v>0</v>
      </c>
      <c r="AU1986" s="1">
        <f>$A1986*$O1986</f>
        <v>0</v>
      </c>
      <c r="AV1986" s="1">
        <f>IF($R1986=0,0,INT($A1986/$R1986))</f>
        <v>0</v>
      </c>
      <c r="AW1986" s="1">
        <f>$A1986-$AV1986*$R1986</f>
        <v>0</v>
      </c>
    </row>
    <row r="1987" ht="24.95" customHeight="1" outlineLevel="3" s="1" customFormat="1">
      <c r="A1987" s="15"/>
      <c r="B1987" s="16">
        <v>790</v>
      </c>
      <c r="C1987" s="17">
        <v>1146</v>
      </c>
      <c r="D1987" s="16">
        <v>27395</v>
      </c>
      <c r="E1987" s="18"/>
      <c r="F1987" s="18" t="s">
        <v>6561</v>
      </c>
      <c r="G1987" s="18" t="s">
        <v>6562</v>
      </c>
      <c r="H1987" s="18" t="s">
        <v>171</v>
      </c>
      <c r="I1987" s="18"/>
      <c r="J1987" s="16">
        <v>2026</v>
      </c>
      <c r="K1987" s="18" t="s">
        <v>6563</v>
      </c>
      <c r="L1987" s="16">
        <v>9785961484793</v>
      </c>
      <c r="M1987" s="18" t="s">
        <v>6564</v>
      </c>
      <c r="N1987" s="16">
        <v>360</v>
      </c>
      <c r="O1987" s="19">
        <v>0.62</v>
      </c>
      <c r="P1987" s="16">
        <v>180</v>
      </c>
      <c r="Q1987" s="16">
        <v>220</v>
      </c>
      <c r="R1987" s="16">
        <v>20</v>
      </c>
      <c r="S1987" s="18" t="s">
        <v>52</v>
      </c>
      <c r="T1987" s="18" t="s">
        <v>509</v>
      </c>
      <c r="U1987" s="17">
        <v>2000</v>
      </c>
      <c r="V1987" s="18" t="s">
        <v>54</v>
      </c>
      <c r="W1987" s="18" t="s">
        <v>91</v>
      </c>
      <c r="X1987" s="16">
        <v>10</v>
      </c>
      <c r="Y1987" s="43" t="str">
        <f>HYPERLINK("https://api-enni.alpina.ru/FilePrivilegesApproval/210","https://api-enni.alpina.ru/FilePrivilegesApproval/210")</f>
        <v>https://api-enni.alpina.ru/FilePrivilegesApproval/210</v>
      </c>
      <c r="Z1987" s="18"/>
      <c r="AS1987" s="1">
        <f>IF($A1987&lt;&gt;0,1,0)</f>
        <v>0</v>
      </c>
      <c r="AT1987" s="1">
        <f>$A1987*$B1987</f>
        <v>0</v>
      </c>
      <c r="AU1987" s="1">
        <f>$A1987*$O1987</f>
        <v>0</v>
      </c>
      <c r="AV1987" s="1">
        <f>IF($R1987=0,0,INT($A1987/$R1987))</f>
        <v>0</v>
      </c>
      <c r="AW1987" s="1">
        <f>$A1987-$AV1987*$R1987</f>
        <v>0</v>
      </c>
    </row>
    <row r="1988" ht="24.95" customHeight="1" outlineLevel="3" s="1" customFormat="1">
      <c r="A1988" s="15"/>
      <c r="B1988" s="16">
        <v>730</v>
      </c>
      <c r="C1988" s="17">
        <v>1058</v>
      </c>
      <c r="D1988" s="16">
        <v>26964</v>
      </c>
      <c r="E1988" s="18"/>
      <c r="F1988" s="18" t="s">
        <v>280</v>
      </c>
      <c r="G1988" s="18" t="s">
        <v>570</v>
      </c>
      <c r="H1988" s="18" t="s">
        <v>171</v>
      </c>
      <c r="I1988" s="18"/>
      <c r="J1988" s="16">
        <v>2026</v>
      </c>
      <c r="K1988" s="18" t="s">
        <v>571</v>
      </c>
      <c r="L1988" s="16">
        <v>9785961483543</v>
      </c>
      <c r="M1988" s="18" t="s">
        <v>572</v>
      </c>
      <c r="N1988" s="16">
        <v>184</v>
      </c>
      <c r="O1988" s="19">
        <v>0.38</v>
      </c>
      <c r="P1988" s="16">
        <v>180</v>
      </c>
      <c r="Q1988" s="16">
        <v>220</v>
      </c>
      <c r="R1988" s="16">
        <v>34</v>
      </c>
      <c r="S1988" s="18" t="s">
        <v>52</v>
      </c>
      <c r="T1988" s="18" t="s">
        <v>509</v>
      </c>
      <c r="U1988" s="17">
        <v>2006</v>
      </c>
      <c r="V1988" s="18" t="s">
        <v>54</v>
      </c>
      <c r="W1988" s="18" t="s">
        <v>91</v>
      </c>
      <c r="X1988" s="16">
        <v>10</v>
      </c>
      <c r="Y1988" s="43" t="str">
        <f>HYPERLINK("https://api-enni.alpina.ru/FilePrivilegesApproval/177","https://api-enni.alpina.ru/FilePrivilegesApproval/177")</f>
        <v>https://api-enni.alpina.ru/FilePrivilegesApproval/177</v>
      </c>
      <c r="Z1988" s="18"/>
      <c r="AS1988" s="1">
        <f>IF($A1988&lt;&gt;0,1,0)</f>
        <v>0</v>
      </c>
      <c r="AT1988" s="1">
        <f>$A1988*$B1988</f>
        <v>0</v>
      </c>
      <c r="AU1988" s="1">
        <f>$A1988*$O1988</f>
        <v>0</v>
      </c>
      <c r="AV1988" s="1">
        <f>IF($R1988=0,0,INT($A1988/$R1988))</f>
        <v>0</v>
      </c>
      <c r="AW1988" s="1">
        <f>$A1988-$AV1988*$R1988</f>
        <v>0</v>
      </c>
    </row>
    <row r="1989" ht="24.95" customHeight="1" outlineLevel="3" s="1" customFormat="1">
      <c r="A1989" s="15"/>
      <c r="B1989" s="16">
        <v>730</v>
      </c>
      <c r="C1989" s="17">
        <v>1058</v>
      </c>
      <c r="D1989" s="16">
        <v>29409</v>
      </c>
      <c r="E1989" s="18"/>
      <c r="F1989" s="18" t="s">
        <v>6549</v>
      </c>
      <c r="G1989" s="18" t="s">
        <v>6565</v>
      </c>
      <c r="H1989" s="18" t="s">
        <v>171</v>
      </c>
      <c r="I1989" s="18"/>
      <c r="J1989" s="16">
        <v>2025</v>
      </c>
      <c r="K1989" s="18" t="s">
        <v>6566</v>
      </c>
      <c r="L1989" s="16">
        <v>9785961492477</v>
      </c>
      <c r="M1989" s="18" t="s">
        <v>6567</v>
      </c>
      <c r="N1989" s="16">
        <v>294</v>
      </c>
      <c r="O1989" s="19">
        <v>0.53</v>
      </c>
      <c r="P1989" s="16">
        <v>170</v>
      </c>
      <c r="Q1989" s="16">
        <v>220</v>
      </c>
      <c r="R1989" s="16">
        <v>24</v>
      </c>
      <c r="S1989" s="18" t="s">
        <v>52</v>
      </c>
      <c r="T1989" s="18" t="s">
        <v>509</v>
      </c>
      <c r="U1989" s="17">
        <v>1500</v>
      </c>
      <c r="V1989" s="18" t="s">
        <v>54</v>
      </c>
      <c r="W1989" s="18" t="s">
        <v>91</v>
      </c>
      <c r="X1989" s="16">
        <v>10</v>
      </c>
      <c r="Y1989" s="43" t="str">
        <f>HYPERLINK("https://api-enni.alpina.ru/FilePrivilegesApproval/336","https://api-enni.alpina.ru/FilePrivilegesApproval/336")</f>
        <v>https://api-enni.alpina.ru/FilePrivilegesApproval/336</v>
      </c>
      <c r="Z1989" s="18"/>
      <c r="AS1989" s="1">
        <f>IF($A1989&lt;&gt;0,1,0)</f>
        <v>0</v>
      </c>
      <c r="AT1989" s="1">
        <f>$A1989*$B1989</f>
        <v>0</v>
      </c>
      <c r="AU1989" s="1">
        <f>$A1989*$O1989</f>
        <v>0</v>
      </c>
      <c r="AV1989" s="1">
        <f>IF($R1989=0,0,INT($A1989/$R1989))</f>
        <v>0</v>
      </c>
      <c r="AW1989" s="1">
        <f>$A1989-$AV1989*$R1989</f>
        <v>0</v>
      </c>
    </row>
    <row r="1990" ht="24.95" customHeight="1" outlineLevel="3" s="1" customFormat="1">
      <c r="A1990" s="15"/>
      <c r="B1990" s="16">
        <v>790</v>
      </c>
      <c r="C1990" s="17">
        <v>1146</v>
      </c>
      <c r="D1990" s="16">
        <v>27023</v>
      </c>
      <c r="E1990" s="18"/>
      <c r="F1990" s="18" t="s">
        <v>586</v>
      </c>
      <c r="G1990" s="18" t="s">
        <v>587</v>
      </c>
      <c r="H1990" s="18" t="s">
        <v>171</v>
      </c>
      <c r="I1990" s="18"/>
      <c r="J1990" s="16">
        <v>2026</v>
      </c>
      <c r="K1990" s="18" t="s">
        <v>588</v>
      </c>
      <c r="L1990" s="16">
        <v>9785961483765</v>
      </c>
      <c r="M1990" s="18" t="s">
        <v>589</v>
      </c>
      <c r="N1990" s="16">
        <v>368</v>
      </c>
      <c r="O1990" s="19">
        <v>0.63</v>
      </c>
      <c r="P1990" s="16">
        <v>180</v>
      </c>
      <c r="Q1990" s="16">
        <v>220</v>
      </c>
      <c r="R1990" s="16">
        <v>20</v>
      </c>
      <c r="S1990" s="18" t="s">
        <v>52</v>
      </c>
      <c r="T1990" s="18" t="s">
        <v>509</v>
      </c>
      <c r="U1990" s="17">
        <v>2000</v>
      </c>
      <c r="V1990" s="18" t="s">
        <v>54</v>
      </c>
      <c r="W1990" s="18" t="s">
        <v>91</v>
      </c>
      <c r="X1990" s="16">
        <v>10</v>
      </c>
      <c r="Y1990" s="43" t="str">
        <f>HYPERLINK("https://api-enni.alpina.ru/FilePrivilegesApproval/184","https://api-enni.alpina.ru/FilePrivilegesApproval/184")</f>
        <v>https://api-enni.alpina.ru/FilePrivilegesApproval/184</v>
      </c>
      <c r="Z1990" s="18"/>
      <c r="AS1990" s="1">
        <f>IF($A1990&lt;&gt;0,1,0)</f>
        <v>0</v>
      </c>
      <c r="AT1990" s="1">
        <f>$A1990*$B1990</f>
        <v>0</v>
      </c>
      <c r="AU1990" s="1">
        <f>$A1990*$O1990</f>
        <v>0</v>
      </c>
      <c r="AV1990" s="1">
        <f>IF($R1990=0,0,INT($A1990/$R1990))</f>
        <v>0</v>
      </c>
      <c r="AW1990" s="1">
        <f>$A1990-$AV1990*$R1990</f>
        <v>0</v>
      </c>
    </row>
    <row r="1991" ht="21.95" customHeight="1" outlineLevel="3" s="1" customFormat="1">
      <c r="A1991" s="15"/>
      <c r="B1991" s="16">
        <v>650</v>
      </c>
      <c r="C1991" s="16">
        <v>975</v>
      </c>
      <c r="D1991" s="16">
        <v>35174</v>
      </c>
      <c r="E1991" s="18"/>
      <c r="F1991" s="18" t="s">
        <v>114</v>
      </c>
      <c r="G1991" s="18" t="s">
        <v>115</v>
      </c>
      <c r="H1991" s="18" t="s">
        <v>49</v>
      </c>
      <c r="I1991" s="18"/>
      <c r="J1991" s="16">
        <v>2026</v>
      </c>
      <c r="K1991" s="18" t="s">
        <v>116</v>
      </c>
      <c r="L1991" s="16">
        <v>9785002830909</v>
      </c>
      <c r="M1991" s="18" t="s">
        <v>117</v>
      </c>
      <c r="N1991" s="16">
        <v>256</v>
      </c>
      <c r="O1991" s="19">
        <v>0.34</v>
      </c>
      <c r="P1991" s="16">
        <v>150</v>
      </c>
      <c r="Q1991" s="16">
        <v>220</v>
      </c>
      <c r="R1991" s="16">
        <v>8</v>
      </c>
      <c r="S1991" s="18" t="s">
        <v>43</v>
      </c>
      <c r="T1991" s="18" t="s">
        <v>118</v>
      </c>
      <c r="U1991" s="17">
        <v>3500</v>
      </c>
      <c r="V1991" s="18" t="s">
        <v>77</v>
      </c>
      <c r="W1991" s="18" t="s">
        <v>91</v>
      </c>
      <c r="X1991" s="16">
        <v>10</v>
      </c>
      <c r="Y1991" s="43" t="str">
        <f>HYPERLINK("","")</f>
      </c>
      <c r="Z1991" s="18" t="s">
        <v>119</v>
      </c>
      <c r="AS1991" s="1">
        <f>IF($A1991&lt;&gt;0,1,0)</f>
        <v>0</v>
      </c>
      <c r="AT1991" s="1">
        <f>$A1991*$B1991</f>
        <v>0</v>
      </c>
      <c r="AU1991" s="1">
        <f>$A1991*$O1991</f>
        <v>0</v>
      </c>
      <c r="AV1991" s="1">
        <f>IF($R1991=0,0,INT($A1991/$R1991))</f>
        <v>0</v>
      </c>
      <c r="AW1991" s="1">
        <f>$A1991-$AV1991*$R1991</f>
        <v>0</v>
      </c>
    </row>
    <row r="1992" ht="21.95" customHeight="1" outlineLevel="3" s="1" customFormat="1">
      <c r="A1992" s="15"/>
      <c r="B1992" s="16">
        <v>550</v>
      </c>
      <c r="C1992" s="16">
        <v>852</v>
      </c>
      <c r="D1992" s="16">
        <v>37384</v>
      </c>
      <c r="E1992" s="18"/>
      <c r="F1992" s="18" t="s">
        <v>114</v>
      </c>
      <c r="G1992" s="18" t="s">
        <v>120</v>
      </c>
      <c r="H1992" s="18" t="s">
        <v>49</v>
      </c>
      <c r="I1992" s="18"/>
      <c r="J1992" s="16">
        <v>2026</v>
      </c>
      <c r="K1992" s="18" t="s">
        <v>121</v>
      </c>
      <c r="L1992" s="16">
        <v>9785002830947</v>
      </c>
      <c r="M1992" s="18" t="s">
        <v>122</v>
      </c>
      <c r="N1992" s="16">
        <v>256</v>
      </c>
      <c r="O1992" s="19">
        <v>0.24</v>
      </c>
      <c r="P1992" s="16">
        <v>140</v>
      </c>
      <c r="Q1992" s="16">
        <v>210</v>
      </c>
      <c r="R1992" s="16">
        <v>8</v>
      </c>
      <c r="S1992" s="18" t="s">
        <v>123</v>
      </c>
      <c r="T1992" s="18" t="s">
        <v>124</v>
      </c>
      <c r="U1992" s="17">
        <v>1500</v>
      </c>
      <c r="V1992" s="18" t="s">
        <v>44</v>
      </c>
      <c r="W1992" s="18" t="s">
        <v>91</v>
      </c>
      <c r="X1992" s="16">
        <v>10</v>
      </c>
      <c r="Y1992" s="43" t="str">
        <f>HYPERLINK("","")</f>
      </c>
      <c r="Z1992" s="18" t="s">
        <v>119</v>
      </c>
      <c r="AS1992" s="1">
        <f>IF($A1992&lt;&gt;0,1,0)</f>
        <v>0</v>
      </c>
      <c r="AT1992" s="1">
        <f>$A1992*$B1992</f>
        <v>0</v>
      </c>
      <c r="AU1992" s="1">
        <f>$A1992*$O1992</f>
        <v>0</v>
      </c>
      <c r="AV1992" s="1">
        <f>IF($R1992=0,0,INT($A1992/$R1992))</f>
        <v>0</v>
      </c>
      <c r="AW1992" s="1">
        <f>$A1992-$AV1992*$R1992</f>
        <v>0</v>
      </c>
    </row>
    <row r="1993" ht="24.95" customHeight="1" outlineLevel="3" s="1" customFormat="1">
      <c r="A1993" s="15"/>
      <c r="B1993" s="16">
        <v>790</v>
      </c>
      <c r="C1993" s="17">
        <v>1146</v>
      </c>
      <c r="D1993" s="16">
        <v>27721</v>
      </c>
      <c r="E1993" s="18"/>
      <c r="F1993" s="18" t="s">
        <v>114</v>
      </c>
      <c r="G1993" s="18" t="s">
        <v>6568</v>
      </c>
      <c r="H1993" s="18" t="s">
        <v>171</v>
      </c>
      <c r="I1993" s="18"/>
      <c r="J1993" s="16">
        <v>2025</v>
      </c>
      <c r="K1993" s="18" t="s">
        <v>6569</v>
      </c>
      <c r="L1993" s="16">
        <v>9785961486100</v>
      </c>
      <c r="M1993" s="18" t="s">
        <v>6570</v>
      </c>
      <c r="N1993" s="16">
        <v>376</v>
      </c>
      <c r="O1993" s="19">
        <v>0.64</v>
      </c>
      <c r="P1993" s="16">
        <v>170</v>
      </c>
      <c r="Q1993" s="16">
        <v>220</v>
      </c>
      <c r="R1993" s="16">
        <v>20</v>
      </c>
      <c r="S1993" s="18" t="s">
        <v>52</v>
      </c>
      <c r="T1993" s="18" t="s">
        <v>509</v>
      </c>
      <c r="U1993" s="17">
        <v>2500</v>
      </c>
      <c r="V1993" s="18" t="s">
        <v>54</v>
      </c>
      <c r="W1993" s="18" t="s">
        <v>91</v>
      </c>
      <c r="X1993" s="16">
        <v>10</v>
      </c>
      <c r="Y1993" s="43" t="str">
        <f>HYPERLINK("https://api-enni.alpina.ru/FilePrivilegesApproval/210","https://api-enni.alpina.ru/FilePrivilegesApproval/210")</f>
        <v>https://api-enni.alpina.ru/FilePrivilegesApproval/210</v>
      </c>
      <c r="Z1993" s="18"/>
      <c r="AS1993" s="1">
        <f>IF($A1993&lt;&gt;0,1,0)</f>
        <v>0</v>
      </c>
      <c r="AT1993" s="1">
        <f>$A1993*$B1993</f>
        <v>0</v>
      </c>
      <c r="AU1993" s="1">
        <f>$A1993*$O1993</f>
        <v>0</v>
      </c>
      <c r="AV1993" s="1">
        <f>IF($R1993=0,0,INT($A1993/$R1993))</f>
        <v>0</v>
      </c>
      <c r="AW1993" s="1">
        <f>$A1993-$AV1993*$R1993</f>
        <v>0</v>
      </c>
    </row>
    <row r="1994" ht="24.95" customHeight="1" outlineLevel="3" s="1" customFormat="1">
      <c r="A1994" s="15"/>
      <c r="B1994" s="16">
        <v>790</v>
      </c>
      <c r="C1994" s="17">
        <v>1146</v>
      </c>
      <c r="D1994" s="16">
        <v>29299</v>
      </c>
      <c r="E1994" s="18"/>
      <c r="F1994" s="18" t="s">
        <v>6571</v>
      </c>
      <c r="G1994" s="18" t="s">
        <v>6572</v>
      </c>
      <c r="H1994" s="18" t="s">
        <v>171</v>
      </c>
      <c r="I1994" s="18"/>
      <c r="J1994" s="16">
        <v>2024</v>
      </c>
      <c r="K1994" s="18" t="s">
        <v>6573</v>
      </c>
      <c r="L1994" s="16">
        <v>9785961492149</v>
      </c>
      <c r="M1994" s="18" t="s">
        <v>6574</v>
      </c>
      <c r="N1994" s="16">
        <v>304</v>
      </c>
      <c r="O1994" s="19">
        <v>0.54</v>
      </c>
      <c r="P1994" s="16">
        <v>170</v>
      </c>
      <c r="Q1994" s="16">
        <v>220</v>
      </c>
      <c r="R1994" s="16">
        <v>24</v>
      </c>
      <c r="S1994" s="18" t="s">
        <v>52</v>
      </c>
      <c r="T1994" s="18" t="s">
        <v>509</v>
      </c>
      <c r="U1994" s="17">
        <v>1500</v>
      </c>
      <c r="V1994" s="18" t="s">
        <v>54</v>
      </c>
      <c r="W1994" s="18" t="s">
        <v>91</v>
      </c>
      <c r="X1994" s="16">
        <v>10</v>
      </c>
      <c r="Y1994" s="43" t="str">
        <f>HYPERLINK("https://api-enni.alpina.ru/FilePrivilegesApproval/352","https://api-enni.alpina.ru/FilePrivilegesApproval/352")</f>
        <v>https://api-enni.alpina.ru/FilePrivilegesApproval/352</v>
      </c>
      <c r="Z1994" s="18"/>
      <c r="AS1994" s="1">
        <f>IF($A1994&lt;&gt;0,1,0)</f>
        <v>0</v>
      </c>
      <c r="AT1994" s="1">
        <f>$A1994*$B1994</f>
        <v>0</v>
      </c>
      <c r="AU1994" s="1">
        <f>$A1994*$O1994</f>
        <v>0</v>
      </c>
      <c r="AV1994" s="1">
        <f>IF($R1994=0,0,INT($A1994/$R1994))</f>
        <v>0</v>
      </c>
      <c r="AW1994" s="1">
        <f>$A1994-$AV1994*$R1994</f>
        <v>0</v>
      </c>
    </row>
    <row r="1995" ht="24.95" customHeight="1" outlineLevel="3" s="1" customFormat="1">
      <c r="A1995" s="15"/>
      <c r="B1995" s="16">
        <v>890</v>
      </c>
      <c r="C1995" s="17">
        <v>1246</v>
      </c>
      <c r="D1995" s="16">
        <v>27531</v>
      </c>
      <c r="E1995" s="18"/>
      <c r="F1995" s="18" t="s">
        <v>6575</v>
      </c>
      <c r="G1995" s="18" t="s">
        <v>6576</v>
      </c>
      <c r="H1995" s="18" t="s">
        <v>171</v>
      </c>
      <c r="I1995" s="18"/>
      <c r="J1995" s="16">
        <v>2025</v>
      </c>
      <c r="K1995" s="18" t="s">
        <v>6577</v>
      </c>
      <c r="L1995" s="16">
        <v>9785961485509</v>
      </c>
      <c r="M1995" s="18" t="s">
        <v>6578</v>
      </c>
      <c r="N1995" s="16">
        <v>492</v>
      </c>
      <c r="O1995" s="19">
        <v>0.81</v>
      </c>
      <c r="P1995" s="16">
        <v>170</v>
      </c>
      <c r="Q1995" s="16">
        <v>220</v>
      </c>
      <c r="R1995" s="16">
        <v>16</v>
      </c>
      <c r="S1995" s="18" t="s">
        <v>52</v>
      </c>
      <c r="T1995" s="18" t="s">
        <v>509</v>
      </c>
      <c r="U1995" s="17">
        <v>1500</v>
      </c>
      <c r="V1995" s="18" t="s">
        <v>54</v>
      </c>
      <c r="W1995" s="18" t="s">
        <v>69</v>
      </c>
      <c r="X1995" s="16">
        <v>10</v>
      </c>
      <c r="Y1995" s="43" t="str">
        <f>HYPERLINK("https://api-enni.alpina.ru/FilePrivilegesApproval/202","https://api-enni.alpina.ru/FilePrivilegesApproval/202")</f>
        <v>https://api-enni.alpina.ru/FilePrivilegesApproval/202</v>
      </c>
      <c r="Z1995" s="18"/>
      <c r="AS1995" s="1">
        <f>IF($A1995&lt;&gt;0,1,0)</f>
        <v>0</v>
      </c>
      <c r="AT1995" s="1">
        <f>$A1995*$B1995</f>
        <v>0</v>
      </c>
      <c r="AU1995" s="1">
        <f>$A1995*$O1995</f>
        <v>0</v>
      </c>
      <c r="AV1995" s="1">
        <f>IF($R1995=0,0,INT($A1995/$R1995))</f>
        <v>0</v>
      </c>
      <c r="AW1995" s="1">
        <f>$A1995-$AV1995*$R1995</f>
        <v>0</v>
      </c>
    </row>
    <row r="1996" ht="24.95" customHeight="1" outlineLevel="3" s="1" customFormat="1">
      <c r="A1996" s="15"/>
      <c r="B1996" s="16">
        <v>760</v>
      </c>
      <c r="C1996" s="17">
        <v>1102</v>
      </c>
      <c r="D1996" s="16">
        <v>30724</v>
      </c>
      <c r="E1996" s="18"/>
      <c r="F1996" s="18" t="s">
        <v>6579</v>
      </c>
      <c r="G1996" s="18" t="s">
        <v>6580</v>
      </c>
      <c r="H1996" s="18" t="s">
        <v>171</v>
      </c>
      <c r="I1996" s="18"/>
      <c r="J1996" s="16">
        <v>2026</v>
      </c>
      <c r="K1996" s="18" t="s">
        <v>6581</v>
      </c>
      <c r="L1996" s="16">
        <v>9785002232819</v>
      </c>
      <c r="M1996" s="18" t="s">
        <v>6582</v>
      </c>
      <c r="N1996" s="16">
        <v>428</v>
      </c>
      <c r="O1996" s="19">
        <v>0.5</v>
      </c>
      <c r="P1996" s="16">
        <v>150</v>
      </c>
      <c r="Q1996" s="16">
        <v>220</v>
      </c>
      <c r="R1996" s="16">
        <v>8</v>
      </c>
      <c r="S1996" s="18" t="s">
        <v>43</v>
      </c>
      <c r="T1996" s="18"/>
      <c r="U1996" s="17">
        <v>1000</v>
      </c>
      <c r="V1996" s="18" t="s">
        <v>77</v>
      </c>
      <c r="W1996" s="18" t="s">
        <v>69</v>
      </c>
      <c r="X1996" s="16">
        <v>10</v>
      </c>
      <c r="Y1996" s="43" t="str">
        <f>HYPERLINK("https://api-enni.alpina.ru/FilePrivilegesApproval/431","https://api-enni.alpina.ru/FilePrivilegesApproval/431")</f>
        <v>https://api-enni.alpina.ru/FilePrivilegesApproval/431</v>
      </c>
      <c r="Z1996" s="18" t="s">
        <v>843</v>
      </c>
      <c r="AS1996" s="1">
        <f>IF($A1996&lt;&gt;0,1,0)</f>
        <v>0</v>
      </c>
      <c r="AT1996" s="1">
        <f>$A1996*$B1996</f>
        <v>0</v>
      </c>
      <c r="AU1996" s="1">
        <f>$A1996*$O1996</f>
        <v>0</v>
      </c>
      <c r="AV1996" s="1">
        <f>IF($R1996=0,0,INT($A1996/$R1996))</f>
        <v>0</v>
      </c>
      <c r="AW1996" s="1">
        <f>$A1996-$AV1996*$R1996</f>
        <v>0</v>
      </c>
    </row>
    <row r="1997" ht="24.95" customHeight="1" outlineLevel="3" s="1" customFormat="1">
      <c r="A1997" s="15"/>
      <c r="B1997" s="16">
        <v>790</v>
      </c>
      <c r="C1997" s="17">
        <v>1146</v>
      </c>
      <c r="D1997" s="16">
        <v>28758</v>
      </c>
      <c r="E1997" s="18"/>
      <c r="F1997" s="18" t="s">
        <v>280</v>
      </c>
      <c r="G1997" s="18" t="s">
        <v>6583</v>
      </c>
      <c r="H1997" s="18" t="s">
        <v>171</v>
      </c>
      <c r="I1997" s="18"/>
      <c r="J1997" s="16">
        <v>2025</v>
      </c>
      <c r="K1997" s="18" t="s">
        <v>6584</v>
      </c>
      <c r="L1997" s="16">
        <v>9785961489972</v>
      </c>
      <c r="M1997" s="18" t="s">
        <v>6585</v>
      </c>
      <c r="N1997" s="16">
        <v>384</v>
      </c>
      <c r="O1997" s="19">
        <v>0.65</v>
      </c>
      <c r="P1997" s="16">
        <v>170</v>
      </c>
      <c r="Q1997" s="16">
        <v>220</v>
      </c>
      <c r="R1997" s="16">
        <v>20</v>
      </c>
      <c r="S1997" s="18" t="s">
        <v>52</v>
      </c>
      <c r="T1997" s="18" t="s">
        <v>509</v>
      </c>
      <c r="U1997" s="17">
        <v>1500</v>
      </c>
      <c r="V1997" s="18" t="s">
        <v>54</v>
      </c>
      <c r="W1997" s="18" t="s">
        <v>91</v>
      </c>
      <c r="X1997" s="16">
        <v>10</v>
      </c>
      <c r="Y1997" s="43" t="str">
        <f>HYPERLINK("https://api-enni.alpina.ru/FilePrivilegesApproval/300","https://api-enni.alpina.ru/FilePrivilegesApproval/300")</f>
        <v>https://api-enni.alpina.ru/FilePrivilegesApproval/300</v>
      </c>
      <c r="Z1997" s="18"/>
      <c r="AS1997" s="1">
        <f>IF($A1997&lt;&gt;0,1,0)</f>
        <v>0</v>
      </c>
      <c r="AT1997" s="1">
        <f>$A1997*$B1997</f>
        <v>0</v>
      </c>
      <c r="AU1997" s="1">
        <f>$A1997*$O1997</f>
        <v>0</v>
      </c>
      <c r="AV1997" s="1">
        <f>IF($R1997=0,0,INT($A1997/$R1997))</f>
        <v>0</v>
      </c>
      <c r="AW1997" s="1">
        <f>$A1997-$AV1997*$R1997</f>
        <v>0</v>
      </c>
    </row>
    <row r="1998" ht="24.95" customHeight="1" outlineLevel="3" s="1" customFormat="1">
      <c r="A1998" s="15"/>
      <c r="B1998" s="16">
        <v>790</v>
      </c>
      <c r="C1998" s="17">
        <v>1146</v>
      </c>
      <c r="D1998" s="16">
        <v>27887</v>
      </c>
      <c r="E1998" s="18"/>
      <c r="F1998" s="18" t="s">
        <v>6561</v>
      </c>
      <c r="G1998" s="18" t="s">
        <v>6586</v>
      </c>
      <c r="H1998" s="18" t="s">
        <v>171</v>
      </c>
      <c r="I1998" s="18"/>
      <c r="J1998" s="16">
        <v>2023</v>
      </c>
      <c r="K1998" s="18" t="s">
        <v>6587</v>
      </c>
      <c r="L1998" s="16">
        <v>9785961486667</v>
      </c>
      <c r="M1998" s="18" t="s">
        <v>6588</v>
      </c>
      <c r="N1998" s="16">
        <v>384</v>
      </c>
      <c r="O1998" s="19">
        <v>0.65</v>
      </c>
      <c r="P1998" s="16">
        <v>170</v>
      </c>
      <c r="Q1998" s="16">
        <v>220</v>
      </c>
      <c r="R1998" s="16">
        <v>20</v>
      </c>
      <c r="S1998" s="18" t="s">
        <v>52</v>
      </c>
      <c r="T1998" s="18" t="s">
        <v>509</v>
      </c>
      <c r="U1998" s="17">
        <v>4000</v>
      </c>
      <c r="V1998" s="18" t="s">
        <v>54</v>
      </c>
      <c r="W1998" s="18" t="s">
        <v>91</v>
      </c>
      <c r="X1998" s="16">
        <v>10</v>
      </c>
      <c r="Y1998" s="43" t="str">
        <f>HYPERLINK("https://api-enni.alpina.ru/FilePrivilegesApproval/221","https://api-enni.alpina.ru/FilePrivilegesApproval/221")</f>
        <v>https://api-enni.alpina.ru/FilePrivilegesApproval/221</v>
      </c>
      <c r="Z1998" s="18"/>
      <c r="AS1998" s="1">
        <f>IF($A1998&lt;&gt;0,1,0)</f>
        <v>0</v>
      </c>
      <c r="AT1998" s="1">
        <f>$A1998*$B1998</f>
        <v>0</v>
      </c>
      <c r="AU1998" s="1">
        <f>$A1998*$O1998</f>
        <v>0</v>
      </c>
      <c r="AV1998" s="1">
        <f>IF($R1998=0,0,INT($A1998/$R1998))</f>
        <v>0</v>
      </c>
      <c r="AW1998" s="1">
        <f>$A1998-$AV1998*$R1998</f>
        <v>0</v>
      </c>
    </row>
    <row r="1999" ht="24.95" customHeight="1" outlineLevel="3" s="1" customFormat="1">
      <c r="A1999" s="15"/>
      <c r="B1999" s="16">
        <v>890</v>
      </c>
      <c r="C1999" s="17">
        <v>1246</v>
      </c>
      <c r="D1999" s="16">
        <v>27478</v>
      </c>
      <c r="E1999" s="18"/>
      <c r="F1999" s="18" t="s">
        <v>309</v>
      </c>
      <c r="G1999" s="18" t="s">
        <v>6589</v>
      </c>
      <c r="H1999" s="18" t="s">
        <v>171</v>
      </c>
      <c r="I1999" s="18"/>
      <c r="J1999" s="16">
        <v>2025</v>
      </c>
      <c r="K1999" s="18" t="s">
        <v>6590</v>
      </c>
      <c r="L1999" s="16">
        <v>9785961485271</v>
      </c>
      <c r="M1999" s="18" t="s">
        <v>6591</v>
      </c>
      <c r="N1999" s="16">
        <v>554</v>
      </c>
      <c r="O1999" s="19">
        <v>0.87</v>
      </c>
      <c r="P1999" s="16">
        <v>170</v>
      </c>
      <c r="Q1999" s="16">
        <v>220</v>
      </c>
      <c r="R1999" s="16">
        <v>1</v>
      </c>
      <c r="S1999" s="18" t="s">
        <v>52</v>
      </c>
      <c r="T1999" s="18" t="s">
        <v>509</v>
      </c>
      <c r="U1999" s="17">
        <v>3000</v>
      </c>
      <c r="V1999" s="18" t="s">
        <v>54</v>
      </c>
      <c r="W1999" s="18" t="s">
        <v>91</v>
      </c>
      <c r="X1999" s="16">
        <v>10</v>
      </c>
      <c r="Y1999" s="43" t="str">
        <f>HYPERLINK("https://api-enni.alpina.ru/FilePrivilegesApproval/221","https://api-enni.alpina.ru/FilePrivilegesApproval/221")</f>
        <v>https://api-enni.alpina.ru/FilePrivilegesApproval/221</v>
      </c>
      <c r="Z1999" s="18"/>
      <c r="AS1999" s="1">
        <f>IF($A1999&lt;&gt;0,1,0)</f>
        <v>0</v>
      </c>
      <c r="AT1999" s="1">
        <f>$A1999*$B1999</f>
        <v>0</v>
      </c>
      <c r="AU1999" s="1">
        <f>$A1999*$O1999</f>
        <v>0</v>
      </c>
      <c r="AV1999" s="1">
        <f>IF($R1999=0,0,INT($A1999/$R1999))</f>
        <v>0</v>
      </c>
      <c r="AW1999" s="1">
        <f>$A1999-$AV1999*$R1999</f>
        <v>0</v>
      </c>
    </row>
    <row r="2000" ht="24.95" customHeight="1" outlineLevel="3" s="1" customFormat="1">
      <c r="A2000" s="25"/>
      <c r="B2000" s="26">
        <v>730</v>
      </c>
      <c r="C2000" s="29">
        <v>1058</v>
      </c>
      <c r="D2000" s="26">
        <v>27443</v>
      </c>
      <c r="E2000" s="27"/>
      <c r="F2000" s="27" t="s">
        <v>566</v>
      </c>
      <c r="G2000" s="27" t="s">
        <v>6592</v>
      </c>
      <c r="H2000" s="27" t="s">
        <v>171</v>
      </c>
      <c r="I2000" s="27"/>
      <c r="J2000" s="26">
        <v>2023</v>
      </c>
      <c r="K2000" s="27" t="s">
        <v>6593</v>
      </c>
      <c r="L2000" s="26">
        <v>9785961485097</v>
      </c>
      <c r="M2000" s="27" t="s">
        <v>6594</v>
      </c>
      <c r="N2000" s="26">
        <v>232</v>
      </c>
      <c r="O2000" s="28">
        <v>0.44</v>
      </c>
      <c r="P2000" s="26">
        <v>170</v>
      </c>
      <c r="Q2000" s="26">
        <v>220</v>
      </c>
      <c r="R2000" s="26">
        <v>30</v>
      </c>
      <c r="S2000" s="27" t="s">
        <v>52</v>
      </c>
      <c r="T2000" s="27" t="s">
        <v>509</v>
      </c>
      <c r="U2000" s="29">
        <v>3000</v>
      </c>
      <c r="V2000" s="27" t="s">
        <v>54</v>
      </c>
      <c r="W2000" s="27" t="s">
        <v>91</v>
      </c>
      <c r="X2000" s="26">
        <v>10</v>
      </c>
      <c r="Y2000" s="45" t="str">
        <f>HYPERLINK("https://api-enni.alpina.ru/FilePrivilegesApproval/221","https://api-enni.alpina.ru/FilePrivilegesApproval/221")</f>
        <v>https://api-enni.alpina.ru/FilePrivilegesApproval/221</v>
      </c>
      <c r="Z2000" s="27"/>
      <c r="AS2000" s="1">
        <f>IF($A2000&lt;&gt;0,1,0)</f>
        <v>0</v>
      </c>
      <c r="AT2000" s="1">
        <f>$A2000*$B2000</f>
        <v>0</v>
      </c>
      <c r="AU2000" s="1">
        <f>$A2000*$O2000</f>
        <v>0</v>
      </c>
      <c r="AV2000" s="1">
        <f>IF($R2000=0,0,INT($A2000/$R2000))</f>
        <v>0</v>
      </c>
      <c r="AW2000" s="1">
        <f>$A2000-$AV2000*$R2000</f>
        <v>0</v>
      </c>
    </row>
    <row r="2001" ht="24.95" customHeight="1" outlineLevel="3" s="1" customFormat="1">
      <c r="A2001" s="15"/>
      <c r="B2001" s="16">
        <v>730</v>
      </c>
      <c r="C2001" s="17">
        <v>1058</v>
      </c>
      <c r="D2001" s="16">
        <v>29269</v>
      </c>
      <c r="E2001" s="18"/>
      <c r="F2001" s="18" t="s">
        <v>6595</v>
      </c>
      <c r="G2001" s="18" t="s">
        <v>6596</v>
      </c>
      <c r="H2001" s="18" t="s">
        <v>171</v>
      </c>
      <c r="I2001" s="18"/>
      <c r="J2001" s="16">
        <v>2024</v>
      </c>
      <c r="K2001" s="18" t="s">
        <v>6597</v>
      </c>
      <c r="L2001" s="16">
        <v>9785961491968</v>
      </c>
      <c r="M2001" s="18" t="s">
        <v>6598</v>
      </c>
      <c r="N2001" s="16">
        <v>200</v>
      </c>
      <c r="O2001" s="19">
        <v>0.4</v>
      </c>
      <c r="P2001" s="16">
        <v>170</v>
      </c>
      <c r="Q2001" s="16">
        <v>220</v>
      </c>
      <c r="R2001" s="16">
        <v>32</v>
      </c>
      <c r="S2001" s="18" t="s">
        <v>52</v>
      </c>
      <c r="T2001" s="18" t="s">
        <v>509</v>
      </c>
      <c r="U2001" s="17">
        <v>1500</v>
      </c>
      <c r="V2001" s="18" t="s">
        <v>54</v>
      </c>
      <c r="W2001" s="18" t="s">
        <v>69</v>
      </c>
      <c r="X2001" s="16">
        <v>10</v>
      </c>
      <c r="Y2001" s="43" t="str">
        <f>HYPERLINK("https://api-enni.alpina.ru/FilePrivilegesApproval/328","https://api-enni.alpina.ru/FilePrivilegesApproval/328")</f>
        <v>https://api-enni.alpina.ru/FilePrivilegesApproval/328</v>
      </c>
      <c r="Z2001" s="18"/>
      <c r="AS2001" s="1">
        <f>IF($A2001&lt;&gt;0,1,0)</f>
        <v>0</v>
      </c>
      <c r="AT2001" s="1">
        <f>$A2001*$B2001</f>
        <v>0</v>
      </c>
      <c r="AU2001" s="1">
        <f>$A2001*$O2001</f>
        <v>0</v>
      </c>
      <c r="AV2001" s="1">
        <f>IF($R2001=0,0,INT($A2001/$R2001))</f>
        <v>0</v>
      </c>
      <c r="AW2001" s="1">
        <f>$A2001-$AV2001*$R2001</f>
        <v>0</v>
      </c>
    </row>
    <row r="2002" ht="24.95" customHeight="1" outlineLevel="3" s="1" customFormat="1">
      <c r="A2002" s="15"/>
      <c r="B2002" s="16">
        <v>730</v>
      </c>
      <c r="C2002" s="17">
        <v>1058</v>
      </c>
      <c r="D2002" s="16">
        <v>26972</v>
      </c>
      <c r="E2002" s="18"/>
      <c r="F2002" s="18" t="s">
        <v>6599</v>
      </c>
      <c r="G2002" s="18" t="s">
        <v>6600</v>
      </c>
      <c r="H2002" s="18" t="s">
        <v>171</v>
      </c>
      <c r="I2002" s="18"/>
      <c r="J2002" s="16">
        <v>2025</v>
      </c>
      <c r="K2002" s="18" t="s">
        <v>6601</v>
      </c>
      <c r="L2002" s="16">
        <v>9785961483598</v>
      </c>
      <c r="M2002" s="18" t="s">
        <v>6602</v>
      </c>
      <c r="N2002" s="16">
        <v>232</v>
      </c>
      <c r="O2002" s="19">
        <v>0.44</v>
      </c>
      <c r="P2002" s="16">
        <v>170</v>
      </c>
      <c r="Q2002" s="16">
        <v>220</v>
      </c>
      <c r="R2002" s="16">
        <v>30</v>
      </c>
      <c r="S2002" s="18" t="s">
        <v>52</v>
      </c>
      <c r="T2002" s="18" t="s">
        <v>509</v>
      </c>
      <c r="U2002" s="17">
        <v>3000</v>
      </c>
      <c r="V2002" s="18" t="s">
        <v>54</v>
      </c>
      <c r="W2002" s="18" t="s">
        <v>69</v>
      </c>
      <c r="X2002" s="16">
        <v>10</v>
      </c>
      <c r="Y2002" s="43" t="str">
        <f>HYPERLINK("https://api-enni.alpina.ru/FilePrivilegesApproval/177","https://api-enni.alpina.ru/FilePrivilegesApproval/177")</f>
        <v>https://api-enni.alpina.ru/FilePrivilegesApproval/177</v>
      </c>
      <c r="Z2002" s="18"/>
      <c r="AS2002" s="1">
        <f>IF($A2002&lt;&gt;0,1,0)</f>
        <v>0</v>
      </c>
      <c r="AT2002" s="1">
        <f>$A2002*$B2002</f>
        <v>0</v>
      </c>
      <c r="AU2002" s="1">
        <f>$A2002*$O2002</f>
        <v>0</v>
      </c>
      <c r="AV2002" s="1">
        <f>IF($R2002=0,0,INT($A2002/$R2002))</f>
        <v>0</v>
      </c>
      <c r="AW2002" s="1">
        <f>$A2002-$AV2002*$R2002</f>
        <v>0</v>
      </c>
    </row>
    <row r="2003" ht="24.95" customHeight="1" outlineLevel="3" s="1" customFormat="1">
      <c r="A2003" s="15"/>
      <c r="B2003" s="16">
        <v>790</v>
      </c>
      <c r="C2003" s="17">
        <v>1146</v>
      </c>
      <c r="D2003" s="16">
        <v>29411</v>
      </c>
      <c r="E2003" s="18"/>
      <c r="F2003" s="18" t="s">
        <v>586</v>
      </c>
      <c r="G2003" s="18" t="s">
        <v>6603</v>
      </c>
      <c r="H2003" s="18" t="s">
        <v>171</v>
      </c>
      <c r="I2003" s="18"/>
      <c r="J2003" s="16">
        <v>2024</v>
      </c>
      <c r="K2003" s="18" t="s">
        <v>6604</v>
      </c>
      <c r="L2003" s="16">
        <v>9785961492491</v>
      </c>
      <c r="M2003" s="18" t="s">
        <v>6605</v>
      </c>
      <c r="N2003" s="16">
        <v>352</v>
      </c>
      <c r="O2003" s="19">
        <v>0.6</v>
      </c>
      <c r="P2003" s="16">
        <v>170</v>
      </c>
      <c r="Q2003" s="16">
        <v>220</v>
      </c>
      <c r="R2003" s="16">
        <v>22</v>
      </c>
      <c r="S2003" s="18" t="s">
        <v>52</v>
      </c>
      <c r="T2003" s="18" t="s">
        <v>509</v>
      </c>
      <c r="U2003" s="17">
        <v>2500</v>
      </c>
      <c r="V2003" s="18" t="s">
        <v>77</v>
      </c>
      <c r="W2003" s="18" t="s">
        <v>69</v>
      </c>
      <c r="X2003" s="16">
        <v>10</v>
      </c>
      <c r="Y2003" s="43" t="str">
        <f>HYPERLINK("https://api-enni.alpina.ru/FilePrivilegesApproval/336","https://api-enni.alpina.ru/FilePrivilegesApproval/336")</f>
        <v>https://api-enni.alpina.ru/FilePrivilegesApproval/336</v>
      </c>
      <c r="Z2003" s="18"/>
      <c r="AS2003" s="1">
        <f>IF($A2003&lt;&gt;0,1,0)</f>
        <v>0</v>
      </c>
      <c r="AT2003" s="1">
        <f>$A2003*$B2003</f>
        <v>0</v>
      </c>
      <c r="AU2003" s="1">
        <f>$A2003*$O2003</f>
        <v>0</v>
      </c>
      <c r="AV2003" s="1">
        <f>IF($R2003=0,0,INT($A2003/$R2003))</f>
        <v>0</v>
      </c>
      <c r="AW2003" s="1">
        <f>$A2003-$AV2003*$R2003</f>
        <v>0</v>
      </c>
    </row>
    <row r="2004" ht="24.95" customHeight="1" outlineLevel="3" s="1" customFormat="1">
      <c r="A2004" s="15"/>
      <c r="B2004" s="16">
        <v>790</v>
      </c>
      <c r="C2004" s="17">
        <v>1146</v>
      </c>
      <c r="D2004" s="16">
        <v>26970</v>
      </c>
      <c r="E2004" s="18"/>
      <c r="F2004" s="18" t="s">
        <v>207</v>
      </c>
      <c r="G2004" s="18" t="s">
        <v>6606</v>
      </c>
      <c r="H2004" s="18" t="s">
        <v>171</v>
      </c>
      <c r="I2004" s="18"/>
      <c r="J2004" s="16">
        <v>2025</v>
      </c>
      <c r="K2004" s="18" t="s">
        <v>6607</v>
      </c>
      <c r="L2004" s="16">
        <v>9785961483581</v>
      </c>
      <c r="M2004" s="18" t="s">
        <v>6608</v>
      </c>
      <c r="N2004" s="16">
        <v>444</v>
      </c>
      <c r="O2004" s="19">
        <v>0.74</v>
      </c>
      <c r="P2004" s="16">
        <v>180</v>
      </c>
      <c r="Q2004" s="16">
        <v>220</v>
      </c>
      <c r="R2004" s="16">
        <v>1</v>
      </c>
      <c r="S2004" s="18" t="s">
        <v>52</v>
      </c>
      <c r="T2004" s="18" t="s">
        <v>509</v>
      </c>
      <c r="U2004" s="17">
        <v>5000</v>
      </c>
      <c r="V2004" s="18" t="s">
        <v>54</v>
      </c>
      <c r="W2004" s="18" t="s">
        <v>91</v>
      </c>
      <c r="X2004" s="16">
        <v>10</v>
      </c>
      <c r="Y2004" s="43" t="str">
        <f>HYPERLINK("https://api-enni.alpina.ru/FilePrivilegesApproval/177","https://api-enni.alpina.ru/FilePrivilegesApproval/177")</f>
        <v>https://api-enni.alpina.ru/FilePrivilegesApproval/177</v>
      </c>
      <c r="Z2004" s="18"/>
      <c r="AS2004" s="1">
        <f>IF($A2004&lt;&gt;0,1,0)</f>
        <v>0</v>
      </c>
      <c r="AT2004" s="1">
        <f>$A2004*$B2004</f>
        <v>0</v>
      </c>
      <c r="AU2004" s="1">
        <f>$A2004*$O2004</f>
        <v>0</v>
      </c>
      <c r="AV2004" s="1">
        <f>IF($R2004=0,0,INT($A2004/$R2004))</f>
        <v>0</v>
      </c>
      <c r="AW2004" s="1">
        <f>$A2004-$AV2004*$R2004</f>
        <v>0</v>
      </c>
    </row>
    <row r="2005" ht="21.95" customHeight="1" outlineLevel="3" s="1" customFormat="1">
      <c r="A2005" s="15"/>
      <c r="B2005" s="16">
        <v>650</v>
      </c>
      <c r="C2005" s="16">
        <v>975</v>
      </c>
      <c r="D2005" s="16">
        <v>35172</v>
      </c>
      <c r="E2005" s="18"/>
      <c r="F2005" s="18" t="s">
        <v>207</v>
      </c>
      <c r="G2005" s="18" t="s">
        <v>208</v>
      </c>
      <c r="H2005" s="18" t="s">
        <v>49</v>
      </c>
      <c r="I2005" s="18"/>
      <c r="J2005" s="16">
        <v>2026</v>
      </c>
      <c r="K2005" s="18" t="s">
        <v>209</v>
      </c>
      <c r="L2005" s="16">
        <v>9785006304383</v>
      </c>
      <c r="M2005" s="18" t="s">
        <v>210</v>
      </c>
      <c r="N2005" s="16">
        <v>528</v>
      </c>
      <c r="O2005" s="19">
        <v>0.59</v>
      </c>
      <c r="P2005" s="16">
        <v>150</v>
      </c>
      <c r="Q2005" s="16">
        <v>220</v>
      </c>
      <c r="R2005" s="16">
        <v>4</v>
      </c>
      <c r="S2005" s="18" t="s">
        <v>43</v>
      </c>
      <c r="T2005" s="18" t="s">
        <v>118</v>
      </c>
      <c r="U2005" s="17">
        <v>1500</v>
      </c>
      <c r="V2005" s="18" t="s">
        <v>77</v>
      </c>
      <c r="W2005" s="18" t="s">
        <v>69</v>
      </c>
      <c r="X2005" s="16">
        <v>10</v>
      </c>
      <c r="Y2005" s="43" t="str">
        <f>HYPERLINK("","")</f>
      </c>
      <c r="Z2005" s="18" t="s">
        <v>211</v>
      </c>
      <c r="AS2005" s="1">
        <f>IF($A2005&lt;&gt;0,1,0)</f>
        <v>0</v>
      </c>
      <c r="AT2005" s="1">
        <f>$A2005*$B2005</f>
        <v>0</v>
      </c>
      <c r="AU2005" s="1">
        <f>$A2005*$O2005</f>
        <v>0</v>
      </c>
      <c r="AV2005" s="1">
        <f>IF($R2005=0,0,INT($A2005/$R2005))</f>
        <v>0</v>
      </c>
      <c r="AW2005" s="1">
        <f>$A2005-$AV2005*$R2005</f>
        <v>0</v>
      </c>
    </row>
    <row r="2006" ht="21.95" customHeight="1" outlineLevel="3" s="1" customFormat="1">
      <c r="A2006" s="15"/>
      <c r="B2006" s="16">
        <v>550</v>
      </c>
      <c r="C2006" s="16">
        <v>852</v>
      </c>
      <c r="D2006" s="16">
        <v>37383</v>
      </c>
      <c r="E2006" s="18"/>
      <c r="F2006" s="18" t="s">
        <v>207</v>
      </c>
      <c r="G2006" s="18" t="s">
        <v>212</v>
      </c>
      <c r="H2006" s="18" t="s">
        <v>49</v>
      </c>
      <c r="I2006" s="18"/>
      <c r="J2006" s="16">
        <v>2026</v>
      </c>
      <c r="K2006" s="18" t="s">
        <v>213</v>
      </c>
      <c r="L2006" s="16">
        <v>9785006304390</v>
      </c>
      <c r="M2006" s="18" t="s">
        <v>214</v>
      </c>
      <c r="N2006" s="16">
        <v>528</v>
      </c>
      <c r="O2006" s="19">
        <v>0.5</v>
      </c>
      <c r="P2006" s="16">
        <v>140</v>
      </c>
      <c r="Q2006" s="16">
        <v>210</v>
      </c>
      <c r="R2006" s="16">
        <v>4</v>
      </c>
      <c r="S2006" s="18" t="s">
        <v>52</v>
      </c>
      <c r="T2006" s="18" t="s">
        <v>124</v>
      </c>
      <c r="U2006" s="17">
        <v>1500</v>
      </c>
      <c r="V2006" s="18" t="s">
        <v>44</v>
      </c>
      <c r="W2006" s="18" t="s">
        <v>69</v>
      </c>
      <c r="X2006" s="16">
        <v>10</v>
      </c>
      <c r="Y2006" s="43" t="str">
        <f>HYPERLINK("","")</f>
      </c>
      <c r="Z2006" s="18" t="s">
        <v>211</v>
      </c>
      <c r="AS2006" s="1">
        <f>IF($A2006&lt;&gt;0,1,0)</f>
        <v>0</v>
      </c>
      <c r="AT2006" s="1">
        <f>$A2006*$B2006</f>
        <v>0</v>
      </c>
      <c r="AU2006" s="1">
        <f>$A2006*$O2006</f>
        <v>0</v>
      </c>
      <c r="AV2006" s="1">
        <f>IF($R2006=0,0,INT($A2006/$R2006))</f>
        <v>0</v>
      </c>
      <c r="AW2006" s="1">
        <f>$A2006-$AV2006*$R2006</f>
        <v>0</v>
      </c>
    </row>
    <row r="2007" ht="24.95" customHeight="1" outlineLevel="3" s="1" customFormat="1">
      <c r="A2007" s="15"/>
      <c r="B2007" s="16">
        <v>730</v>
      </c>
      <c r="C2007" s="17">
        <v>1058</v>
      </c>
      <c r="D2007" s="16">
        <v>29075</v>
      </c>
      <c r="E2007" s="18"/>
      <c r="F2007" s="18" t="s">
        <v>114</v>
      </c>
      <c r="G2007" s="18" t="s">
        <v>6609</v>
      </c>
      <c r="H2007" s="18" t="s">
        <v>171</v>
      </c>
      <c r="I2007" s="18"/>
      <c r="J2007" s="16">
        <v>2025</v>
      </c>
      <c r="K2007" s="18" t="s">
        <v>6610</v>
      </c>
      <c r="L2007" s="16">
        <v>9785961491340</v>
      </c>
      <c r="M2007" s="18" t="s">
        <v>6611</v>
      </c>
      <c r="N2007" s="16">
        <v>307</v>
      </c>
      <c r="O2007" s="19">
        <v>0.56</v>
      </c>
      <c r="P2007" s="16">
        <v>170</v>
      </c>
      <c r="Q2007" s="16">
        <v>220</v>
      </c>
      <c r="R2007" s="16">
        <v>24</v>
      </c>
      <c r="S2007" s="18" t="s">
        <v>52</v>
      </c>
      <c r="T2007" s="18" t="s">
        <v>509</v>
      </c>
      <c r="U2007" s="17">
        <v>2000</v>
      </c>
      <c r="V2007" s="18" t="s">
        <v>54</v>
      </c>
      <c r="W2007" s="18" t="s">
        <v>91</v>
      </c>
      <c r="X2007" s="16">
        <v>10</v>
      </c>
      <c r="Y2007" s="43" t="str">
        <f>HYPERLINK("https://api-enni.alpina.ru/FilePrivilegesApproval/336","https://api-enni.alpina.ru/FilePrivilegesApproval/336")</f>
        <v>https://api-enni.alpina.ru/FilePrivilegesApproval/336</v>
      </c>
      <c r="Z2007" s="18"/>
      <c r="AS2007" s="1">
        <f>IF($A2007&lt;&gt;0,1,0)</f>
        <v>0</v>
      </c>
      <c r="AT2007" s="1">
        <f>$A2007*$B2007</f>
        <v>0</v>
      </c>
      <c r="AU2007" s="1">
        <f>$A2007*$O2007</f>
        <v>0</v>
      </c>
      <c r="AV2007" s="1">
        <f>IF($R2007=0,0,INT($A2007/$R2007))</f>
        <v>0</v>
      </c>
      <c r="AW2007" s="1">
        <f>$A2007-$AV2007*$R2007</f>
        <v>0</v>
      </c>
    </row>
    <row r="2008" ht="24.95" customHeight="1" outlineLevel="3" s="1" customFormat="1">
      <c r="A2008" s="15"/>
      <c r="B2008" s="16">
        <v>730</v>
      </c>
      <c r="C2008" s="17">
        <v>1058</v>
      </c>
      <c r="D2008" s="16">
        <v>27455</v>
      </c>
      <c r="E2008" s="18"/>
      <c r="F2008" s="18" t="s">
        <v>732</v>
      </c>
      <c r="G2008" s="18" t="s">
        <v>733</v>
      </c>
      <c r="H2008" s="18" t="s">
        <v>171</v>
      </c>
      <c r="I2008" s="18"/>
      <c r="J2008" s="16">
        <v>2026</v>
      </c>
      <c r="K2008" s="18" t="s">
        <v>734</v>
      </c>
      <c r="L2008" s="16">
        <v>9785961485202</v>
      </c>
      <c r="M2008" s="18" t="s">
        <v>735</v>
      </c>
      <c r="N2008" s="16">
        <v>302</v>
      </c>
      <c r="O2008" s="19">
        <v>0.54</v>
      </c>
      <c r="P2008" s="16">
        <v>170</v>
      </c>
      <c r="Q2008" s="16">
        <v>220</v>
      </c>
      <c r="R2008" s="16">
        <v>24</v>
      </c>
      <c r="S2008" s="18" t="s">
        <v>52</v>
      </c>
      <c r="T2008" s="18" t="s">
        <v>509</v>
      </c>
      <c r="U2008" s="17">
        <v>2016</v>
      </c>
      <c r="V2008" s="18" t="s">
        <v>54</v>
      </c>
      <c r="W2008" s="18" t="s">
        <v>91</v>
      </c>
      <c r="X2008" s="16">
        <v>10</v>
      </c>
      <c r="Y2008" s="43" t="str">
        <f>HYPERLINK("https://api-enni.alpina.ru/FilePrivilegesApproval/210","https://api-enni.alpina.ru/FilePrivilegesApproval/210")</f>
        <v>https://api-enni.alpina.ru/FilePrivilegesApproval/210</v>
      </c>
      <c r="Z2008" s="18"/>
      <c r="AS2008" s="1">
        <f>IF($A2008&lt;&gt;0,1,0)</f>
        <v>0</v>
      </c>
      <c r="AT2008" s="1">
        <f>$A2008*$B2008</f>
        <v>0</v>
      </c>
      <c r="AU2008" s="1">
        <f>$A2008*$O2008</f>
        <v>0</v>
      </c>
      <c r="AV2008" s="1">
        <f>IF($R2008=0,0,INT($A2008/$R2008))</f>
        <v>0</v>
      </c>
      <c r="AW2008" s="1">
        <f>$A2008-$AV2008*$R2008</f>
        <v>0</v>
      </c>
    </row>
    <row r="2009" ht="24.95" customHeight="1" outlineLevel="3" s="1" customFormat="1">
      <c r="A2009" s="15"/>
      <c r="B2009" s="16">
        <v>790</v>
      </c>
      <c r="C2009" s="17">
        <v>1146</v>
      </c>
      <c r="D2009" s="16">
        <v>26776</v>
      </c>
      <c r="E2009" s="18"/>
      <c r="F2009" s="18" t="s">
        <v>6542</v>
      </c>
      <c r="G2009" s="18" t="s">
        <v>6612</v>
      </c>
      <c r="H2009" s="18" t="s">
        <v>171</v>
      </c>
      <c r="I2009" s="18"/>
      <c r="J2009" s="16">
        <v>2026</v>
      </c>
      <c r="K2009" s="18" t="s">
        <v>6613</v>
      </c>
      <c r="L2009" s="16">
        <v>9785961483017</v>
      </c>
      <c r="M2009" s="18" t="s">
        <v>6614</v>
      </c>
      <c r="N2009" s="16">
        <v>420</v>
      </c>
      <c r="O2009" s="19">
        <v>0.7</v>
      </c>
      <c r="P2009" s="16">
        <v>180</v>
      </c>
      <c r="Q2009" s="16">
        <v>220</v>
      </c>
      <c r="R2009" s="16">
        <v>18</v>
      </c>
      <c r="S2009" s="18" t="s">
        <v>52</v>
      </c>
      <c r="T2009" s="18" t="s">
        <v>509</v>
      </c>
      <c r="U2009" s="17">
        <v>2016</v>
      </c>
      <c r="V2009" s="18" t="s">
        <v>54</v>
      </c>
      <c r="W2009" s="18" t="s">
        <v>91</v>
      </c>
      <c r="X2009" s="16">
        <v>10</v>
      </c>
      <c r="Y2009" s="43" t="str">
        <f>HYPERLINK("https://api-enni.alpina.ru/FilePrivilegesApproval/177","https://api-enni.alpina.ru/FilePrivilegesApproval/177")</f>
        <v>https://api-enni.alpina.ru/FilePrivilegesApproval/177</v>
      </c>
      <c r="Z2009" s="18"/>
      <c r="AS2009" s="1">
        <f>IF($A2009&lt;&gt;0,1,0)</f>
        <v>0</v>
      </c>
      <c r="AT2009" s="1">
        <f>$A2009*$B2009</f>
        <v>0</v>
      </c>
      <c r="AU2009" s="1">
        <f>$A2009*$O2009</f>
        <v>0</v>
      </c>
      <c r="AV2009" s="1">
        <f>IF($R2009=0,0,INT($A2009/$R2009))</f>
        <v>0</v>
      </c>
      <c r="AW2009" s="1">
        <f>$A2009-$AV2009*$R2009</f>
        <v>0</v>
      </c>
    </row>
    <row r="2010" ht="24.95" customHeight="1" outlineLevel="3" s="1" customFormat="1">
      <c r="A2010" s="15"/>
      <c r="B2010" s="16">
        <v>730</v>
      </c>
      <c r="C2010" s="17">
        <v>1058</v>
      </c>
      <c r="D2010" s="16">
        <v>26771</v>
      </c>
      <c r="E2010" s="18"/>
      <c r="F2010" s="18" t="s">
        <v>6615</v>
      </c>
      <c r="G2010" s="18" t="s">
        <v>6616</v>
      </c>
      <c r="H2010" s="18" t="s">
        <v>171</v>
      </c>
      <c r="I2010" s="18"/>
      <c r="J2010" s="16">
        <v>2025</v>
      </c>
      <c r="K2010" s="18" t="s">
        <v>6617</v>
      </c>
      <c r="L2010" s="16">
        <v>9785961482980</v>
      </c>
      <c r="M2010" s="18" t="s">
        <v>6618</v>
      </c>
      <c r="N2010" s="16">
        <v>216</v>
      </c>
      <c r="O2010" s="19">
        <v>0.43</v>
      </c>
      <c r="P2010" s="16">
        <v>180</v>
      </c>
      <c r="Q2010" s="16">
        <v>220</v>
      </c>
      <c r="R2010" s="16">
        <v>30</v>
      </c>
      <c r="S2010" s="18" t="s">
        <v>52</v>
      </c>
      <c r="T2010" s="18" t="s">
        <v>509</v>
      </c>
      <c r="U2010" s="17">
        <v>1500</v>
      </c>
      <c r="V2010" s="18" t="s">
        <v>54</v>
      </c>
      <c r="W2010" s="18" t="s">
        <v>69</v>
      </c>
      <c r="X2010" s="16">
        <v>10</v>
      </c>
      <c r="Y2010" s="43" t="str">
        <f>HYPERLINK("https://api-enni.alpina.ru/FilePrivilegesApproval/177","https://api-enni.alpina.ru/FilePrivilegesApproval/177")</f>
        <v>https://api-enni.alpina.ru/FilePrivilegesApproval/177</v>
      </c>
      <c r="Z2010" s="18"/>
      <c r="AS2010" s="1">
        <f>IF($A2010&lt;&gt;0,1,0)</f>
        <v>0</v>
      </c>
      <c r="AT2010" s="1">
        <f>$A2010*$B2010</f>
        <v>0</v>
      </c>
      <c r="AU2010" s="1">
        <f>$A2010*$O2010</f>
        <v>0</v>
      </c>
      <c r="AV2010" s="1">
        <f>IF($R2010=0,0,INT($A2010/$R2010))</f>
        <v>0</v>
      </c>
      <c r="AW2010" s="1">
        <f>$A2010-$AV2010*$R2010</f>
        <v>0</v>
      </c>
    </row>
    <row r="2011" ht="21.95" customHeight="1" outlineLevel="3" s="1" customFormat="1">
      <c r="A2011" s="15"/>
      <c r="B2011" s="16">
        <v>803</v>
      </c>
      <c r="C2011" s="17">
        <v>1164</v>
      </c>
      <c r="D2011" s="16">
        <v>30672</v>
      </c>
      <c r="E2011" s="18"/>
      <c r="F2011" s="18" t="s">
        <v>6619</v>
      </c>
      <c r="G2011" s="18" t="s">
        <v>6620</v>
      </c>
      <c r="H2011" s="18" t="s">
        <v>171</v>
      </c>
      <c r="I2011" s="18"/>
      <c r="J2011" s="16">
        <v>2026</v>
      </c>
      <c r="K2011" s="18" t="s">
        <v>6621</v>
      </c>
      <c r="L2011" s="16">
        <v>9785002232734</v>
      </c>
      <c r="M2011" s="18" t="s">
        <v>6622</v>
      </c>
      <c r="N2011" s="16">
        <v>476</v>
      </c>
      <c r="O2011" s="19">
        <v>0.54</v>
      </c>
      <c r="P2011" s="16">
        <v>150</v>
      </c>
      <c r="Q2011" s="16">
        <v>220</v>
      </c>
      <c r="R2011" s="16">
        <v>5</v>
      </c>
      <c r="S2011" s="18" t="s">
        <v>43</v>
      </c>
      <c r="T2011" s="18"/>
      <c r="U2011" s="17">
        <v>1000</v>
      </c>
      <c r="V2011" s="18" t="s">
        <v>77</v>
      </c>
      <c r="W2011" s="18" t="s">
        <v>45</v>
      </c>
      <c r="X2011" s="16">
        <v>22</v>
      </c>
      <c r="Y2011" s="43" t="str">
        <f>HYPERLINK("","")</f>
      </c>
      <c r="Z2011" s="18" t="s">
        <v>773</v>
      </c>
      <c r="AS2011" s="1">
        <f>IF($A2011&lt;&gt;0,1,0)</f>
        <v>0</v>
      </c>
      <c r="AT2011" s="1">
        <f>$A2011*$B2011</f>
        <v>0</v>
      </c>
      <c r="AU2011" s="1">
        <f>$A2011*$O2011</f>
        <v>0</v>
      </c>
      <c r="AV2011" s="1">
        <f>IF($R2011=0,0,INT($A2011/$R2011))</f>
        <v>0</v>
      </c>
      <c r="AW2011" s="1">
        <f>$A2011-$AV2011*$R2011</f>
        <v>0</v>
      </c>
    </row>
    <row r="2012" ht="24.95" customHeight="1" outlineLevel="3" s="1" customFormat="1">
      <c r="A2012" s="15"/>
      <c r="B2012" s="16">
        <v>790</v>
      </c>
      <c r="C2012" s="17">
        <v>1146</v>
      </c>
      <c r="D2012" s="16">
        <v>26777</v>
      </c>
      <c r="E2012" s="18"/>
      <c r="F2012" s="18" t="s">
        <v>6623</v>
      </c>
      <c r="G2012" s="18" t="s">
        <v>6624</v>
      </c>
      <c r="H2012" s="18" t="s">
        <v>171</v>
      </c>
      <c r="I2012" s="18"/>
      <c r="J2012" s="16">
        <v>2025</v>
      </c>
      <c r="K2012" s="18" t="s">
        <v>6625</v>
      </c>
      <c r="L2012" s="16">
        <v>9785961483024</v>
      </c>
      <c r="M2012" s="18" t="s">
        <v>6626</v>
      </c>
      <c r="N2012" s="16">
        <v>544</v>
      </c>
      <c r="O2012" s="19">
        <v>0.87</v>
      </c>
      <c r="P2012" s="16">
        <v>180</v>
      </c>
      <c r="Q2012" s="16">
        <v>220</v>
      </c>
      <c r="R2012" s="16">
        <v>14</v>
      </c>
      <c r="S2012" s="18" t="s">
        <v>52</v>
      </c>
      <c r="T2012" s="18" t="s">
        <v>509</v>
      </c>
      <c r="U2012" s="17">
        <v>1500</v>
      </c>
      <c r="V2012" s="18" t="s">
        <v>54</v>
      </c>
      <c r="W2012" s="18" t="s">
        <v>91</v>
      </c>
      <c r="X2012" s="16">
        <v>10</v>
      </c>
      <c r="Y2012" s="43" t="str">
        <f>HYPERLINK("https://api-enni.alpina.ru/FilePrivilegesApproval/177","https://api-enni.alpina.ru/FilePrivilegesApproval/177")</f>
        <v>https://api-enni.alpina.ru/FilePrivilegesApproval/177</v>
      </c>
      <c r="Z2012" s="18"/>
      <c r="AS2012" s="1">
        <f>IF($A2012&lt;&gt;0,1,0)</f>
        <v>0</v>
      </c>
      <c r="AT2012" s="1">
        <f>$A2012*$B2012</f>
        <v>0</v>
      </c>
      <c r="AU2012" s="1">
        <f>$A2012*$O2012</f>
        <v>0</v>
      </c>
      <c r="AV2012" s="1">
        <f>IF($R2012=0,0,INT($A2012/$R2012))</f>
        <v>0</v>
      </c>
      <c r="AW2012" s="1">
        <f>$A2012-$AV2012*$R2012</f>
        <v>0</v>
      </c>
    </row>
    <row r="2013" ht="24.95" customHeight="1" outlineLevel="3" s="1" customFormat="1">
      <c r="A2013" s="15"/>
      <c r="B2013" s="16">
        <v>640</v>
      </c>
      <c r="C2013" s="16">
        <v>960</v>
      </c>
      <c r="D2013" s="16">
        <v>29280</v>
      </c>
      <c r="E2013" s="18"/>
      <c r="F2013" s="18" t="s">
        <v>6571</v>
      </c>
      <c r="G2013" s="18" t="s">
        <v>6627</v>
      </c>
      <c r="H2013" s="18" t="s">
        <v>171</v>
      </c>
      <c r="I2013" s="18"/>
      <c r="J2013" s="16">
        <v>2024</v>
      </c>
      <c r="K2013" s="18" t="s">
        <v>6628</v>
      </c>
      <c r="L2013" s="16">
        <v>9785961492071</v>
      </c>
      <c r="M2013" s="18" t="s">
        <v>6629</v>
      </c>
      <c r="N2013" s="16">
        <v>166</v>
      </c>
      <c r="O2013" s="19">
        <v>0.36</v>
      </c>
      <c r="P2013" s="16">
        <v>170</v>
      </c>
      <c r="Q2013" s="16">
        <v>220</v>
      </c>
      <c r="R2013" s="16">
        <v>36</v>
      </c>
      <c r="S2013" s="18" t="s">
        <v>52</v>
      </c>
      <c r="T2013" s="18" t="s">
        <v>509</v>
      </c>
      <c r="U2013" s="17">
        <v>2000</v>
      </c>
      <c r="V2013" s="18" t="s">
        <v>77</v>
      </c>
      <c r="W2013" s="18" t="s">
        <v>69</v>
      </c>
      <c r="X2013" s="16">
        <v>10</v>
      </c>
      <c r="Y2013" s="43" t="str">
        <f>HYPERLINK("https://api-enni.alpina.ru/FilePrivilegesApproval/328","https://api-enni.alpina.ru/FilePrivilegesApproval/328")</f>
        <v>https://api-enni.alpina.ru/FilePrivilegesApproval/328</v>
      </c>
      <c r="Z2013" s="18"/>
      <c r="AS2013" s="1">
        <f>IF($A2013&lt;&gt;0,1,0)</f>
        <v>0</v>
      </c>
      <c r="AT2013" s="1">
        <f>$A2013*$B2013</f>
        <v>0</v>
      </c>
      <c r="AU2013" s="1">
        <f>$A2013*$O2013</f>
        <v>0</v>
      </c>
      <c r="AV2013" s="1">
        <f>IF($R2013=0,0,INT($A2013/$R2013))</f>
        <v>0</v>
      </c>
      <c r="AW2013" s="1">
        <f>$A2013-$AV2013*$R2013</f>
        <v>0</v>
      </c>
    </row>
    <row r="2014" ht="24.95" customHeight="1" outlineLevel="3" s="1" customFormat="1">
      <c r="A2014" s="15"/>
      <c r="B2014" s="16">
        <v>790</v>
      </c>
      <c r="C2014" s="17">
        <v>1146</v>
      </c>
      <c r="D2014" s="16">
        <v>27445</v>
      </c>
      <c r="E2014" s="18"/>
      <c r="F2014" s="18" t="s">
        <v>6630</v>
      </c>
      <c r="G2014" s="18" t="s">
        <v>6631</v>
      </c>
      <c r="H2014" s="18" t="s">
        <v>171</v>
      </c>
      <c r="I2014" s="18"/>
      <c r="J2014" s="16">
        <v>2024</v>
      </c>
      <c r="K2014" s="18" t="s">
        <v>6632</v>
      </c>
      <c r="L2014" s="16">
        <v>9785961485110</v>
      </c>
      <c r="M2014" s="18" t="s">
        <v>6633</v>
      </c>
      <c r="N2014" s="16">
        <v>448</v>
      </c>
      <c r="O2014" s="19">
        <v>0.73</v>
      </c>
      <c r="P2014" s="16">
        <v>170</v>
      </c>
      <c r="Q2014" s="16">
        <v>220</v>
      </c>
      <c r="R2014" s="16">
        <v>16</v>
      </c>
      <c r="S2014" s="18" t="s">
        <v>52</v>
      </c>
      <c r="T2014" s="18" t="s">
        <v>509</v>
      </c>
      <c r="U2014" s="17">
        <v>3000</v>
      </c>
      <c r="V2014" s="18" t="s">
        <v>54</v>
      </c>
      <c r="W2014" s="18" t="s">
        <v>69</v>
      </c>
      <c r="X2014" s="16">
        <v>10</v>
      </c>
      <c r="Y2014" s="43" t="str">
        <f>HYPERLINK("https://api-enni.alpina.ru/FilePrivilegesApproval/221","https://api-enni.alpina.ru/FilePrivilegesApproval/221")</f>
        <v>https://api-enni.alpina.ru/FilePrivilegesApproval/221</v>
      </c>
      <c r="Z2014" s="18"/>
      <c r="AS2014" s="1">
        <f>IF($A2014&lt;&gt;0,1,0)</f>
        <v>0</v>
      </c>
      <c r="AT2014" s="1">
        <f>$A2014*$B2014</f>
        <v>0</v>
      </c>
      <c r="AU2014" s="1">
        <f>$A2014*$O2014</f>
        <v>0</v>
      </c>
      <c r="AV2014" s="1">
        <f>IF($R2014=0,0,INT($A2014/$R2014))</f>
        <v>0</v>
      </c>
      <c r="AW2014" s="1">
        <f>$A2014-$AV2014*$R2014</f>
        <v>0</v>
      </c>
    </row>
    <row r="2015" ht="24.95" customHeight="1" outlineLevel="3" s="1" customFormat="1">
      <c r="A2015" s="15"/>
      <c r="B2015" s="16">
        <v>730</v>
      </c>
      <c r="C2015" s="17">
        <v>1058</v>
      </c>
      <c r="D2015" s="16">
        <v>27441</v>
      </c>
      <c r="E2015" s="18"/>
      <c r="F2015" s="18" t="s">
        <v>280</v>
      </c>
      <c r="G2015" s="18" t="s">
        <v>6634</v>
      </c>
      <c r="H2015" s="18" t="s">
        <v>171</v>
      </c>
      <c r="I2015" s="18"/>
      <c r="J2015" s="16">
        <v>2025</v>
      </c>
      <c r="K2015" s="18" t="s">
        <v>6635</v>
      </c>
      <c r="L2015" s="16">
        <v>9785961485073</v>
      </c>
      <c r="M2015" s="18" t="s">
        <v>6636</v>
      </c>
      <c r="N2015" s="16">
        <v>224</v>
      </c>
      <c r="O2015" s="19">
        <v>0.44</v>
      </c>
      <c r="P2015" s="16">
        <v>180</v>
      </c>
      <c r="Q2015" s="16">
        <v>220</v>
      </c>
      <c r="R2015" s="16">
        <v>30</v>
      </c>
      <c r="S2015" s="18" t="s">
        <v>52</v>
      </c>
      <c r="T2015" s="18" t="s">
        <v>509</v>
      </c>
      <c r="U2015" s="17">
        <v>1500</v>
      </c>
      <c r="V2015" s="18" t="s">
        <v>54</v>
      </c>
      <c r="W2015" s="18" t="s">
        <v>91</v>
      </c>
      <c r="X2015" s="16">
        <v>10</v>
      </c>
      <c r="Y2015" s="43" t="str">
        <f>HYPERLINK("https://api-enni.alpina.ru/FilePrivilegesApproval/202","https://api-enni.alpina.ru/FilePrivilegesApproval/202")</f>
        <v>https://api-enni.alpina.ru/FilePrivilegesApproval/202</v>
      </c>
      <c r="Z2015" s="18"/>
      <c r="AS2015" s="1">
        <f>IF($A2015&lt;&gt;0,1,0)</f>
        <v>0</v>
      </c>
      <c r="AT2015" s="1">
        <f>$A2015*$B2015</f>
        <v>0</v>
      </c>
      <c r="AU2015" s="1">
        <f>$A2015*$O2015</f>
        <v>0</v>
      </c>
      <c r="AV2015" s="1">
        <f>IF($R2015=0,0,INT($A2015/$R2015))</f>
        <v>0</v>
      </c>
      <c r="AW2015" s="1">
        <f>$A2015-$AV2015*$R2015</f>
        <v>0</v>
      </c>
    </row>
    <row r="2016" ht="21.95" customHeight="1" outlineLevel="3" s="1" customFormat="1">
      <c r="A2016" s="15"/>
      <c r="B2016" s="16">
        <v>650</v>
      </c>
      <c r="C2016" s="16">
        <v>975</v>
      </c>
      <c r="D2016" s="16">
        <v>35175</v>
      </c>
      <c r="E2016" s="18"/>
      <c r="F2016" s="18" t="s">
        <v>280</v>
      </c>
      <c r="G2016" s="18" t="s">
        <v>281</v>
      </c>
      <c r="H2016" s="18" t="s">
        <v>49</v>
      </c>
      <c r="I2016" s="18"/>
      <c r="J2016" s="16">
        <v>2026</v>
      </c>
      <c r="K2016" s="18" t="s">
        <v>282</v>
      </c>
      <c r="L2016" s="16">
        <v>9785002830916</v>
      </c>
      <c r="M2016" s="18" t="s">
        <v>283</v>
      </c>
      <c r="N2016" s="16">
        <v>256</v>
      </c>
      <c r="O2016" s="19">
        <v>0.34</v>
      </c>
      <c r="P2016" s="16">
        <v>150</v>
      </c>
      <c r="Q2016" s="16">
        <v>220</v>
      </c>
      <c r="R2016" s="16">
        <v>8</v>
      </c>
      <c r="S2016" s="18" t="s">
        <v>43</v>
      </c>
      <c r="T2016" s="18" t="s">
        <v>118</v>
      </c>
      <c r="U2016" s="17">
        <v>3500</v>
      </c>
      <c r="V2016" s="18" t="s">
        <v>77</v>
      </c>
      <c r="W2016" s="18" t="s">
        <v>91</v>
      </c>
      <c r="X2016" s="16">
        <v>10</v>
      </c>
      <c r="Y2016" s="43" t="str">
        <f>HYPERLINK("","")</f>
      </c>
      <c r="Z2016" s="18" t="s">
        <v>119</v>
      </c>
      <c r="AS2016" s="1">
        <f>IF($A2016&lt;&gt;0,1,0)</f>
        <v>0</v>
      </c>
      <c r="AT2016" s="1">
        <f>$A2016*$B2016</f>
        <v>0</v>
      </c>
      <c r="AU2016" s="1">
        <f>$A2016*$O2016</f>
        <v>0</v>
      </c>
      <c r="AV2016" s="1">
        <f>IF($R2016=0,0,INT($A2016/$R2016))</f>
        <v>0</v>
      </c>
      <c r="AW2016" s="1">
        <f>$A2016-$AV2016*$R2016</f>
        <v>0</v>
      </c>
    </row>
    <row r="2017" ht="21.95" customHeight="1" outlineLevel="3" s="1" customFormat="1">
      <c r="A2017" s="15"/>
      <c r="B2017" s="16">
        <v>550</v>
      </c>
      <c r="C2017" s="16">
        <v>852</v>
      </c>
      <c r="D2017" s="16">
        <v>37385</v>
      </c>
      <c r="E2017" s="18"/>
      <c r="F2017" s="18" t="s">
        <v>280</v>
      </c>
      <c r="G2017" s="18" t="s">
        <v>284</v>
      </c>
      <c r="H2017" s="18" t="s">
        <v>49</v>
      </c>
      <c r="I2017" s="18"/>
      <c r="J2017" s="16">
        <v>2026</v>
      </c>
      <c r="K2017" s="18" t="s">
        <v>285</v>
      </c>
      <c r="L2017" s="16">
        <v>9785002830954</v>
      </c>
      <c r="M2017" s="18" t="s">
        <v>286</v>
      </c>
      <c r="N2017" s="16">
        <v>256</v>
      </c>
      <c r="O2017" s="19">
        <v>0.25</v>
      </c>
      <c r="P2017" s="16">
        <v>140</v>
      </c>
      <c r="Q2017" s="16">
        <v>210</v>
      </c>
      <c r="R2017" s="16">
        <v>8</v>
      </c>
      <c r="S2017" s="18" t="s">
        <v>52</v>
      </c>
      <c r="T2017" s="18" t="s">
        <v>124</v>
      </c>
      <c r="U2017" s="17">
        <v>1500</v>
      </c>
      <c r="V2017" s="18" t="s">
        <v>44</v>
      </c>
      <c r="W2017" s="18" t="s">
        <v>91</v>
      </c>
      <c r="X2017" s="16">
        <v>10</v>
      </c>
      <c r="Y2017" s="43" t="str">
        <f>HYPERLINK("","")</f>
      </c>
      <c r="Z2017" s="18" t="s">
        <v>119</v>
      </c>
      <c r="AS2017" s="1">
        <f>IF($A2017&lt;&gt;0,1,0)</f>
        <v>0</v>
      </c>
      <c r="AT2017" s="1">
        <f>$A2017*$B2017</f>
        <v>0</v>
      </c>
      <c r="AU2017" s="1">
        <f>$A2017*$O2017</f>
        <v>0</v>
      </c>
      <c r="AV2017" s="1">
        <f>IF($R2017=0,0,INT($A2017/$R2017))</f>
        <v>0</v>
      </c>
      <c r="AW2017" s="1">
        <f>$A2017-$AV2017*$R2017</f>
        <v>0</v>
      </c>
    </row>
    <row r="2018" ht="24.95" customHeight="1" outlineLevel="3" s="1" customFormat="1">
      <c r="A2018" s="15"/>
      <c r="B2018" s="16">
        <v>790</v>
      </c>
      <c r="C2018" s="17">
        <v>1146</v>
      </c>
      <c r="D2018" s="16">
        <v>26992</v>
      </c>
      <c r="E2018" s="18"/>
      <c r="F2018" s="18" t="s">
        <v>6637</v>
      </c>
      <c r="G2018" s="18" t="s">
        <v>6638</v>
      </c>
      <c r="H2018" s="18" t="s">
        <v>171</v>
      </c>
      <c r="I2018" s="18"/>
      <c r="J2018" s="16">
        <v>2025</v>
      </c>
      <c r="K2018" s="18" t="s">
        <v>6639</v>
      </c>
      <c r="L2018" s="16">
        <v>9785961483659</v>
      </c>
      <c r="M2018" s="18" t="s">
        <v>6640</v>
      </c>
      <c r="N2018" s="16">
        <v>492</v>
      </c>
      <c r="O2018" s="19">
        <v>0.8</v>
      </c>
      <c r="P2018" s="16">
        <v>170</v>
      </c>
      <c r="Q2018" s="16">
        <v>220</v>
      </c>
      <c r="R2018" s="16">
        <v>16</v>
      </c>
      <c r="S2018" s="18" t="s">
        <v>52</v>
      </c>
      <c r="T2018" s="18" t="s">
        <v>509</v>
      </c>
      <c r="U2018" s="17">
        <v>1500</v>
      </c>
      <c r="V2018" s="18" t="s">
        <v>54</v>
      </c>
      <c r="W2018" s="18" t="s">
        <v>91</v>
      </c>
      <c r="X2018" s="16">
        <v>10</v>
      </c>
      <c r="Y2018" s="43" t="str">
        <f>HYPERLINK("https://api-enni.alpina.ru/FilePrivilegesApproval/221","https://api-enni.alpina.ru/FilePrivilegesApproval/221")</f>
        <v>https://api-enni.alpina.ru/FilePrivilegesApproval/221</v>
      </c>
      <c r="Z2018" s="18"/>
      <c r="AS2018" s="1">
        <f>IF($A2018&lt;&gt;0,1,0)</f>
        <v>0</v>
      </c>
      <c r="AT2018" s="1">
        <f>$A2018*$B2018</f>
        <v>0</v>
      </c>
      <c r="AU2018" s="1">
        <f>$A2018*$O2018</f>
        <v>0</v>
      </c>
      <c r="AV2018" s="1">
        <f>IF($R2018=0,0,INT($A2018/$R2018))</f>
        <v>0</v>
      </c>
      <c r="AW2018" s="1">
        <f>$A2018-$AV2018*$R2018</f>
        <v>0</v>
      </c>
    </row>
    <row r="2019" ht="24.95" customHeight="1" outlineLevel="3" s="1" customFormat="1">
      <c r="A2019" s="15"/>
      <c r="B2019" s="16">
        <v>730</v>
      </c>
      <c r="C2019" s="17">
        <v>1058</v>
      </c>
      <c r="D2019" s="16">
        <v>28757</v>
      </c>
      <c r="E2019" s="18"/>
      <c r="F2019" s="18" t="s">
        <v>6542</v>
      </c>
      <c r="G2019" s="18" t="s">
        <v>6641</v>
      </c>
      <c r="H2019" s="18" t="s">
        <v>171</v>
      </c>
      <c r="I2019" s="18"/>
      <c r="J2019" s="16">
        <v>2024</v>
      </c>
      <c r="K2019" s="18" t="s">
        <v>6642</v>
      </c>
      <c r="L2019" s="16">
        <v>9785961489965</v>
      </c>
      <c r="M2019" s="18" t="s">
        <v>6643</v>
      </c>
      <c r="N2019" s="16">
        <v>284</v>
      </c>
      <c r="O2019" s="19">
        <v>0.52</v>
      </c>
      <c r="P2019" s="16">
        <v>170</v>
      </c>
      <c r="Q2019" s="16">
        <v>220</v>
      </c>
      <c r="R2019" s="16">
        <v>26</v>
      </c>
      <c r="S2019" s="18" t="s">
        <v>52</v>
      </c>
      <c r="T2019" s="18" t="s">
        <v>509</v>
      </c>
      <c r="U2019" s="17">
        <v>2000</v>
      </c>
      <c r="V2019" s="18" t="s">
        <v>54</v>
      </c>
      <c r="W2019" s="18" t="s">
        <v>91</v>
      </c>
      <c r="X2019" s="16">
        <v>10</v>
      </c>
      <c r="Y2019" s="43" t="str">
        <f>HYPERLINK("https://api-enni.alpina.ru/FilePrivilegesApproval/307","https://api-enni.alpina.ru/FilePrivilegesApproval/307")</f>
        <v>https://api-enni.alpina.ru/FilePrivilegesApproval/307</v>
      </c>
      <c r="Z2019" s="18"/>
      <c r="AS2019" s="1">
        <f>IF($A2019&lt;&gt;0,1,0)</f>
        <v>0</v>
      </c>
      <c r="AT2019" s="1">
        <f>$A2019*$B2019</f>
        <v>0</v>
      </c>
      <c r="AU2019" s="1">
        <f>$A2019*$O2019</f>
        <v>0</v>
      </c>
      <c r="AV2019" s="1">
        <f>IF($R2019=0,0,INT($A2019/$R2019))</f>
        <v>0</v>
      </c>
      <c r="AW2019" s="1">
        <f>$A2019-$AV2019*$R2019</f>
        <v>0</v>
      </c>
    </row>
    <row r="2020" ht="24.95" customHeight="1" outlineLevel="3" s="1" customFormat="1">
      <c r="A2020" s="15"/>
      <c r="B2020" s="16">
        <v>890</v>
      </c>
      <c r="C2020" s="17">
        <v>1246</v>
      </c>
      <c r="D2020" s="16">
        <v>27405</v>
      </c>
      <c r="E2020" s="18"/>
      <c r="F2020" s="18" t="s">
        <v>309</v>
      </c>
      <c r="G2020" s="18" t="s">
        <v>6644</v>
      </c>
      <c r="H2020" s="18" t="s">
        <v>171</v>
      </c>
      <c r="I2020" s="18"/>
      <c r="J2020" s="16">
        <v>2025</v>
      </c>
      <c r="K2020" s="18" t="s">
        <v>6645</v>
      </c>
      <c r="L2020" s="16">
        <v>9785961484854</v>
      </c>
      <c r="M2020" s="18" t="s">
        <v>6646</v>
      </c>
      <c r="N2020" s="16">
        <v>592</v>
      </c>
      <c r="O2020" s="19">
        <v>0.92</v>
      </c>
      <c r="P2020" s="16">
        <v>170</v>
      </c>
      <c r="Q2020" s="16">
        <v>220</v>
      </c>
      <c r="R2020" s="16">
        <v>1</v>
      </c>
      <c r="S2020" s="18" t="s">
        <v>52</v>
      </c>
      <c r="T2020" s="18" t="s">
        <v>509</v>
      </c>
      <c r="U2020" s="17">
        <v>3000</v>
      </c>
      <c r="V2020" s="18" t="s">
        <v>54</v>
      </c>
      <c r="W2020" s="18" t="s">
        <v>69</v>
      </c>
      <c r="X2020" s="16">
        <v>10</v>
      </c>
      <c r="Y2020" s="43" t="str">
        <f>HYPERLINK("https://api-enni.alpina.ru/FilePrivilegesApproval/300","https://api-enni.alpina.ru/FilePrivilegesApproval/300")</f>
        <v>https://api-enni.alpina.ru/FilePrivilegesApproval/300</v>
      </c>
      <c r="Z2020" s="18"/>
      <c r="AS2020" s="1">
        <f>IF($A2020&lt;&gt;0,1,0)</f>
        <v>0</v>
      </c>
      <c r="AT2020" s="1">
        <f>$A2020*$B2020</f>
        <v>0</v>
      </c>
      <c r="AU2020" s="1">
        <f>$A2020*$O2020</f>
        <v>0</v>
      </c>
      <c r="AV2020" s="1">
        <f>IF($R2020=0,0,INT($A2020/$R2020))</f>
        <v>0</v>
      </c>
      <c r="AW2020" s="1">
        <f>$A2020-$AV2020*$R2020</f>
        <v>0</v>
      </c>
    </row>
    <row r="2021" ht="21.95" customHeight="1" outlineLevel="3" s="1" customFormat="1">
      <c r="A2021" s="15"/>
      <c r="B2021" s="16">
        <v>650</v>
      </c>
      <c r="C2021" s="16">
        <v>975</v>
      </c>
      <c r="D2021" s="16">
        <v>35170</v>
      </c>
      <c r="E2021" s="18"/>
      <c r="F2021" s="18" t="s">
        <v>309</v>
      </c>
      <c r="G2021" s="18" t="s">
        <v>310</v>
      </c>
      <c r="H2021" s="18" t="s">
        <v>49</v>
      </c>
      <c r="I2021" s="18"/>
      <c r="J2021" s="16">
        <v>2026</v>
      </c>
      <c r="K2021" s="18" t="s">
        <v>311</v>
      </c>
      <c r="L2021" s="16">
        <v>9785002830886</v>
      </c>
      <c r="M2021" s="18" t="s">
        <v>312</v>
      </c>
      <c r="N2021" s="16">
        <v>704</v>
      </c>
      <c r="O2021" s="19">
        <v>0.75</v>
      </c>
      <c r="P2021" s="16">
        <v>150</v>
      </c>
      <c r="Q2021" s="16">
        <v>220</v>
      </c>
      <c r="R2021" s="16">
        <v>3</v>
      </c>
      <c r="S2021" s="18" t="s">
        <v>43</v>
      </c>
      <c r="T2021" s="18" t="s">
        <v>118</v>
      </c>
      <c r="U2021" s="17">
        <v>3500</v>
      </c>
      <c r="V2021" s="18" t="s">
        <v>77</v>
      </c>
      <c r="W2021" s="18" t="s">
        <v>69</v>
      </c>
      <c r="X2021" s="16">
        <v>10</v>
      </c>
      <c r="Y2021" s="43" t="str">
        <f>HYPERLINK("","")</f>
      </c>
      <c r="Z2021" s="18" t="s">
        <v>119</v>
      </c>
      <c r="AS2021" s="1">
        <f>IF($A2021&lt;&gt;0,1,0)</f>
        <v>0</v>
      </c>
      <c r="AT2021" s="1">
        <f>$A2021*$B2021</f>
        <v>0</v>
      </c>
      <c r="AU2021" s="1">
        <f>$A2021*$O2021</f>
        <v>0</v>
      </c>
      <c r="AV2021" s="1">
        <f>IF($R2021=0,0,INT($A2021/$R2021))</f>
        <v>0</v>
      </c>
      <c r="AW2021" s="1">
        <f>$A2021-$AV2021*$R2021</f>
        <v>0</v>
      </c>
    </row>
    <row r="2022" ht="21.95" customHeight="1" outlineLevel="3" s="1" customFormat="1">
      <c r="A2022" s="15"/>
      <c r="B2022" s="16">
        <v>550</v>
      </c>
      <c r="C2022" s="16">
        <v>852</v>
      </c>
      <c r="D2022" s="16">
        <v>37382</v>
      </c>
      <c r="E2022" s="18"/>
      <c r="F2022" s="18" t="s">
        <v>309</v>
      </c>
      <c r="G2022" s="18" t="s">
        <v>313</v>
      </c>
      <c r="H2022" s="18" t="s">
        <v>49</v>
      </c>
      <c r="I2022" s="18"/>
      <c r="J2022" s="16">
        <v>2026</v>
      </c>
      <c r="K2022" s="18" t="s">
        <v>314</v>
      </c>
      <c r="L2022" s="16">
        <v>9785002830923</v>
      </c>
      <c r="M2022" s="18" t="s">
        <v>315</v>
      </c>
      <c r="N2022" s="16">
        <v>704</v>
      </c>
      <c r="O2022" s="19">
        <v>0.66</v>
      </c>
      <c r="P2022" s="16">
        <v>140</v>
      </c>
      <c r="Q2022" s="16">
        <v>210</v>
      </c>
      <c r="R2022" s="16">
        <v>3</v>
      </c>
      <c r="S2022" s="18" t="s">
        <v>52</v>
      </c>
      <c r="T2022" s="18" t="s">
        <v>124</v>
      </c>
      <c r="U2022" s="17">
        <v>1500</v>
      </c>
      <c r="V2022" s="18" t="s">
        <v>44</v>
      </c>
      <c r="W2022" s="18" t="s">
        <v>69</v>
      </c>
      <c r="X2022" s="16">
        <v>10</v>
      </c>
      <c r="Y2022" s="43" t="str">
        <f>HYPERLINK("","")</f>
      </c>
      <c r="Z2022" s="18" t="s">
        <v>119</v>
      </c>
      <c r="AS2022" s="1">
        <f>IF($A2022&lt;&gt;0,1,0)</f>
        <v>0</v>
      </c>
      <c r="AT2022" s="1">
        <f>$A2022*$B2022</f>
        <v>0</v>
      </c>
      <c r="AU2022" s="1">
        <f>$A2022*$O2022</f>
        <v>0</v>
      </c>
      <c r="AV2022" s="1">
        <f>IF($R2022=0,0,INT($A2022/$R2022))</f>
        <v>0</v>
      </c>
      <c r="AW2022" s="1">
        <f>$A2022-$AV2022*$R2022</f>
        <v>0</v>
      </c>
    </row>
    <row r="2023" ht="24.95" customHeight="1" outlineLevel="3" s="1" customFormat="1">
      <c r="A2023" s="15"/>
      <c r="B2023" s="16">
        <v>730</v>
      </c>
      <c r="C2023" s="17">
        <v>1058</v>
      </c>
      <c r="D2023" s="16">
        <v>27719</v>
      </c>
      <c r="E2023" s="18"/>
      <c r="F2023" s="18" t="s">
        <v>6647</v>
      </c>
      <c r="G2023" s="18" t="s">
        <v>6648</v>
      </c>
      <c r="H2023" s="18" t="s">
        <v>171</v>
      </c>
      <c r="I2023" s="18"/>
      <c r="J2023" s="16">
        <v>2023</v>
      </c>
      <c r="K2023" s="18" t="s">
        <v>6649</v>
      </c>
      <c r="L2023" s="16">
        <v>9785961486094</v>
      </c>
      <c r="M2023" s="18" t="s">
        <v>6650</v>
      </c>
      <c r="N2023" s="16">
        <v>208</v>
      </c>
      <c r="O2023" s="19">
        <v>0.41</v>
      </c>
      <c r="P2023" s="16">
        <v>170</v>
      </c>
      <c r="Q2023" s="16">
        <v>220</v>
      </c>
      <c r="R2023" s="16">
        <v>32</v>
      </c>
      <c r="S2023" s="18" t="s">
        <v>52</v>
      </c>
      <c r="T2023" s="18" t="s">
        <v>509</v>
      </c>
      <c r="U2023" s="17">
        <v>3000</v>
      </c>
      <c r="V2023" s="18" t="s">
        <v>54</v>
      </c>
      <c r="W2023" s="18" t="s">
        <v>91</v>
      </c>
      <c r="X2023" s="16">
        <v>10</v>
      </c>
      <c r="Y2023" s="43" t="str">
        <f>HYPERLINK("https://api-enni.alpina.ru/FilePrivilegesApproval/210","https://api-enni.alpina.ru/FilePrivilegesApproval/210")</f>
        <v>https://api-enni.alpina.ru/FilePrivilegesApproval/210</v>
      </c>
      <c r="Z2023" s="18"/>
      <c r="AS2023" s="1">
        <f>IF($A2023&lt;&gt;0,1,0)</f>
        <v>0</v>
      </c>
      <c r="AT2023" s="1">
        <f>$A2023*$B2023</f>
        <v>0</v>
      </c>
      <c r="AU2023" s="1">
        <f>$A2023*$O2023</f>
        <v>0</v>
      </c>
      <c r="AV2023" s="1">
        <f>IF($R2023=0,0,INT($A2023/$R2023))</f>
        <v>0</v>
      </c>
      <c r="AW2023" s="1">
        <f>$A2023-$AV2023*$R2023</f>
        <v>0</v>
      </c>
    </row>
    <row r="2024" ht="24.95" customHeight="1" outlineLevel="3" s="1" customFormat="1">
      <c r="A2024" s="15"/>
      <c r="B2024" s="16">
        <v>790</v>
      </c>
      <c r="C2024" s="17">
        <v>1146</v>
      </c>
      <c r="D2024" s="16">
        <v>29410</v>
      </c>
      <c r="E2024" s="18"/>
      <c r="F2024" s="18" t="s">
        <v>586</v>
      </c>
      <c r="G2024" s="18" t="s">
        <v>6651</v>
      </c>
      <c r="H2024" s="18" t="s">
        <v>171</v>
      </c>
      <c r="I2024" s="18"/>
      <c r="J2024" s="16">
        <v>2024</v>
      </c>
      <c r="K2024" s="18" t="s">
        <v>6652</v>
      </c>
      <c r="L2024" s="16">
        <v>9785961492484</v>
      </c>
      <c r="M2024" s="18" t="s">
        <v>6653</v>
      </c>
      <c r="N2024" s="16">
        <v>340</v>
      </c>
      <c r="O2024" s="19">
        <v>0.59</v>
      </c>
      <c r="P2024" s="16">
        <v>170</v>
      </c>
      <c r="Q2024" s="16">
        <v>220</v>
      </c>
      <c r="R2024" s="16">
        <v>22</v>
      </c>
      <c r="S2024" s="18" t="s">
        <v>52</v>
      </c>
      <c r="T2024" s="18" t="s">
        <v>509</v>
      </c>
      <c r="U2024" s="17">
        <v>2000</v>
      </c>
      <c r="V2024" s="18" t="s">
        <v>54</v>
      </c>
      <c r="W2024" s="18" t="s">
        <v>91</v>
      </c>
      <c r="X2024" s="16">
        <v>10</v>
      </c>
      <c r="Y2024" s="43" t="str">
        <f>HYPERLINK("https://api-enni.alpina.ru/FilePrivilegesApproval/336","https://api-enni.alpina.ru/FilePrivilegesApproval/336")</f>
        <v>https://api-enni.alpina.ru/FilePrivilegesApproval/336</v>
      </c>
      <c r="Z2024" s="18"/>
      <c r="AS2024" s="1">
        <f>IF($A2024&lt;&gt;0,1,0)</f>
        <v>0</v>
      </c>
      <c r="AT2024" s="1">
        <f>$A2024*$B2024</f>
        <v>0</v>
      </c>
      <c r="AU2024" s="1">
        <f>$A2024*$O2024</f>
        <v>0</v>
      </c>
      <c r="AV2024" s="1">
        <f>IF($R2024=0,0,INT($A2024/$R2024))</f>
        <v>0</v>
      </c>
      <c r="AW2024" s="1">
        <f>$A2024-$AV2024*$R2024</f>
        <v>0</v>
      </c>
    </row>
    <row r="2025" ht="24.95" customHeight="1" outlineLevel="3" s="1" customFormat="1">
      <c r="A2025" s="15"/>
      <c r="B2025" s="16">
        <v>790</v>
      </c>
      <c r="C2025" s="17">
        <v>1146</v>
      </c>
      <c r="D2025" s="16">
        <v>29477</v>
      </c>
      <c r="E2025" s="18"/>
      <c r="F2025" s="18" t="s">
        <v>4430</v>
      </c>
      <c r="G2025" s="18" t="s">
        <v>6654</v>
      </c>
      <c r="H2025" s="18" t="s">
        <v>171</v>
      </c>
      <c r="I2025" s="18"/>
      <c r="J2025" s="16">
        <v>2025</v>
      </c>
      <c r="K2025" s="18" t="s">
        <v>6655</v>
      </c>
      <c r="L2025" s="16">
        <v>9785961492095</v>
      </c>
      <c r="M2025" s="18" t="s">
        <v>6656</v>
      </c>
      <c r="N2025" s="16">
        <v>372</v>
      </c>
      <c r="O2025" s="19">
        <v>0.64</v>
      </c>
      <c r="P2025" s="16">
        <v>170</v>
      </c>
      <c r="Q2025" s="16">
        <v>220</v>
      </c>
      <c r="R2025" s="16">
        <v>20</v>
      </c>
      <c r="S2025" s="18" t="s">
        <v>52</v>
      </c>
      <c r="T2025" s="18" t="s">
        <v>509</v>
      </c>
      <c r="U2025" s="17">
        <v>1500</v>
      </c>
      <c r="V2025" s="18" t="s">
        <v>54</v>
      </c>
      <c r="W2025" s="18" t="s">
        <v>91</v>
      </c>
      <c r="X2025" s="16">
        <v>10</v>
      </c>
      <c r="Y2025" s="43" t="str">
        <f>HYPERLINK("https://api-enni.alpina.ru/FilePrivilegesApproval/339","https://api-enni.alpina.ru/FilePrivilegesApproval/339")</f>
        <v>https://api-enni.alpina.ru/FilePrivilegesApproval/339</v>
      </c>
      <c r="Z2025" s="18"/>
      <c r="AS2025" s="1">
        <f>IF($A2025&lt;&gt;0,1,0)</f>
        <v>0</v>
      </c>
      <c r="AT2025" s="1">
        <f>$A2025*$B2025</f>
        <v>0</v>
      </c>
      <c r="AU2025" s="1">
        <f>$A2025*$O2025</f>
        <v>0</v>
      </c>
      <c r="AV2025" s="1">
        <f>IF($R2025=0,0,INT($A2025/$R2025))</f>
        <v>0</v>
      </c>
      <c r="AW2025" s="1">
        <f>$A2025-$AV2025*$R2025</f>
        <v>0</v>
      </c>
    </row>
    <row r="2026" ht="24.95" customHeight="1" outlineLevel="3" s="1" customFormat="1">
      <c r="A2026" s="25"/>
      <c r="B2026" s="26">
        <v>730</v>
      </c>
      <c r="C2026" s="29">
        <v>1058</v>
      </c>
      <c r="D2026" s="26">
        <v>29270</v>
      </c>
      <c r="E2026" s="27"/>
      <c r="F2026" s="27" t="s">
        <v>6571</v>
      </c>
      <c r="G2026" s="27" t="s">
        <v>6657</v>
      </c>
      <c r="H2026" s="27" t="s">
        <v>171</v>
      </c>
      <c r="I2026" s="27"/>
      <c r="J2026" s="26">
        <v>2024</v>
      </c>
      <c r="K2026" s="27" t="s">
        <v>6658</v>
      </c>
      <c r="L2026" s="26">
        <v>9785961491975</v>
      </c>
      <c r="M2026" s="27" t="s">
        <v>6659</v>
      </c>
      <c r="N2026" s="26">
        <v>280</v>
      </c>
      <c r="O2026" s="28">
        <v>0.51</v>
      </c>
      <c r="P2026" s="26">
        <v>170</v>
      </c>
      <c r="Q2026" s="26">
        <v>220</v>
      </c>
      <c r="R2026" s="26">
        <v>26</v>
      </c>
      <c r="S2026" s="27" t="s">
        <v>52</v>
      </c>
      <c r="T2026" s="27" t="s">
        <v>509</v>
      </c>
      <c r="U2026" s="29">
        <v>1500</v>
      </c>
      <c r="V2026" s="27" t="s">
        <v>54</v>
      </c>
      <c r="W2026" s="27" t="s">
        <v>69</v>
      </c>
      <c r="X2026" s="26">
        <v>10</v>
      </c>
      <c r="Y2026" s="45" t="str">
        <f>HYPERLINK("https://api-enni.alpina.ru/FilePrivilegesApproval/328","https://api-enni.alpina.ru/FilePrivilegesApproval/328")</f>
        <v>https://api-enni.alpina.ru/FilePrivilegesApproval/328</v>
      </c>
      <c r="Z2026" s="27"/>
      <c r="AS2026" s="1">
        <f>IF($A2026&lt;&gt;0,1,0)</f>
        <v>0</v>
      </c>
      <c r="AT2026" s="1">
        <f>$A2026*$B2026</f>
        <v>0</v>
      </c>
      <c r="AU2026" s="1">
        <f>$A2026*$O2026</f>
        <v>0</v>
      </c>
      <c r="AV2026" s="1">
        <f>IF($R2026=0,0,INT($A2026/$R2026))</f>
        <v>0</v>
      </c>
      <c r="AW2026" s="1">
        <f>$A2026-$AV2026*$R2026</f>
        <v>0</v>
      </c>
    </row>
    <row r="2027" ht="24.95" customHeight="1" outlineLevel="3" s="1" customFormat="1">
      <c r="A2027" s="15"/>
      <c r="B2027" s="16">
        <v>730</v>
      </c>
      <c r="C2027" s="17">
        <v>1058</v>
      </c>
      <c r="D2027" s="16">
        <v>27442</v>
      </c>
      <c r="E2027" s="18"/>
      <c r="F2027" s="18" t="s">
        <v>6557</v>
      </c>
      <c r="G2027" s="18" t="s">
        <v>6660</v>
      </c>
      <c r="H2027" s="18" t="s">
        <v>171</v>
      </c>
      <c r="I2027" s="18"/>
      <c r="J2027" s="16">
        <v>2025</v>
      </c>
      <c r="K2027" s="18" t="s">
        <v>6661</v>
      </c>
      <c r="L2027" s="16">
        <v>9785961485080</v>
      </c>
      <c r="M2027" s="18" t="s">
        <v>6662</v>
      </c>
      <c r="N2027" s="16">
        <v>248</v>
      </c>
      <c r="O2027" s="19">
        <v>0.47</v>
      </c>
      <c r="P2027" s="16">
        <v>170</v>
      </c>
      <c r="Q2027" s="16">
        <v>220</v>
      </c>
      <c r="R2027" s="16">
        <v>1</v>
      </c>
      <c r="S2027" s="18" t="s">
        <v>52</v>
      </c>
      <c r="T2027" s="18" t="s">
        <v>509</v>
      </c>
      <c r="U2027" s="17">
        <v>3000</v>
      </c>
      <c r="V2027" s="18" t="s">
        <v>54</v>
      </c>
      <c r="W2027" s="18" t="s">
        <v>69</v>
      </c>
      <c r="X2027" s="16">
        <v>10</v>
      </c>
      <c r="Y2027" s="43" t="str">
        <f>HYPERLINK("https://api-enni.alpina.ru/FilePrivilegesApproval/231","https://api-enni.alpina.ru/FilePrivilegesApproval/231")</f>
        <v>https://api-enni.alpina.ru/FilePrivilegesApproval/231</v>
      </c>
      <c r="Z2027" s="18"/>
      <c r="AS2027" s="1">
        <f>IF($A2027&lt;&gt;0,1,0)</f>
        <v>0</v>
      </c>
      <c r="AT2027" s="1">
        <f>$A2027*$B2027</f>
        <v>0</v>
      </c>
      <c r="AU2027" s="1">
        <f>$A2027*$O2027</f>
        <v>0</v>
      </c>
      <c r="AV2027" s="1">
        <f>IF($R2027=0,0,INT($A2027/$R2027))</f>
        <v>0</v>
      </c>
      <c r="AW2027" s="1">
        <f>$A2027-$AV2027*$R2027</f>
        <v>0</v>
      </c>
    </row>
    <row r="2028" ht="24.95" customHeight="1" outlineLevel="3" s="1" customFormat="1">
      <c r="A2028" s="15"/>
      <c r="B2028" s="16">
        <v>840</v>
      </c>
      <c r="C2028" s="17">
        <v>1218</v>
      </c>
      <c r="D2028" s="16">
        <v>31309</v>
      </c>
      <c r="E2028" s="18"/>
      <c r="F2028" s="18" t="s">
        <v>4341</v>
      </c>
      <c r="G2028" s="18" t="s">
        <v>6663</v>
      </c>
      <c r="H2028" s="18" t="s">
        <v>171</v>
      </c>
      <c r="I2028" s="18"/>
      <c r="J2028" s="16">
        <v>2025</v>
      </c>
      <c r="K2028" s="18" t="s">
        <v>6664</v>
      </c>
      <c r="L2028" s="16">
        <v>9785002233687</v>
      </c>
      <c r="M2028" s="18" t="s">
        <v>6665</v>
      </c>
      <c r="N2028" s="16">
        <v>460</v>
      </c>
      <c r="O2028" s="19">
        <v>0.65</v>
      </c>
      <c r="P2028" s="16">
        <v>170</v>
      </c>
      <c r="Q2028" s="16">
        <v>220</v>
      </c>
      <c r="R2028" s="16">
        <v>5</v>
      </c>
      <c r="S2028" s="18" t="s">
        <v>52</v>
      </c>
      <c r="T2028" s="18"/>
      <c r="U2028" s="17">
        <v>1500</v>
      </c>
      <c r="V2028" s="18" t="s">
        <v>77</v>
      </c>
      <c r="W2028" s="18" t="s">
        <v>69</v>
      </c>
      <c r="X2028" s="16">
        <v>10</v>
      </c>
      <c r="Y2028" s="43" t="str">
        <f>HYPERLINK("https://api-enni.alpina.ru/FilePrivilegesApproval/806","https://api-enni.alpina.ru/FilePrivilegesApproval/806")</f>
        <v>https://api-enni.alpina.ru/FilePrivilegesApproval/806</v>
      </c>
      <c r="Z2028" s="18"/>
      <c r="AS2028" s="1">
        <f>IF($A2028&lt;&gt;0,1,0)</f>
        <v>0</v>
      </c>
      <c r="AT2028" s="1">
        <f>$A2028*$B2028</f>
        <v>0</v>
      </c>
      <c r="AU2028" s="1">
        <f>$A2028*$O2028</f>
        <v>0</v>
      </c>
      <c r="AV2028" s="1">
        <f>IF($R2028=0,0,INT($A2028/$R2028))</f>
        <v>0</v>
      </c>
      <c r="AW2028" s="1">
        <f>$A2028-$AV2028*$R2028</f>
        <v>0</v>
      </c>
    </row>
    <row r="2029" ht="11.1" customHeight="1" outlineLevel="2">
      <c r="A2029" s="41" t="s">
        <v>6666</v>
      </c>
      <c r="B2029" s="41"/>
      <c r="C2029" s="41"/>
      <c r="D2029" s="41"/>
      <c r="E2029" s="41"/>
      <c r="F2029" s="41"/>
      <c r="G2029" s="41"/>
      <c r="H2029" s="41"/>
      <c r="I2029" s="41"/>
      <c r="J2029" s="41"/>
      <c r="K2029" s="41"/>
      <c r="L2029" s="41"/>
      <c r="M2029" s="41"/>
      <c r="N2029" s="41"/>
      <c r="O2029" s="41"/>
      <c r="P2029" s="41"/>
      <c r="Q2029" s="41"/>
      <c r="R2029" s="41"/>
      <c r="S2029" s="41"/>
      <c r="T2029" s="41"/>
      <c r="U2029" s="41"/>
      <c r="V2029" s="41"/>
      <c r="W2029" s="41"/>
      <c r="X2029" s="41"/>
      <c r="Y2029" s="41"/>
      <c r="Z2029" s="24"/>
    </row>
    <row r="2030" ht="24.95" customHeight="1" outlineLevel="3" s="1" customFormat="1">
      <c r="A2030" s="15"/>
      <c r="B2030" s="16">
        <v>990</v>
      </c>
      <c r="C2030" s="17">
        <v>1386</v>
      </c>
      <c r="D2030" s="16">
        <v>21199</v>
      </c>
      <c r="E2030" s="18"/>
      <c r="F2030" s="18" t="s">
        <v>412</v>
      </c>
      <c r="G2030" s="18" t="s">
        <v>413</v>
      </c>
      <c r="H2030" s="18" t="s">
        <v>171</v>
      </c>
      <c r="I2030" s="18"/>
      <c r="J2030" s="16">
        <v>2023</v>
      </c>
      <c r="K2030" s="18" t="s">
        <v>414</v>
      </c>
      <c r="L2030" s="16">
        <v>9785001395003</v>
      </c>
      <c r="M2030" s="18" t="s">
        <v>415</v>
      </c>
      <c r="N2030" s="16">
        <v>607</v>
      </c>
      <c r="O2030" s="19">
        <v>0.7</v>
      </c>
      <c r="P2030" s="16">
        <v>150</v>
      </c>
      <c r="Q2030" s="16">
        <v>220</v>
      </c>
      <c r="R2030" s="16">
        <v>6</v>
      </c>
      <c r="S2030" s="18" t="s">
        <v>43</v>
      </c>
      <c r="T2030" s="18"/>
      <c r="U2030" s="17">
        <v>10000</v>
      </c>
      <c r="V2030" s="18" t="s">
        <v>77</v>
      </c>
      <c r="W2030" s="18" t="s">
        <v>69</v>
      </c>
      <c r="X2030" s="16">
        <v>10</v>
      </c>
      <c r="Y2030" s="43" t="str">
        <f>HYPERLINK("https://api-enni.alpina.ru/FilePrivilegesApproval/150","https://api-enni.alpina.ru/FilePrivilegesApproval/150")</f>
        <v>https://api-enni.alpina.ru/FilePrivilegesApproval/150</v>
      </c>
      <c r="Z2030" s="18"/>
      <c r="AS2030" s="1">
        <f>IF($A2030&lt;&gt;0,1,0)</f>
        <v>0</v>
      </c>
      <c r="AT2030" s="1">
        <f>$A2030*$B2030</f>
        <v>0</v>
      </c>
      <c r="AU2030" s="1">
        <f>$A2030*$O2030</f>
        <v>0</v>
      </c>
      <c r="AV2030" s="1">
        <f>IF($R2030=0,0,INT($A2030/$R2030))</f>
        <v>0</v>
      </c>
      <c r="AW2030" s="1">
        <f>$A2030-$AV2030*$R2030</f>
        <v>0</v>
      </c>
    </row>
    <row r="2031" ht="24.95" customHeight="1" outlineLevel="3" s="1" customFormat="1">
      <c r="A2031" s="15"/>
      <c r="B2031" s="16">
        <v>590</v>
      </c>
      <c r="C2031" s="16">
        <v>885</v>
      </c>
      <c r="D2031" s="16">
        <v>27723</v>
      </c>
      <c r="E2031" s="18"/>
      <c r="F2031" s="18" t="s">
        <v>412</v>
      </c>
      <c r="G2031" s="18" t="s">
        <v>6667</v>
      </c>
      <c r="H2031" s="18" t="s">
        <v>171</v>
      </c>
      <c r="I2031" s="18"/>
      <c r="J2031" s="16">
        <v>2025</v>
      </c>
      <c r="K2031" s="18" t="s">
        <v>6668</v>
      </c>
      <c r="L2031" s="16">
        <v>9785001399490</v>
      </c>
      <c r="M2031" s="18" t="s">
        <v>6669</v>
      </c>
      <c r="N2031" s="16">
        <v>704</v>
      </c>
      <c r="O2031" s="19">
        <v>0.41</v>
      </c>
      <c r="P2031" s="16">
        <v>120</v>
      </c>
      <c r="Q2031" s="16">
        <v>170</v>
      </c>
      <c r="R2031" s="16">
        <v>4</v>
      </c>
      <c r="S2031" s="18" t="s">
        <v>190</v>
      </c>
      <c r="T2031" s="18" t="s">
        <v>6670</v>
      </c>
      <c r="U2031" s="17">
        <v>5000</v>
      </c>
      <c r="V2031" s="18" t="s">
        <v>44</v>
      </c>
      <c r="W2031" s="18" t="s">
        <v>69</v>
      </c>
      <c r="X2031" s="16">
        <v>10</v>
      </c>
      <c r="Y2031" s="43" t="str">
        <f>HYPERLINK("https://api-enni.alpina.ru/FilePrivilegesApproval/150","https://api-enni.alpina.ru/FilePrivilegesApproval/150")</f>
        <v>https://api-enni.alpina.ru/FilePrivilegesApproval/150</v>
      </c>
      <c r="Z2031" s="18"/>
      <c r="AS2031" s="1">
        <f>IF($A2031&lt;&gt;0,1,0)</f>
        <v>0</v>
      </c>
      <c r="AT2031" s="1">
        <f>$A2031*$B2031</f>
        <v>0</v>
      </c>
      <c r="AU2031" s="1">
        <f>$A2031*$O2031</f>
        <v>0</v>
      </c>
      <c r="AV2031" s="1">
        <f>IF($R2031=0,0,INT($A2031/$R2031))</f>
        <v>0</v>
      </c>
      <c r="AW2031" s="1">
        <f>$A2031-$AV2031*$R2031</f>
        <v>0</v>
      </c>
    </row>
    <row r="2032" ht="24.95" customHeight="1" outlineLevel="3" s="1" customFormat="1">
      <c r="A2032" s="15"/>
      <c r="B2032" s="17">
        <v>1290</v>
      </c>
      <c r="C2032" s="17">
        <v>1742</v>
      </c>
      <c r="D2032" s="16">
        <v>25239</v>
      </c>
      <c r="E2032" s="18"/>
      <c r="F2032" s="18" t="s">
        <v>6671</v>
      </c>
      <c r="G2032" s="18" t="s">
        <v>6672</v>
      </c>
      <c r="H2032" s="18" t="s">
        <v>171</v>
      </c>
      <c r="I2032" s="18"/>
      <c r="J2032" s="16">
        <v>2022</v>
      </c>
      <c r="K2032" s="18" t="s">
        <v>6673</v>
      </c>
      <c r="L2032" s="16">
        <v>9785001396529</v>
      </c>
      <c r="M2032" s="18" t="s">
        <v>6674</v>
      </c>
      <c r="N2032" s="16">
        <v>576</v>
      </c>
      <c r="O2032" s="19">
        <v>3</v>
      </c>
      <c r="P2032" s="16">
        <v>146</v>
      </c>
      <c r="Q2032" s="16">
        <v>216</v>
      </c>
      <c r="R2032" s="16">
        <v>2</v>
      </c>
      <c r="S2032" s="18" t="s">
        <v>43</v>
      </c>
      <c r="T2032" s="18"/>
      <c r="U2032" s="17">
        <v>5000</v>
      </c>
      <c r="V2032" s="18" t="s">
        <v>77</v>
      </c>
      <c r="W2032" s="18" t="s">
        <v>45</v>
      </c>
      <c r="X2032" s="16">
        <v>10</v>
      </c>
      <c r="Y2032" s="43" t="str">
        <f>HYPERLINK("https://api-enni.alpina.ru/FilePrivilegesApproval/146","https://api-enni.alpina.ru/FilePrivilegesApproval/146")</f>
        <v>https://api-enni.alpina.ru/FilePrivilegesApproval/146</v>
      </c>
      <c r="Z2032" s="18"/>
      <c r="AS2032" s="1">
        <f>IF($A2032&lt;&gt;0,1,0)</f>
        <v>0</v>
      </c>
      <c r="AT2032" s="1">
        <f>$A2032*$B2032</f>
        <v>0</v>
      </c>
      <c r="AU2032" s="1">
        <f>$A2032*$O2032</f>
        <v>0</v>
      </c>
      <c r="AV2032" s="1">
        <f>IF($R2032=0,0,INT($A2032/$R2032))</f>
        <v>0</v>
      </c>
      <c r="AW2032" s="1">
        <f>$A2032-$AV2032*$R2032</f>
        <v>0</v>
      </c>
    </row>
    <row r="2033" ht="21.95" customHeight="1" outlineLevel="3" s="1" customFormat="1">
      <c r="A2033" s="15"/>
      <c r="B2033" s="16">
        <v>720</v>
      </c>
      <c r="C2033" s="17">
        <v>1044</v>
      </c>
      <c r="D2033" s="16">
        <v>33465</v>
      </c>
      <c r="E2033" s="18"/>
      <c r="F2033" s="18" t="s">
        <v>6675</v>
      </c>
      <c r="G2033" s="18" t="s">
        <v>6676</v>
      </c>
      <c r="H2033" s="18" t="s">
        <v>171</v>
      </c>
      <c r="I2033" s="18"/>
      <c r="J2033" s="16">
        <v>2026</v>
      </c>
      <c r="K2033" s="18" t="s">
        <v>6677</v>
      </c>
      <c r="L2033" s="16">
        <v>9785002235605</v>
      </c>
      <c r="M2033" s="18" t="s">
        <v>6678</v>
      </c>
      <c r="N2033" s="16">
        <v>298</v>
      </c>
      <c r="O2033" s="19">
        <v>0.3</v>
      </c>
      <c r="P2033" s="16">
        <v>130</v>
      </c>
      <c r="Q2033" s="16">
        <v>210</v>
      </c>
      <c r="R2033" s="16">
        <v>8</v>
      </c>
      <c r="S2033" s="18" t="s">
        <v>90</v>
      </c>
      <c r="T2033" s="18"/>
      <c r="U2033" s="17">
        <v>1000</v>
      </c>
      <c r="V2033" s="18" t="s">
        <v>77</v>
      </c>
      <c r="W2033" s="18" t="s">
        <v>45</v>
      </c>
      <c r="X2033" s="16">
        <v>22</v>
      </c>
      <c r="Y2033" s="43" t="str">
        <f>HYPERLINK("","")</f>
      </c>
      <c r="Z2033" s="18"/>
      <c r="AS2033" s="1">
        <f>IF($A2033&lt;&gt;0,1,0)</f>
        <v>0</v>
      </c>
      <c r="AT2033" s="1">
        <f>$A2033*$B2033</f>
        <v>0</v>
      </c>
      <c r="AU2033" s="1">
        <f>$A2033*$O2033</f>
        <v>0</v>
      </c>
      <c r="AV2033" s="1">
        <f>IF($R2033=0,0,INT($A2033/$R2033))</f>
        <v>0</v>
      </c>
      <c r="AW2033" s="1">
        <f>$A2033-$AV2033*$R2033</f>
        <v>0</v>
      </c>
    </row>
    <row r="2034" ht="24.95" customHeight="1" outlineLevel="3" s="1" customFormat="1">
      <c r="A2034" s="15"/>
      <c r="B2034" s="16">
        <v>640</v>
      </c>
      <c r="C2034" s="16">
        <v>960</v>
      </c>
      <c r="D2034" s="16">
        <v>25024</v>
      </c>
      <c r="E2034" s="18"/>
      <c r="F2034" s="18" t="s">
        <v>754</v>
      </c>
      <c r="G2034" s="18" t="s">
        <v>6679</v>
      </c>
      <c r="H2034" s="18" t="s">
        <v>171</v>
      </c>
      <c r="I2034" s="18"/>
      <c r="J2034" s="16">
        <v>2023</v>
      </c>
      <c r="K2034" s="18" t="s">
        <v>6680</v>
      </c>
      <c r="L2034" s="16">
        <v>9785001396321</v>
      </c>
      <c r="M2034" s="18" t="s">
        <v>6681</v>
      </c>
      <c r="N2034" s="16">
        <v>276</v>
      </c>
      <c r="O2034" s="19">
        <v>0.37</v>
      </c>
      <c r="P2034" s="16">
        <v>150</v>
      </c>
      <c r="Q2034" s="16">
        <v>220</v>
      </c>
      <c r="R2034" s="16">
        <v>12</v>
      </c>
      <c r="S2034" s="18" t="s">
        <v>43</v>
      </c>
      <c r="T2034" s="18"/>
      <c r="U2034" s="17">
        <v>2000</v>
      </c>
      <c r="V2034" s="18" t="s">
        <v>77</v>
      </c>
      <c r="W2034" s="18" t="s">
        <v>45</v>
      </c>
      <c r="X2034" s="16">
        <v>10</v>
      </c>
      <c r="Y2034" s="43" t="str">
        <f>HYPERLINK("https://api-enni.alpina.ru/FilePrivilegesApproval/171","https://api-enni.alpina.ru/FilePrivilegesApproval/171")</f>
        <v>https://api-enni.alpina.ru/FilePrivilegesApproval/171</v>
      </c>
      <c r="Z2034" s="18"/>
      <c r="AS2034" s="1">
        <f>IF($A2034&lt;&gt;0,1,0)</f>
        <v>0</v>
      </c>
      <c r="AT2034" s="1">
        <f>$A2034*$B2034</f>
        <v>0</v>
      </c>
      <c r="AU2034" s="1">
        <f>$A2034*$O2034</f>
        <v>0</v>
      </c>
      <c r="AV2034" s="1">
        <f>IF($R2034=0,0,INT($A2034/$R2034))</f>
        <v>0</v>
      </c>
      <c r="AW2034" s="1">
        <f>$A2034-$AV2034*$R2034</f>
        <v>0</v>
      </c>
    </row>
    <row r="2035" ht="24.95" customHeight="1" outlineLevel="3" s="1" customFormat="1">
      <c r="A2035" s="15"/>
      <c r="B2035" s="16">
        <v>990</v>
      </c>
      <c r="C2035" s="17">
        <v>1386</v>
      </c>
      <c r="D2035" s="16">
        <v>33680</v>
      </c>
      <c r="E2035" s="18"/>
      <c r="F2035" s="18" t="s">
        <v>6682</v>
      </c>
      <c r="G2035" s="18" t="s">
        <v>6683</v>
      </c>
      <c r="H2035" s="18" t="s">
        <v>171</v>
      </c>
      <c r="I2035" s="18"/>
      <c r="J2035" s="16">
        <v>2026</v>
      </c>
      <c r="K2035" s="18" t="s">
        <v>6684</v>
      </c>
      <c r="L2035" s="16">
        <v>9785002235766</v>
      </c>
      <c r="M2035" s="18" t="s">
        <v>6685</v>
      </c>
      <c r="N2035" s="16">
        <v>464</v>
      </c>
      <c r="O2035" s="19">
        <v>0.51</v>
      </c>
      <c r="P2035" s="16">
        <v>150</v>
      </c>
      <c r="Q2035" s="16">
        <v>220</v>
      </c>
      <c r="R2035" s="16">
        <v>4</v>
      </c>
      <c r="S2035" s="18" t="s">
        <v>43</v>
      </c>
      <c r="T2035" s="18"/>
      <c r="U2035" s="17">
        <v>5000</v>
      </c>
      <c r="V2035" s="18" t="s">
        <v>77</v>
      </c>
      <c r="W2035" s="18" t="s">
        <v>69</v>
      </c>
      <c r="X2035" s="16">
        <v>10</v>
      </c>
      <c r="Y2035" s="43" t="str">
        <f>HYPERLINK("https://api-enni.alpina.ru/FilePrivilegesApproval/975","https://api-enni.alpina.ru/FilePrivilegesApproval/975")</f>
        <v>https://api-enni.alpina.ru/FilePrivilegesApproval/975</v>
      </c>
      <c r="Z2035" s="18"/>
      <c r="AS2035" s="1">
        <f>IF($A2035&lt;&gt;0,1,0)</f>
        <v>0</v>
      </c>
      <c r="AT2035" s="1">
        <f>$A2035*$B2035</f>
        <v>0</v>
      </c>
      <c r="AU2035" s="1">
        <f>$A2035*$O2035</f>
        <v>0</v>
      </c>
      <c r="AV2035" s="1">
        <f>IF($R2035=0,0,INT($A2035/$R2035))</f>
        <v>0</v>
      </c>
      <c r="AW2035" s="1">
        <f>$A2035-$AV2035*$R2035</f>
        <v>0</v>
      </c>
    </row>
    <row r="2036" ht="21.95" customHeight="1" outlineLevel="3" s="1" customFormat="1">
      <c r="A2036" s="15"/>
      <c r="B2036" s="17">
        <v>1250</v>
      </c>
      <c r="C2036" s="17">
        <v>1688</v>
      </c>
      <c r="D2036" s="16">
        <v>36443</v>
      </c>
      <c r="E2036" s="18"/>
      <c r="F2036" s="18" t="s">
        <v>541</v>
      </c>
      <c r="G2036" s="18" t="s">
        <v>6686</v>
      </c>
      <c r="H2036" s="18" t="s">
        <v>171</v>
      </c>
      <c r="I2036" s="18"/>
      <c r="J2036" s="16">
        <v>2026</v>
      </c>
      <c r="K2036" s="18" t="s">
        <v>6687</v>
      </c>
      <c r="L2036" s="16">
        <v>9785002238682</v>
      </c>
      <c r="M2036" s="18" t="s">
        <v>6688</v>
      </c>
      <c r="N2036" s="16">
        <v>520</v>
      </c>
      <c r="O2036" s="19">
        <v>0.73</v>
      </c>
      <c r="P2036" s="16">
        <v>150</v>
      </c>
      <c r="Q2036" s="16">
        <v>220</v>
      </c>
      <c r="R2036" s="16">
        <v>8</v>
      </c>
      <c r="S2036" s="18" t="s">
        <v>43</v>
      </c>
      <c r="T2036" s="18"/>
      <c r="U2036" s="17">
        <v>7000</v>
      </c>
      <c r="V2036" s="18" t="s">
        <v>77</v>
      </c>
      <c r="W2036" s="18" t="s">
        <v>45</v>
      </c>
      <c r="X2036" s="16">
        <v>22</v>
      </c>
      <c r="Y2036" s="43" t="str">
        <f>HYPERLINK("","")</f>
      </c>
      <c r="Z2036" s="18" t="s">
        <v>753</v>
      </c>
      <c r="AS2036" s="1">
        <f>IF($A2036&lt;&gt;0,1,0)</f>
        <v>0</v>
      </c>
      <c r="AT2036" s="1">
        <f>$A2036*$B2036</f>
        <v>0</v>
      </c>
      <c r="AU2036" s="1">
        <f>$A2036*$O2036</f>
        <v>0</v>
      </c>
      <c r="AV2036" s="1">
        <f>IF($R2036=0,0,INT($A2036/$R2036))</f>
        <v>0</v>
      </c>
      <c r="AW2036" s="1">
        <f>$A2036-$AV2036*$R2036</f>
        <v>0</v>
      </c>
    </row>
    <row r="2037" ht="21.95" customHeight="1" outlineLevel="3" s="1" customFormat="1">
      <c r="A2037" s="15"/>
      <c r="B2037" s="16">
        <v>600</v>
      </c>
      <c r="C2037" s="16">
        <v>900</v>
      </c>
      <c r="D2037" s="16">
        <v>28115</v>
      </c>
      <c r="E2037" s="18"/>
      <c r="F2037" s="18" t="s">
        <v>492</v>
      </c>
      <c r="G2037" s="18" t="s">
        <v>493</v>
      </c>
      <c r="H2037" s="18" t="s">
        <v>171</v>
      </c>
      <c r="I2037" s="18"/>
      <c r="J2037" s="16">
        <v>2024</v>
      </c>
      <c r="K2037" s="18" t="s">
        <v>494</v>
      </c>
      <c r="L2037" s="16">
        <v>9785002230754</v>
      </c>
      <c r="M2037" s="18" t="s">
        <v>495</v>
      </c>
      <c r="N2037" s="16">
        <v>352</v>
      </c>
      <c r="O2037" s="19">
        <v>0.43</v>
      </c>
      <c r="P2037" s="16">
        <v>140</v>
      </c>
      <c r="Q2037" s="16">
        <v>210</v>
      </c>
      <c r="R2037" s="16">
        <v>12</v>
      </c>
      <c r="S2037" s="18" t="s">
        <v>90</v>
      </c>
      <c r="T2037" s="18"/>
      <c r="U2037" s="17">
        <v>2000</v>
      </c>
      <c r="V2037" s="18" t="s">
        <v>77</v>
      </c>
      <c r="W2037" s="18" t="s">
        <v>45</v>
      </c>
      <c r="X2037" s="16">
        <v>22</v>
      </c>
      <c r="Y2037" s="43" t="str">
        <f>HYPERLINK("","")</f>
      </c>
      <c r="Z2037" s="18"/>
      <c r="AS2037" s="1">
        <f>IF($A2037&lt;&gt;0,1,0)</f>
        <v>0</v>
      </c>
      <c r="AT2037" s="1">
        <f>$A2037*$B2037</f>
        <v>0</v>
      </c>
      <c r="AU2037" s="1">
        <f>$A2037*$O2037</f>
        <v>0</v>
      </c>
      <c r="AV2037" s="1">
        <f>IF($R2037=0,0,INT($A2037/$R2037))</f>
        <v>0</v>
      </c>
      <c r="AW2037" s="1">
        <f>$A2037-$AV2037*$R2037</f>
        <v>0</v>
      </c>
    </row>
    <row r="2038" ht="21.95" customHeight="1" outlineLevel="3" s="1" customFormat="1">
      <c r="A2038" s="15"/>
      <c r="B2038" s="16">
        <v>702</v>
      </c>
      <c r="C2038" s="17">
        <v>1018</v>
      </c>
      <c r="D2038" s="16">
        <v>25423</v>
      </c>
      <c r="E2038" s="18"/>
      <c r="F2038" s="18" t="s">
        <v>6689</v>
      </c>
      <c r="G2038" s="18" t="s">
        <v>6690</v>
      </c>
      <c r="H2038" s="18" t="s">
        <v>171</v>
      </c>
      <c r="I2038" s="18"/>
      <c r="J2038" s="16">
        <v>2023</v>
      </c>
      <c r="K2038" s="18" t="s">
        <v>6691</v>
      </c>
      <c r="L2038" s="16">
        <v>9785001396710</v>
      </c>
      <c r="M2038" s="18" t="s">
        <v>6692</v>
      </c>
      <c r="N2038" s="16">
        <v>640</v>
      </c>
      <c r="O2038" s="19">
        <v>0.67</v>
      </c>
      <c r="P2038" s="16">
        <v>150</v>
      </c>
      <c r="Q2038" s="16">
        <v>220</v>
      </c>
      <c r="R2038" s="16">
        <v>8</v>
      </c>
      <c r="S2038" s="18" t="s">
        <v>43</v>
      </c>
      <c r="T2038" s="18"/>
      <c r="U2038" s="17">
        <v>3000</v>
      </c>
      <c r="V2038" s="18" t="s">
        <v>77</v>
      </c>
      <c r="W2038" s="18" t="s">
        <v>45</v>
      </c>
      <c r="X2038" s="16">
        <v>22</v>
      </c>
      <c r="Y2038" s="43" t="str">
        <f>HYPERLINK("","")</f>
      </c>
      <c r="Z2038" s="18"/>
      <c r="AS2038" s="1">
        <f>IF($A2038&lt;&gt;0,1,0)</f>
        <v>0</v>
      </c>
      <c r="AT2038" s="1">
        <f>$A2038*$B2038</f>
        <v>0</v>
      </c>
      <c r="AU2038" s="1">
        <f>$A2038*$O2038</f>
        <v>0</v>
      </c>
      <c r="AV2038" s="1">
        <f>IF($R2038=0,0,INT($A2038/$R2038))</f>
        <v>0</v>
      </c>
      <c r="AW2038" s="1">
        <f>$A2038-$AV2038*$R2038</f>
        <v>0</v>
      </c>
    </row>
    <row r="2039" ht="21.95" customHeight="1" outlineLevel="3" s="1" customFormat="1">
      <c r="A2039" s="15"/>
      <c r="B2039" s="16">
        <v>630</v>
      </c>
      <c r="C2039" s="16">
        <v>945</v>
      </c>
      <c r="D2039" s="16">
        <v>32015</v>
      </c>
      <c r="E2039" s="18"/>
      <c r="F2039" s="18" t="s">
        <v>6693</v>
      </c>
      <c r="G2039" s="18" t="s">
        <v>6694</v>
      </c>
      <c r="H2039" s="18" t="s">
        <v>171</v>
      </c>
      <c r="I2039" s="18"/>
      <c r="J2039" s="16">
        <v>2025</v>
      </c>
      <c r="K2039" s="18" t="s">
        <v>6695</v>
      </c>
      <c r="L2039" s="16">
        <v>9785002234639</v>
      </c>
      <c r="M2039" s="18" t="s">
        <v>6696</v>
      </c>
      <c r="N2039" s="16">
        <v>448</v>
      </c>
      <c r="O2039" s="19">
        <v>0.35</v>
      </c>
      <c r="P2039" s="16">
        <v>140</v>
      </c>
      <c r="Q2039" s="16">
        <v>200</v>
      </c>
      <c r="R2039" s="16">
        <v>8</v>
      </c>
      <c r="S2039" s="18" t="s">
        <v>43</v>
      </c>
      <c r="T2039" s="18"/>
      <c r="U2039" s="17">
        <v>2000</v>
      </c>
      <c r="V2039" s="18" t="s">
        <v>44</v>
      </c>
      <c r="W2039" s="18" t="s">
        <v>45</v>
      </c>
      <c r="X2039" s="16">
        <v>22</v>
      </c>
      <c r="Y2039" s="43" t="str">
        <f>HYPERLINK("","")</f>
      </c>
      <c r="Z2039" s="18"/>
      <c r="AS2039" s="1">
        <f>IF($A2039&lt;&gt;0,1,0)</f>
        <v>0</v>
      </c>
      <c r="AT2039" s="1">
        <f>$A2039*$B2039</f>
        <v>0</v>
      </c>
      <c r="AU2039" s="1">
        <f>$A2039*$O2039</f>
        <v>0</v>
      </c>
      <c r="AV2039" s="1">
        <f>IF($R2039=0,0,INT($A2039/$R2039))</f>
        <v>0</v>
      </c>
      <c r="AW2039" s="1">
        <f>$A2039-$AV2039*$R2039</f>
        <v>0</v>
      </c>
    </row>
    <row r="2040" ht="24.95" customHeight="1" outlineLevel="3" s="1" customFormat="1">
      <c r="A2040" s="15"/>
      <c r="B2040" s="17">
        <v>1090</v>
      </c>
      <c r="C2040" s="17">
        <v>1472</v>
      </c>
      <c r="D2040" s="16">
        <v>21195</v>
      </c>
      <c r="E2040" s="18"/>
      <c r="F2040" s="18" t="s">
        <v>412</v>
      </c>
      <c r="G2040" s="18" t="s">
        <v>6697</v>
      </c>
      <c r="H2040" s="18" t="s">
        <v>171</v>
      </c>
      <c r="I2040" s="18"/>
      <c r="J2040" s="16">
        <v>2026</v>
      </c>
      <c r="K2040" s="18" t="s">
        <v>6698</v>
      </c>
      <c r="L2040" s="16">
        <v>9785001395027</v>
      </c>
      <c r="M2040" s="18" t="s">
        <v>6699</v>
      </c>
      <c r="N2040" s="16">
        <v>560</v>
      </c>
      <c r="O2040" s="19">
        <v>0.65</v>
      </c>
      <c r="P2040" s="16">
        <v>140</v>
      </c>
      <c r="Q2040" s="16">
        <v>210</v>
      </c>
      <c r="R2040" s="16">
        <v>5</v>
      </c>
      <c r="S2040" s="18" t="s">
        <v>43</v>
      </c>
      <c r="T2040" s="18"/>
      <c r="U2040" s="17">
        <v>1000</v>
      </c>
      <c r="V2040" s="18" t="s">
        <v>77</v>
      </c>
      <c r="W2040" s="18" t="s">
        <v>45</v>
      </c>
      <c r="X2040" s="16">
        <v>10</v>
      </c>
      <c r="Y2040" s="43" t="str">
        <f>HYPERLINK("https://api-enni.alpina.ru/FilePrivilegesApproval/208","https://api-enni.alpina.ru/FilePrivilegesApproval/208")</f>
        <v>https://api-enni.alpina.ru/FilePrivilegesApproval/208</v>
      </c>
      <c r="Z2040" s="18"/>
      <c r="AS2040" s="1">
        <f>IF($A2040&lt;&gt;0,1,0)</f>
        <v>0</v>
      </c>
      <c r="AT2040" s="1">
        <f>$A2040*$B2040</f>
        <v>0</v>
      </c>
      <c r="AU2040" s="1">
        <f>$A2040*$O2040</f>
        <v>0</v>
      </c>
      <c r="AV2040" s="1">
        <f>IF($R2040=0,0,INT($A2040/$R2040))</f>
        <v>0</v>
      </c>
      <c r="AW2040" s="1">
        <f>$A2040-$AV2040*$R2040</f>
        <v>0</v>
      </c>
    </row>
    <row r="2041" ht="24.95" customHeight="1" outlineLevel="3" s="1" customFormat="1">
      <c r="A2041" s="15"/>
      <c r="B2041" s="16">
        <v>590</v>
      </c>
      <c r="C2041" s="16">
        <v>885</v>
      </c>
      <c r="D2041" s="16">
        <v>28971</v>
      </c>
      <c r="E2041" s="18"/>
      <c r="F2041" s="18" t="s">
        <v>412</v>
      </c>
      <c r="G2041" s="18" t="s">
        <v>6700</v>
      </c>
      <c r="H2041" s="18" t="s">
        <v>171</v>
      </c>
      <c r="I2041" s="18"/>
      <c r="J2041" s="16">
        <v>2023</v>
      </c>
      <c r="K2041" s="18" t="s">
        <v>6701</v>
      </c>
      <c r="L2041" s="16">
        <v>9785002230907</v>
      </c>
      <c r="M2041" s="18" t="s">
        <v>6702</v>
      </c>
      <c r="N2041" s="16">
        <v>672</v>
      </c>
      <c r="O2041" s="19">
        <v>0.39</v>
      </c>
      <c r="P2041" s="16">
        <v>120</v>
      </c>
      <c r="Q2041" s="16">
        <v>170</v>
      </c>
      <c r="R2041" s="16">
        <v>6</v>
      </c>
      <c r="S2041" s="18" t="s">
        <v>190</v>
      </c>
      <c r="T2041" s="18" t="s">
        <v>6670</v>
      </c>
      <c r="U2041" s="17">
        <v>4000</v>
      </c>
      <c r="V2041" s="18" t="s">
        <v>44</v>
      </c>
      <c r="W2041" s="18" t="s">
        <v>45</v>
      </c>
      <c r="X2041" s="16">
        <v>10</v>
      </c>
      <c r="Y2041" s="43" t="str">
        <f>HYPERLINK("https://api-enni.alpina.ru/FilePrivilegesApproval/208","https://api-enni.alpina.ru/FilePrivilegesApproval/208")</f>
        <v>https://api-enni.alpina.ru/FilePrivilegesApproval/208</v>
      </c>
      <c r="Z2041" s="18"/>
      <c r="AS2041" s="1">
        <f>IF($A2041&lt;&gt;0,1,0)</f>
        <v>0</v>
      </c>
      <c r="AT2041" s="1">
        <f>$A2041*$B2041</f>
        <v>0</v>
      </c>
      <c r="AU2041" s="1">
        <f>$A2041*$O2041</f>
        <v>0</v>
      </c>
      <c r="AV2041" s="1">
        <f>IF($R2041=0,0,INT($A2041/$R2041))</f>
        <v>0</v>
      </c>
      <c r="AW2041" s="1">
        <f>$A2041-$AV2041*$R2041</f>
        <v>0</v>
      </c>
    </row>
    <row r="2042" ht="24.95" customHeight="1" outlineLevel="3" s="1" customFormat="1">
      <c r="A2042" s="15"/>
      <c r="B2042" s="16">
        <v>540</v>
      </c>
      <c r="C2042" s="16">
        <v>837</v>
      </c>
      <c r="D2042" s="16">
        <v>23118</v>
      </c>
      <c r="E2042" s="18"/>
      <c r="F2042" s="18" t="s">
        <v>6703</v>
      </c>
      <c r="G2042" s="18" t="s">
        <v>6704</v>
      </c>
      <c r="H2042" s="18" t="s">
        <v>171</v>
      </c>
      <c r="I2042" s="18"/>
      <c r="J2042" s="16">
        <v>2021</v>
      </c>
      <c r="K2042" s="18" t="s">
        <v>6705</v>
      </c>
      <c r="L2042" s="16">
        <v>9785001394747</v>
      </c>
      <c r="M2042" s="18" t="s">
        <v>6706</v>
      </c>
      <c r="N2042" s="16">
        <v>376</v>
      </c>
      <c r="O2042" s="19">
        <v>0.4</v>
      </c>
      <c r="P2042" s="16">
        <v>130</v>
      </c>
      <c r="Q2042" s="16">
        <v>206</v>
      </c>
      <c r="R2042" s="16">
        <v>10</v>
      </c>
      <c r="S2042" s="18" t="s">
        <v>90</v>
      </c>
      <c r="T2042" s="18"/>
      <c r="U2042" s="17">
        <v>3000</v>
      </c>
      <c r="V2042" s="18" t="s">
        <v>77</v>
      </c>
      <c r="W2042" s="18" t="s">
        <v>45</v>
      </c>
      <c r="X2042" s="16">
        <v>10</v>
      </c>
      <c r="Y2042" s="43" t="str">
        <f>HYPERLINK("https://api-enni.alpina.ru/FilePrivilegesApproval/207","https://api-enni.alpina.ru/FilePrivilegesApproval/207")</f>
        <v>https://api-enni.alpina.ru/FilePrivilegesApproval/207</v>
      </c>
      <c r="Z2042" s="18"/>
      <c r="AS2042" s="1">
        <f>IF($A2042&lt;&gt;0,1,0)</f>
        <v>0</v>
      </c>
      <c r="AT2042" s="1">
        <f>$A2042*$B2042</f>
        <v>0</v>
      </c>
      <c r="AU2042" s="1">
        <f>$A2042*$O2042</f>
        <v>0</v>
      </c>
      <c r="AV2042" s="1">
        <f>IF($R2042=0,0,INT($A2042/$R2042))</f>
        <v>0</v>
      </c>
      <c r="AW2042" s="1">
        <f>$A2042-$AV2042*$R2042</f>
        <v>0</v>
      </c>
    </row>
    <row r="2043" ht="24.95" customHeight="1" outlineLevel="3" s="1" customFormat="1">
      <c r="A2043" s="25"/>
      <c r="B2043" s="26">
        <v>790</v>
      </c>
      <c r="C2043" s="29">
        <v>1146</v>
      </c>
      <c r="D2043" s="26">
        <v>26431</v>
      </c>
      <c r="E2043" s="27"/>
      <c r="F2043" s="27" t="s">
        <v>951</v>
      </c>
      <c r="G2043" s="27" t="s">
        <v>6707</v>
      </c>
      <c r="H2043" s="27" t="s">
        <v>171</v>
      </c>
      <c r="I2043" s="27"/>
      <c r="J2043" s="26">
        <v>2026</v>
      </c>
      <c r="K2043" s="27" t="s">
        <v>6708</v>
      </c>
      <c r="L2043" s="26">
        <v>9785001397663</v>
      </c>
      <c r="M2043" s="27" t="s">
        <v>6709</v>
      </c>
      <c r="N2043" s="26">
        <v>424</v>
      </c>
      <c r="O2043" s="28">
        <v>0.52</v>
      </c>
      <c r="P2043" s="26">
        <v>130</v>
      </c>
      <c r="Q2043" s="26">
        <v>210</v>
      </c>
      <c r="R2043" s="26">
        <v>8</v>
      </c>
      <c r="S2043" s="27" t="s">
        <v>90</v>
      </c>
      <c r="T2043" s="27"/>
      <c r="U2043" s="29">
        <v>1000</v>
      </c>
      <c r="V2043" s="27" t="s">
        <v>77</v>
      </c>
      <c r="W2043" s="27" t="s">
        <v>69</v>
      </c>
      <c r="X2043" s="26">
        <v>10</v>
      </c>
      <c r="Y2043" s="45" t="str">
        <f>HYPERLINK("https://api-enni.alpina.ru/FilePrivilegesApproval/171","https://api-enni.alpina.ru/FilePrivilegesApproval/171")</f>
        <v>https://api-enni.alpina.ru/FilePrivilegesApproval/171</v>
      </c>
      <c r="Z2043" s="27"/>
      <c r="AS2043" s="1">
        <f>IF($A2043&lt;&gt;0,1,0)</f>
        <v>0</v>
      </c>
      <c r="AT2043" s="1">
        <f>$A2043*$B2043</f>
        <v>0</v>
      </c>
      <c r="AU2043" s="1">
        <f>$A2043*$O2043</f>
        <v>0</v>
      </c>
      <c r="AV2043" s="1">
        <f>IF($R2043=0,0,INT($A2043/$R2043))</f>
        <v>0</v>
      </c>
      <c r="AW2043" s="1">
        <f>$A2043-$AV2043*$R2043</f>
        <v>0</v>
      </c>
    </row>
    <row r="2044" ht="24.95" customHeight="1" outlineLevel="3" s="1" customFormat="1">
      <c r="A2044" s="15"/>
      <c r="B2044" s="16">
        <v>360</v>
      </c>
      <c r="C2044" s="16">
        <v>576</v>
      </c>
      <c r="D2044" s="16">
        <v>28929</v>
      </c>
      <c r="E2044" s="18"/>
      <c r="F2044" s="18" t="s">
        <v>951</v>
      </c>
      <c r="G2044" s="18" t="s">
        <v>6710</v>
      </c>
      <c r="H2044" s="18" t="s">
        <v>171</v>
      </c>
      <c r="I2044" s="18"/>
      <c r="J2044" s="16">
        <v>2024</v>
      </c>
      <c r="K2044" s="18" t="s">
        <v>6711</v>
      </c>
      <c r="L2044" s="16">
        <v>9785002230808</v>
      </c>
      <c r="M2044" s="18" t="s">
        <v>6712</v>
      </c>
      <c r="N2044" s="16">
        <v>446</v>
      </c>
      <c r="O2044" s="19">
        <v>0.27</v>
      </c>
      <c r="P2044" s="16">
        <v>120</v>
      </c>
      <c r="Q2044" s="16">
        <v>170</v>
      </c>
      <c r="R2044" s="16">
        <v>5</v>
      </c>
      <c r="S2044" s="18" t="s">
        <v>190</v>
      </c>
      <c r="T2044" s="18" t="s">
        <v>6670</v>
      </c>
      <c r="U2044" s="17">
        <v>4000</v>
      </c>
      <c r="V2044" s="18" t="s">
        <v>44</v>
      </c>
      <c r="W2044" s="18" t="s">
        <v>69</v>
      </c>
      <c r="X2044" s="16">
        <v>10</v>
      </c>
      <c r="Y2044" s="43" t="str">
        <f>HYPERLINK("https://api-enni.alpina.ru/FilePrivilegesApproval/171","https://api-enni.alpina.ru/FilePrivilegesApproval/171")</f>
        <v>https://api-enni.alpina.ru/FilePrivilegesApproval/171</v>
      </c>
      <c r="Z2044" s="18"/>
      <c r="AS2044" s="1">
        <f>IF($A2044&lt;&gt;0,1,0)</f>
        <v>0</v>
      </c>
      <c r="AT2044" s="1">
        <f>$A2044*$B2044</f>
        <v>0</v>
      </c>
      <c r="AU2044" s="1">
        <f>$A2044*$O2044</f>
        <v>0</v>
      </c>
      <c r="AV2044" s="1">
        <f>IF($R2044=0,0,INT($A2044/$R2044))</f>
        <v>0</v>
      </c>
      <c r="AW2044" s="1">
        <f>$A2044-$AV2044*$R2044</f>
        <v>0</v>
      </c>
    </row>
    <row r="2045" ht="24.95" customHeight="1" outlineLevel="3" s="1" customFormat="1">
      <c r="A2045" s="15"/>
      <c r="B2045" s="16">
        <v>346</v>
      </c>
      <c r="C2045" s="16">
        <v>554</v>
      </c>
      <c r="D2045" s="16">
        <v>28071</v>
      </c>
      <c r="E2045" s="18"/>
      <c r="F2045" s="18" t="s">
        <v>6713</v>
      </c>
      <c r="G2045" s="18" t="s">
        <v>6714</v>
      </c>
      <c r="H2045" s="18" t="s">
        <v>171</v>
      </c>
      <c r="I2045" s="18"/>
      <c r="J2045" s="16">
        <v>2024</v>
      </c>
      <c r="K2045" s="18" t="s">
        <v>6715</v>
      </c>
      <c r="L2045" s="16">
        <v>9785001399902</v>
      </c>
      <c r="M2045" s="18" t="s">
        <v>6716</v>
      </c>
      <c r="N2045" s="16">
        <v>256</v>
      </c>
      <c r="O2045" s="19">
        <v>0.17</v>
      </c>
      <c r="P2045" s="16">
        <v>120</v>
      </c>
      <c r="Q2045" s="16">
        <v>170</v>
      </c>
      <c r="R2045" s="16">
        <v>7</v>
      </c>
      <c r="S2045" s="18" t="s">
        <v>190</v>
      </c>
      <c r="T2045" s="18" t="s">
        <v>6717</v>
      </c>
      <c r="U2045" s="17">
        <v>4000</v>
      </c>
      <c r="V2045" s="18" t="s">
        <v>44</v>
      </c>
      <c r="W2045" s="18" t="s">
        <v>45</v>
      </c>
      <c r="X2045" s="16">
        <v>22</v>
      </c>
      <c r="Y2045" s="43" t="str">
        <f>HYPERLINK("https://api-enni.alpina.ru/FilePrivilegesApproval/324","https://api-enni.alpina.ru/FilePrivilegesApproval/324")</f>
        <v>https://api-enni.alpina.ru/FilePrivilegesApproval/324</v>
      </c>
      <c r="Z2045" s="18"/>
      <c r="AS2045" s="1">
        <f>IF($A2045&lt;&gt;0,1,0)</f>
        <v>0</v>
      </c>
      <c r="AT2045" s="1">
        <f>$A2045*$B2045</f>
        <v>0</v>
      </c>
      <c r="AU2045" s="1">
        <f>$A2045*$O2045</f>
        <v>0</v>
      </c>
      <c r="AV2045" s="1">
        <f>IF($R2045=0,0,INT($A2045/$R2045))</f>
        <v>0</v>
      </c>
      <c r="AW2045" s="1">
        <f>$A2045-$AV2045*$R2045</f>
        <v>0</v>
      </c>
    </row>
    <row r="2046" ht="24.95" customHeight="1" outlineLevel="3" s="1" customFormat="1">
      <c r="A2046" s="15"/>
      <c r="B2046" s="16">
        <v>650</v>
      </c>
      <c r="C2046" s="16">
        <v>975</v>
      </c>
      <c r="D2046" s="16">
        <v>34013</v>
      </c>
      <c r="E2046" s="18"/>
      <c r="F2046" s="18" t="s">
        <v>6718</v>
      </c>
      <c r="G2046" s="18" t="s">
        <v>6719</v>
      </c>
      <c r="H2046" s="18" t="s">
        <v>171</v>
      </c>
      <c r="I2046" s="18"/>
      <c r="J2046" s="16">
        <v>2025</v>
      </c>
      <c r="K2046" s="18" t="s">
        <v>6720</v>
      </c>
      <c r="L2046" s="16">
        <v>9785002236138</v>
      </c>
      <c r="M2046" s="18" t="s">
        <v>6721</v>
      </c>
      <c r="N2046" s="16">
        <v>386</v>
      </c>
      <c r="O2046" s="19">
        <v>0.46</v>
      </c>
      <c r="P2046" s="16">
        <v>150</v>
      </c>
      <c r="Q2046" s="16">
        <v>220</v>
      </c>
      <c r="R2046" s="16">
        <v>8</v>
      </c>
      <c r="S2046" s="18" t="s">
        <v>43</v>
      </c>
      <c r="T2046" s="18"/>
      <c r="U2046" s="17">
        <v>2000</v>
      </c>
      <c r="V2046" s="18" t="s">
        <v>77</v>
      </c>
      <c r="W2046" s="18" t="s">
        <v>45</v>
      </c>
      <c r="X2046" s="16">
        <v>10</v>
      </c>
      <c r="Y2046" s="43" t="str">
        <f>HYPERLINK("https://api-enni.alpina.ru/FilePrivilegesApproval/1082","https://api-enni.alpina.ru/FilePrivilegesApproval/1082")</f>
        <v>https://api-enni.alpina.ru/FilePrivilegesApproval/1082</v>
      </c>
      <c r="Z2046" s="18"/>
      <c r="AS2046" s="1">
        <f>IF($A2046&lt;&gt;0,1,0)</f>
        <v>0</v>
      </c>
      <c r="AT2046" s="1">
        <f>$A2046*$B2046</f>
        <v>0</v>
      </c>
      <c r="AU2046" s="1">
        <f>$A2046*$O2046</f>
        <v>0</v>
      </c>
      <c r="AV2046" s="1">
        <f>IF($R2046=0,0,INT($A2046/$R2046))</f>
        <v>0</v>
      </c>
      <c r="AW2046" s="1">
        <f>$A2046-$AV2046*$R2046</f>
        <v>0</v>
      </c>
    </row>
    <row r="2047" ht="24.95" customHeight="1" outlineLevel="3" s="1" customFormat="1">
      <c r="A2047" s="15"/>
      <c r="B2047" s="16">
        <v>660</v>
      </c>
      <c r="C2047" s="16">
        <v>990</v>
      </c>
      <c r="D2047" s="16">
        <v>27175</v>
      </c>
      <c r="E2047" s="18"/>
      <c r="F2047" s="18" t="s">
        <v>302</v>
      </c>
      <c r="G2047" s="18" t="s">
        <v>6722</v>
      </c>
      <c r="H2047" s="18" t="s">
        <v>171</v>
      </c>
      <c r="I2047" s="18"/>
      <c r="J2047" s="16">
        <v>2025</v>
      </c>
      <c r="K2047" s="18" t="s">
        <v>6723</v>
      </c>
      <c r="L2047" s="16">
        <v>9785001398882</v>
      </c>
      <c r="M2047" s="18" t="s">
        <v>6724</v>
      </c>
      <c r="N2047" s="16">
        <v>288</v>
      </c>
      <c r="O2047" s="19">
        <v>0.33</v>
      </c>
      <c r="P2047" s="16">
        <v>140</v>
      </c>
      <c r="Q2047" s="16">
        <v>210</v>
      </c>
      <c r="R2047" s="16">
        <v>5</v>
      </c>
      <c r="S2047" s="18" t="s">
        <v>90</v>
      </c>
      <c r="T2047" s="18"/>
      <c r="U2047" s="17">
        <v>1000</v>
      </c>
      <c r="V2047" s="18" t="s">
        <v>77</v>
      </c>
      <c r="W2047" s="18" t="s">
        <v>69</v>
      </c>
      <c r="X2047" s="16">
        <v>10</v>
      </c>
      <c r="Y2047" s="43" t="str">
        <f>HYPERLINK("https://api-enni.alpina.ru/FilePrivilegesApproval/203","https://api-enni.alpina.ru/FilePrivilegesApproval/203")</f>
        <v>https://api-enni.alpina.ru/FilePrivilegesApproval/203</v>
      </c>
      <c r="Z2047" s="18"/>
      <c r="AS2047" s="1">
        <f>IF($A2047&lt;&gt;0,1,0)</f>
        <v>0</v>
      </c>
      <c r="AT2047" s="1">
        <f>$A2047*$B2047</f>
        <v>0</v>
      </c>
      <c r="AU2047" s="1">
        <f>$A2047*$O2047</f>
        <v>0</v>
      </c>
      <c r="AV2047" s="1">
        <f>IF($R2047=0,0,INT($A2047/$R2047))</f>
        <v>0</v>
      </c>
      <c r="AW2047" s="1">
        <f>$A2047-$AV2047*$R2047</f>
        <v>0</v>
      </c>
    </row>
    <row r="2048" ht="24.95" customHeight="1" outlineLevel="3" s="1" customFormat="1">
      <c r="A2048" s="15"/>
      <c r="B2048" s="16">
        <v>340</v>
      </c>
      <c r="C2048" s="16">
        <v>544</v>
      </c>
      <c r="D2048" s="16">
        <v>28169</v>
      </c>
      <c r="E2048" s="18"/>
      <c r="F2048" s="18" t="s">
        <v>6713</v>
      </c>
      <c r="G2048" s="18" t="s">
        <v>6725</v>
      </c>
      <c r="H2048" s="18" t="s">
        <v>171</v>
      </c>
      <c r="I2048" s="18"/>
      <c r="J2048" s="16">
        <v>2024</v>
      </c>
      <c r="K2048" s="18" t="s">
        <v>6726</v>
      </c>
      <c r="L2048" s="16">
        <v>9785002230877</v>
      </c>
      <c r="M2048" s="18" t="s">
        <v>6727</v>
      </c>
      <c r="N2048" s="16">
        <v>384</v>
      </c>
      <c r="O2048" s="19">
        <v>0.25</v>
      </c>
      <c r="P2048" s="16">
        <v>120</v>
      </c>
      <c r="Q2048" s="16">
        <v>170</v>
      </c>
      <c r="R2048" s="16">
        <v>4</v>
      </c>
      <c r="S2048" s="18" t="s">
        <v>190</v>
      </c>
      <c r="T2048" s="18" t="s">
        <v>6717</v>
      </c>
      <c r="U2048" s="17">
        <v>4000</v>
      </c>
      <c r="V2048" s="18" t="s">
        <v>44</v>
      </c>
      <c r="W2048" s="18" t="s">
        <v>45</v>
      </c>
      <c r="X2048" s="16">
        <v>10</v>
      </c>
      <c r="Y2048" s="43" t="str">
        <f>HYPERLINK("https://api-enni.alpina.ru/FilePrivilegesApproval/364","https://api-enni.alpina.ru/FilePrivilegesApproval/364")</f>
        <v>https://api-enni.alpina.ru/FilePrivilegesApproval/364</v>
      </c>
      <c r="Z2048" s="18"/>
      <c r="AS2048" s="1">
        <f>IF($A2048&lt;&gt;0,1,0)</f>
        <v>0</v>
      </c>
      <c r="AT2048" s="1">
        <f>$A2048*$B2048</f>
        <v>0</v>
      </c>
      <c r="AU2048" s="1">
        <f>$A2048*$O2048</f>
        <v>0</v>
      </c>
      <c r="AV2048" s="1">
        <f>IF($R2048=0,0,INT($A2048/$R2048))</f>
        <v>0</v>
      </c>
      <c r="AW2048" s="1">
        <f>$A2048-$AV2048*$R2048</f>
        <v>0</v>
      </c>
    </row>
    <row r="2049" ht="24.95" customHeight="1" outlineLevel="3" s="1" customFormat="1">
      <c r="A2049" s="15"/>
      <c r="B2049" s="16">
        <v>890</v>
      </c>
      <c r="C2049" s="17">
        <v>1246</v>
      </c>
      <c r="D2049" s="16">
        <v>31945</v>
      </c>
      <c r="E2049" s="18"/>
      <c r="F2049" s="18" t="s">
        <v>412</v>
      </c>
      <c r="G2049" s="18" t="s">
        <v>6728</v>
      </c>
      <c r="H2049" s="18" t="s">
        <v>171</v>
      </c>
      <c r="I2049" s="18"/>
      <c r="J2049" s="16">
        <v>2025</v>
      </c>
      <c r="K2049" s="18" t="s">
        <v>6729</v>
      </c>
      <c r="L2049" s="16">
        <v>9785002234530</v>
      </c>
      <c r="M2049" s="18" t="s">
        <v>6730</v>
      </c>
      <c r="N2049" s="16">
        <v>536</v>
      </c>
      <c r="O2049" s="19">
        <v>0.6</v>
      </c>
      <c r="P2049" s="16">
        <v>150</v>
      </c>
      <c r="Q2049" s="16">
        <v>220</v>
      </c>
      <c r="R2049" s="16">
        <v>4</v>
      </c>
      <c r="S2049" s="18" t="s">
        <v>43</v>
      </c>
      <c r="T2049" s="18"/>
      <c r="U2049" s="17">
        <v>20000</v>
      </c>
      <c r="V2049" s="18" t="s">
        <v>77</v>
      </c>
      <c r="W2049" s="18" t="s">
        <v>45</v>
      </c>
      <c r="X2049" s="16">
        <v>22</v>
      </c>
      <c r="Y2049" s="43" t="str">
        <f>HYPERLINK("https://api-enni.alpina.ru/FilePrivilegesApproval/802","https://api-enni.alpina.ru/FilePrivilegesApproval/802")</f>
        <v>https://api-enni.alpina.ru/FilePrivilegesApproval/802</v>
      </c>
      <c r="Z2049" s="18"/>
      <c r="AS2049" s="1">
        <f>IF($A2049&lt;&gt;0,1,0)</f>
        <v>0</v>
      </c>
      <c r="AT2049" s="1">
        <f>$A2049*$B2049</f>
        <v>0</v>
      </c>
      <c r="AU2049" s="1">
        <f>$A2049*$O2049</f>
        <v>0</v>
      </c>
      <c r="AV2049" s="1">
        <f>IF($R2049=0,0,INT($A2049/$R2049))</f>
        <v>0</v>
      </c>
      <c r="AW2049" s="1">
        <f>$A2049-$AV2049*$R2049</f>
        <v>0</v>
      </c>
    </row>
    <row r="2050" ht="21.95" customHeight="1" outlineLevel="3" s="1" customFormat="1">
      <c r="A2050" s="15"/>
      <c r="B2050" s="16">
        <v>712</v>
      </c>
      <c r="C2050" s="17">
        <v>1032</v>
      </c>
      <c r="D2050" s="16">
        <v>34825</v>
      </c>
      <c r="E2050" s="18"/>
      <c r="F2050" s="18" t="s">
        <v>382</v>
      </c>
      <c r="G2050" s="18" t="s">
        <v>6731</v>
      </c>
      <c r="H2050" s="18" t="s">
        <v>171</v>
      </c>
      <c r="I2050" s="18"/>
      <c r="J2050" s="16">
        <v>2026</v>
      </c>
      <c r="K2050" s="18" t="s">
        <v>6732</v>
      </c>
      <c r="L2050" s="16">
        <v>9785002237012</v>
      </c>
      <c r="M2050" s="18" t="s">
        <v>6733</v>
      </c>
      <c r="N2050" s="16">
        <v>392</v>
      </c>
      <c r="O2050" s="19">
        <v>0.46</v>
      </c>
      <c r="P2050" s="16">
        <v>150</v>
      </c>
      <c r="Q2050" s="16">
        <v>220</v>
      </c>
      <c r="R2050" s="16">
        <v>10</v>
      </c>
      <c r="S2050" s="18" t="s">
        <v>43</v>
      </c>
      <c r="T2050" s="18"/>
      <c r="U2050" s="17">
        <v>2000</v>
      </c>
      <c r="V2050" s="18" t="s">
        <v>77</v>
      </c>
      <c r="W2050" s="18" t="s">
        <v>45</v>
      </c>
      <c r="X2050" s="16">
        <v>22</v>
      </c>
      <c r="Y2050" s="43" t="str">
        <f>HYPERLINK("","")</f>
      </c>
      <c r="Z2050" s="18"/>
      <c r="AS2050" s="1">
        <f>IF($A2050&lt;&gt;0,1,0)</f>
        <v>0</v>
      </c>
      <c r="AT2050" s="1">
        <f>$A2050*$B2050</f>
        <v>0</v>
      </c>
      <c r="AU2050" s="1">
        <f>$A2050*$O2050</f>
        <v>0</v>
      </c>
      <c r="AV2050" s="1">
        <f>IF($R2050=0,0,INT($A2050/$R2050))</f>
        <v>0</v>
      </c>
      <c r="AW2050" s="1">
        <f>$A2050-$AV2050*$R2050</f>
        <v>0</v>
      </c>
    </row>
    <row r="2051" ht="24.95" customHeight="1" outlineLevel="3" s="1" customFormat="1">
      <c r="A2051" s="15"/>
      <c r="B2051" s="16">
        <v>651</v>
      </c>
      <c r="C2051" s="16">
        <v>976</v>
      </c>
      <c r="D2051" s="16">
        <v>28652</v>
      </c>
      <c r="E2051" s="18"/>
      <c r="F2051" s="18" t="s">
        <v>6734</v>
      </c>
      <c r="G2051" s="18" t="s">
        <v>6735</v>
      </c>
      <c r="H2051" s="18" t="s">
        <v>171</v>
      </c>
      <c r="I2051" s="18"/>
      <c r="J2051" s="16">
        <v>2025</v>
      </c>
      <c r="K2051" s="18" t="s">
        <v>6736</v>
      </c>
      <c r="L2051" s="16">
        <v>9785002230426</v>
      </c>
      <c r="M2051" s="18" t="s">
        <v>6737</v>
      </c>
      <c r="N2051" s="16">
        <v>264</v>
      </c>
      <c r="O2051" s="19">
        <v>0.29</v>
      </c>
      <c r="P2051" s="16">
        <v>140</v>
      </c>
      <c r="Q2051" s="16">
        <v>210</v>
      </c>
      <c r="R2051" s="16">
        <v>12</v>
      </c>
      <c r="S2051" s="18" t="s">
        <v>90</v>
      </c>
      <c r="T2051" s="18"/>
      <c r="U2051" s="17">
        <v>1500</v>
      </c>
      <c r="V2051" s="18" t="s">
        <v>77</v>
      </c>
      <c r="W2051" s="18" t="s">
        <v>45</v>
      </c>
      <c r="X2051" s="16">
        <v>22</v>
      </c>
      <c r="Y2051" s="43" t="str">
        <f>HYPERLINK("https://api-enni.alpina.ru/FilePrivilegesApproval/338","https://api-enni.alpina.ru/FilePrivilegesApproval/338")</f>
        <v>https://api-enni.alpina.ru/FilePrivilegesApproval/338</v>
      </c>
      <c r="Z2051" s="18"/>
      <c r="AS2051" s="1">
        <f>IF($A2051&lt;&gt;0,1,0)</f>
        <v>0</v>
      </c>
      <c r="AT2051" s="1">
        <f>$A2051*$B2051</f>
        <v>0</v>
      </c>
      <c r="AU2051" s="1">
        <f>$A2051*$O2051</f>
        <v>0</v>
      </c>
      <c r="AV2051" s="1">
        <f>IF($R2051=0,0,INT($A2051/$R2051))</f>
        <v>0</v>
      </c>
      <c r="AW2051" s="1">
        <f>$A2051-$AV2051*$R2051</f>
        <v>0</v>
      </c>
    </row>
    <row r="2052" ht="24.95" customHeight="1" outlineLevel="3" s="1" customFormat="1">
      <c r="A2052" s="25"/>
      <c r="B2052" s="29">
        <v>1490</v>
      </c>
      <c r="C2052" s="29">
        <v>2012</v>
      </c>
      <c r="D2052" s="26">
        <v>26796</v>
      </c>
      <c r="E2052" s="27"/>
      <c r="F2052" s="27" t="s">
        <v>541</v>
      </c>
      <c r="G2052" s="27" t="s">
        <v>542</v>
      </c>
      <c r="H2052" s="27" t="s">
        <v>171</v>
      </c>
      <c r="I2052" s="27"/>
      <c r="J2052" s="26">
        <v>2026</v>
      </c>
      <c r="K2052" s="27" t="s">
        <v>543</v>
      </c>
      <c r="L2052" s="26">
        <v>9785001398394</v>
      </c>
      <c r="M2052" s="27" t="s">
        <v>544</v>
      </c>
      <c r="N2052" s="26">
        <v>872</v>
      </c>
      <c r="O2052" s="28">
        <v>1.1</v>
      </c>
      <c r="P2052" s="26">
        <v>150</v>
      </c>
      <c r="Q2052" s="26">
        <v>220</v>
      </c>
      <c r="R2052" s="26">
        <v>6</v>
      </c>
      <c r="S2052" s="27" t="s">
        <v>43</v>
      </c>
      <c r="T2052" s="27"/>
      <c r="U2052" s="29">
        <v>3000</v>
      </c>
      <c r="V2052" s="27" t="s">
        <v>77</v>
      </c>
      <c r="W2052" s="27" t="s">
        <v>45</v>
      </c>
      <c r="X2052" s="26">
        <v>10</v>
      </c>
      <c r="Y2052" s="45" t="str">
        <f>HYPERLINK("https://api-enni.alpina.ru/FilePrivilegesApproval/147","https://api-enni.alpina.ru/FilePrivilegesApproval/147")</f>
        <v>https://api-enni.alpina.ru/FilePrivilegesApproval/147</v>
      </c>
      <c r="Z2052" s="27" t="s">
        <v>545</v>
      </c>
      <c r="AS2052" s="1">
        <f>IF($A2052&lt;&gt;0,1,0)</f>
        <v>0</v>
      </c>
      <c r="AT2052" s="1">
        <f>$A2052*$B2052</f>
        <v>0</v>
      </c>
      <c r="AU2052" s="1">
        <f>$A2052*$O2052</f>
        <v>0</v>
      </c>
      <c r="AV2052" s="1">
        <f>IF($R2052=0,0,INT($A2052/$R2052))</f>
        <v>0</v>
      </c>
      <c r="AW2052" s="1">
        <f>$A2052-$AV2052*$R2052</f>
        <v>0</v>
      </c>
    </row>
    <row r="2053" ht="24.95" customHeight="1" outlineLevel="3" s="1" customFormat="1">
      <c r="A2053" s="15"/>
      <c r="B2053" s="17">
        <v>1090</v>
      </c>
      <c r="C2053" s="17">
        <v>1472</v>
      </c>
      <c r="D2053" s="16">
        <v>28163</v>
      </c>
      <c r="E2053" s="18"/>
      <c r="F2053" s="18" t="s">
        <v>6738</v>
      </c>
      <c r="G2053" s="18" t="s">
        <v>6739</v>
      </c>
      <c r="H2053" s="18" t="s">
        <v>171</v>
      </c>
      <c r="I2053" s="18"/>
      <c r="J2053" s="16">
        <v>2026</v>
      </c>
      <c r="K2053" s="18" t="s">
        <v>6740</v>
      </c>
      <c r="L2053" s="16">
        <v>9785002230730</v>
      </c>
      <c r="M2053" s="18" t="s">
        <v>6741</v>
      </c>
      <c r="N2053" s="16">
        <v>576</v>
      </c>
      <c r="O2053" s="19">
        <v>0.62</v>
      </c>
      <c r="P2053" s="16">
        <v>150</v>
      </c>
      <c r="Q2053" s="16">
        <v>220</v>
      </c>
      <c r="R2053" s="16">
        <v>5</v>
      </c>
      <c r="S2053" s="18" t="s">
        <v>43</v>
      </c>
      <c r="T2053" s="18"/>
      <c r="U2053" s="17">
        <v>1000</v>
      </c>
      <c r="V2053" s="18" t="s">
        <v>77</v>
      </c>
      <c r="W2053" s="18" t="s">
        <v>45</v>
      </c>
      <c r="X2053" s="16">
        <v>10</v>
      </c>
      <c r="Y2053" s="43" t="str">
        <f>HYPERLINK("https://api-enni.alpina.ru/FilePrivilegesApproval/364","https://api-enni.alpina.ru/FilePrivilegesApproval/364")</f>
        <v>https://api-enni.alpina.ru/FilePrivilegesApproval/364</v>
      </c>
      <c r="Z2053" s="18" t="s">
        <v>46</v>
      </c>
      <c r="AS2053" s="1">
        <f>IF($A2053&lt;&gt;0,1,0)</f>
        <v>0</v>
      </c>
      <c r="AT2053" s="1">
        <f>$A2053*$B2053</f>
        <v>0</v>
      </c>
      <c r="AU2053" s="1">
        <f>$A2053*$O2053</f>
        <v>0</v>
      </c>
      <c r="AV2053" s="1">
        <f>IF($R2053=0,0,INT($A2053/$R2053))</f>
        <v>0</v>
      </c>
      <c r="AW2053" s="1">
        <f>$A2053-$AV2053*$R2053</f>
        <v>0</v>
      </c>
    </row>
    <row r="2054" ht="24.95" customHeight="1" outlineLevel="3" s="1" customFormat="1">
      <c r="A2054" s="15"/>
      <c r="B2054" s="16">
        <v>540</v>
      </c>
      <c r="C2054" s="16">
        <v>837</v>
      </c>
      <c r="D2054" s="16">
        <v>26620</v>
      </c>
      <c r="E2054" s="18"/>
      <c r="F2054" s="18" t="s">
        <v>6742</v>
      </c>
      <c r="G2054" s="18" t="s">
        <v>6743</v>
      </c>
      <c r="H2054" s="18" t="s">
        <v>171</v>
      </c>
      <c r="I2054" s="18"/>
      <c r="J2054" s="16">
        <v>2024</v>
      </c>
      <c r="K2054" s="18" t="s">
        <v>6744</v>
      </c>
      <c r="L2054" s="16">
        <v>9785001397960</v>
      </c>
      <c r="M2054" s="18" t="s">
        <v>6745</v>
      </c>
      <c r="N2054" s="16">
        <v>312</v>
      </c>
      <c r="O2054" s="19">
        <v>0.3</v>
      </c>
      <c r="P2054" s="16">
        <v>140</v>
      </c>
      <c r="Q2054" s="16">
        <v>210</v>
      </c>
      <c r="R2054" s="16">
        <v>4</v>
      </c>
      <c r="S2054" s="18" t="s">
        <v>43</v>
      </c>
      <c r="T2054" s="18"/>
      <c r="U2054" s="17">
        <v>1000</v>
      </c>
      <c r="V2054" s="18" t="s">
        <v>44</v>
      </c>
      <c r="W2054" s="18" t="s">
        <v>45</v>
      </c>
      <c r="X2054" s="16">
        <v>10</v>
      </c>
      <c r="Y2054" s="43" t="str">
        <f>HYPERLINK("https://api-enni.alpina.ru/FilePrivilegesApproval/171","https://api-enni.alpina.ru/FilePrivilegesApproval/171")</f>
        <v>https://api-enni.alpina.ru/FilePrivilegesApproval/171</v>
      </c>
      <c r="Z2054" s="18"/>
      <c r="AS2054" s="1">
        <f>IF($A2054&lt;&gt;0,1,0)</f>
        <v>0</v>
      </c>
      <c r="AT2054" s="1">
        <f>$A2054*$B2054</f>
        <v>0</v>
      </c>
      <c r="AU2054" s="1">
        <f>$A2054*$O2054</f>
        <v>0</v>
      </c>
      <c r="AV2054" s="1">
        <f>IF($R2054=0,0,INT($A2054/$R2054))</f>
        <v>0</v>
      </c>
      <c r="AW2054" s="1">
        <f>$A2054-$AV2054*$R2054</f>
        <v>0</v>
      </c>
    </row>
    <row r="2055" ht="24.95" customHeight="1" outlineLevel="3" s="1" customFormat="1">
      <c r="A2055" s="15"/>
      <c r="B2055" s="16">
        <v>840</v>
      </c>
      <c r="C2055" s="17">
        <v>1218</v>
      </c>
      <c r="D2055" s="16">
        <v>26093</v>
      </c>
      <c r="E2055" s="18"/>
      <c r="F2055" s="18" t="s">
        <v>541</v>
      </c>
      <c r="G2055" s="18" t="s">
        <v>6746</v>
      </c>
      <c r="H2055" s="18" t="s">
        <v>171</v>
      </c>
      <c r="I2055" s="18"/>
      <c r="J2055" s="16">
        <v>2026</v>
      </c>
      <c r="K2055" s="18" t="s">
        <v>6747</v>
      </c>
      <c r="L2055" s="16">
        <v>9785001397373</v>
      </c>
      <c r="M2055" s="18" t="s">
        <v>6748</v>
      </c>
      <c r="N2055" s="16">
        <v>344</v>
      </c>
      <c r="O2055" s="19">
        <v>0.5</v>
      </c>
      <c r="P2055" s="16">
        <v>150</v>
      </c>
      <c r="Q2055" s="16">
        <v>220</v>
      </c>
      <c r="R2055" s="16">
        <v>10</v>
      </c>
      <c r="S2055" s="18" t="s">
        <v>43</v>
      </c>
      <c r="T2055" s="18"/>
      <c r="U2055" s="17">
        <v>1000</v>
      </c>
      <c r="V2055" s="18" t="s">
        <v>77</v>
      </c>
      <c r="W2055" s="18" t="s">
        <v>69</v>
      </c>
      <c r="X2055" s="16">
        <v>10</v>
      </c>
      <c r="Y2055" s="43" t="str">
        <f>HYPERLINK("https://api-enni.alpina.ru/FilePrivilegesApproval/185","https://api-enni.alpina.ru/FilePrivilegesApproval/185")</f>
        <v>https://api-enni.alpina.ru/FilePrivilegesApproval/185</v>
      </c>
      <c r="Z2055" s="18" t="s">
        <v>410</v>
      </c>
      <c r="AS2055" s="1">
        <f>IF($A2055&lt;&gt;0,1,0)</f>
        <v>0</v>
      </c>
      <c r="AT2055" s="1">
        <f>$A2055*$B2055</f>
        <v>0</v>
      </c>
      <c r="AU2055" s="1">
        <f>$A2055*$O2055</f>
        <v>0</v>
      </c>
      <c r="AV2055" s="1">
        <f>IF($R2055=0,0,INT($A2055/$R2055))</f>
        <v>0</v>
      </c>
      <c r="AW2055" s="1">
        <f>$A2055-$AV2055*$R2055</f>
        <v>0</v>
      </c>
    </row>
    <row r="2056" ht="21.95" customHeight="1" outlineLevel="3" s="1" customFormat="1">
      <c r="A2056" s="15"/>
      <c r="B2056" s="16">
        <v>610</v>
      </c>
      <c r="C2056" s="16">
        <v>915</v>
      </c>
      <c r="D2056" s="16">
        <v>34740</v>
      </c>
      <c r="E2056" s="18"/>
      <c r="F2056" s="18" t="s">
        <v>6749</v>
      </c>
      <c r="G2056" s="18" t="s">
        <v>6750</v>
      </c>
      <c r="H2056" s="18" t="s">
        <v>171</v>
      </c>
      <c r="I2056" s="18"/>
      <c r="J2056" s="16">
        <v>2026</v>
      </c>
      <c r="K2056" s="18" t="s">
        <v>6751</v>
      </c>
      <c r="L2056" s="16">
        <v>9785002236923</v>
      </c>
      <c r="M2056" s="18" t="s">
        <v>6752</v>
      </c>
      <c r="N2056" s="16">
        <v>256</v>
      </c>
      <c r="O2056" s="19">
        <v>0.29</v>
      </c>
      <c r="P2056" s="16">
        <v>130</v>
      </c>
      <c r="Q2056" s="16">
        <v>210</v>
      </c>
      <c r="R2056" s="16">
        <v>12</v>
      </c>
      <c r="S2056" s="18" t="s">
        <v>90</v>
      </c>
      <c r="T2056" s="18"/>
      <c r="U2056" s="17">
        <v>2000</v>
      </c>
      <c r="V2056" s="18" t="s">
        <v>77</v>
      </c>
      <c r="W2056" s="18" t="s">
        <v>45</v>
      </c>
      <c r="X2056" s="16">
        <v>22</v>
      </c>
      <c r="Y2056" s="43" t="str">
        <f>HYPERLINK("","")</f>
      </c>
      <c r="Z2056" s="18"/>
      <c r="AS2056" s="1">
        <f>IF($A2056&lt;&gt;0,1,0)</f>
        <v>0</v>
      </c>
      <c r="AT2056" s="1">
        <f>$A2056*$B2056</f>
        <v>0</v>
      </c>
      <c r="AU2056" s="1">
        <f>$A2056*$O2056</f>
        <v>0</v>
      </c>
      <c r="AV2056" s="1">
        <f>IF($R2056=0,0,INT($A2056/$R2056))</f>
        <v>0</v>
      </c>
      <c r="AW2056" s="1">
        <f>$A2056-$AV2056*$R2056</f>
        <v>0</v>
      </c>
    </row>
    <row r="2057" ht="21.95" customHeight="1" outlineLevel="3" s="1" customFormat="1">
      <c r="A2057" s="15"/>
      <c r="B2057" s="16">
        <v>690</v>
      </c>
      <c r="C2057" s="17">
        <v>1035</v>
      </c>
      <c r="D2057" s="16">
        <v>29959</v>
      </c>
      <c r="E2057" s="18"/>
      <c r="F2057" s="18" t="s">
        <v>6753</v>
      </c>
      <c r="G2057" s="18" t="s">
        <v>6754</v>
      </c>
      <c r="H2057" s="18" t="s">
        <v>171</v>
      </c>
      <c r="I2057" s="18"/>
      <c r="J2057" s="16">
        <v>2024</v>
      </c>
      <c r="K2057" s="18" t="s">
        <v>6755</v>
      </c>
      <c r="L2057" s="16">
        <v>9785002232178</v>
      </c>
      <c r="M2057" s="18" t="s">
        <v>6756</v>
      </c>
      <c r="N2057" s="16">
        <v>254</v>
      </c>
      <c r="O2057" s="19">
        <v>0.27</v>
      </c>
      <c r="P2057" s="16">
        <v>130</v>
      </c>
      <c r="Q2057" s="16">
        <v>210</v>
      </c>
      <c r="R2057" s="16">
        <v>14</v>
      </c>
      <c r="S2057" s="18" t="s">
        <v>90</v>
      </c>
      <c r="T2057" s="18"/>
      <c r="U2057" s="17">
        <v>2500</v>
      </c>
      <c r="V2057" s="18" t="s">
        <v>77</v>
      </c>
      <c r="W2057" s="18" t="s">
        <v>45</v>
      </c>
      <c r="X2057" s="16">
        <v>22</v>
      </c>
      <c r="Y2057" s="43" t="str">
        <f>HYPERLINK("","")</f>
      </c>
      <c r="Z2057" s="18"/>
      <c r="AS2057" s="1">
        <f>IF($A2057&lt;&gt;0,1,0)</f>
        <v>0</v>
      </c>
      <c r="AT2057" s="1">
        <f>$A2057*$B2057</f>
        <v>0</v>
      </c>
      <c r="AU2057" s="1">
        <f>$A2057*$O2057</f>
        <v>0</v>
      </c>
      <c r="AV2057" s="1">
        <f>IF($R2057=0,0,INT($A2057/$R2057))</f>
        <v>0</v>
      </c>
      <c r="AW2057" s="1">
        <f>$A2057-$AV2057*$R2057</f>
        <v>0</v>
      </c>
    </row>
    <row r="2058" ht="21.95" customHeight="1" outlineLevel="3" s="1" customFormat="1">
      <c r="A2058" s="15"/>
      <c r="B2058" s="16">
        <v>790</v>
      </c>
      <c r="C2058" s="17">
        <v>1146</v>
      </c>
      <c r="D2058" s="16">
        <v>36083</v>
      </c>
      <c r="E2058" s="18"/>
      <c r="F2058" s="18" t="s">
        <v>6757</v>
      </c>
      <c r="G2058" s="18" t="s">
        <v>6758</v>
      </c>
      <c r="H2058" s="18" t="s">
        <v>171</v>
      </c>
      <c r="I2058" s="18"/>
      <c r="J2058" s="16">
        <v>2026</v>
      </c>
      <c r="K2058" s="18" t="s">
        <v>6759</v>
      </c>
      <c r="L2058" s="16">
        <v>9785002238286</v>
      </c>
      <c r="M2058" s="18" t="s">
        <v>6760</v>
      </c>
      <c r="N2058" s="16">
        <v>330</v>
      </c>
      <c r="O2058" s="19">
        <v>0.35</v>
      </c>
      <c r="P2058" s="16">
        <v>140</v>
      </c>
      <c r="Q2058" s="16">
        <v>210</v>
      </c>
      <c r="R2058" s="16">
        <v>10</v>
      </c>
      <c r="S2058" s="18" t="s">
        <v>90</v>
      </c>
      <c r="T2058" s="18"/>
      <c r="U2058" s="17">
        <v>2000</v>
      </c>
      <c r="V2058" s="18" t="s">
        <v>77</v>
      </c>
      <c r="W2058" s="18" t="s">
        <v>45</v>
      </c>
      <c r="X2058" s="16">
        <v>22</v>
      </c>
      <c r="Y2058" s="43" t="str">
        <f>HYPERLINK("","")</f>
      </c>
      <c r="Z2058" s="18" t="s">
        <v>1099</v>
      </c>
      <c r="AS2058" s="1">
        <f>IF($A2058&lt;&gt;0,1,0)</f>
        <v>0</v>
      </c>
      <c r="AT2058" s="1">
        <f>$A2058*$B2058</f>
        <v>0</v>
      </c>
      <c r="AU2058" s="1">
        <f>$A2058*$O2058</f>
        <v>0</v>
      </c>
      <c r="AV2058" s="1">
        <f>IF($R2058=0,0,INT($A2058/$R2058))</f>
        <v>0</v>
      </c>
      <c r="AW2058" s="1">
        <f>$A2058-$AV2058*$R2058</f>
        <v>0</v>
      </c>
    </row>
    <row r="2059" ht="24.95" customHeight="1" outlineLevel="3" s="1" customFormat="1">
      <c r="A2059" s="15"/>
      <c r="B2059" s="16">
        <v>702</v>
      </c>
      <c r="C2059" s="17">
        <v>1018</v>
      </c>
      <c r="D2059" s="16">
        <v>34058</v>
      </c>
      <c r="E2059" s="18"/>
      <c r="F2059" s="18" t="s">
        <v>6718</v>
      </c>
      <c r="G2059" s="18" t="s">
        <v>6761</v>
      </c>
      <c r="H2059" s="18" t="s">
        <v>171</v>
      </c>
      <c r="I2059" s="18"/>
      <c r="J2059" s="16">
        <v>2026</v>
      </c>
      <c r="K2059" s="18" t="s">
        <v>6762</v>
      </c>
      <c r="L2059" s="16">
        <v>9785002236251</v>
      </c>
      <c r="M2059" s="18" t="s">
        <v>6763</v>
      </c>
      <c r="N2059" s="16">
        <v>354</v>
      </c>
      <c r="O2059" s="19">
        <v>0.43</v>
      </c>
      <c r="P2059" s="16">
        <v>150</v>
      </c>
      <c r="Q2059" s="16">
        <v>220</v>
      </c>
      <c r="R2059" s="16">
        <v>12</v>
      </c>
      <c r="S2059" s="18" t="s">
        <v>43</v>
      </c>
      <c r="T2059" s="18"/>
      <c r="U2059" s="17">
        <v>2000</v>
      </c>
      <c r="V2059" s="18" t="s">
        <v>77</v>
      </c>
      <c r="W2059" s="18" t="s">
        <v>45</v>
      </c>
      <c r="X2059" s="16">
        <v>10</v>
      </c>
      <c r="Y2059" s="43" t="str">
        <f>HYPERLINK("https://api-enni.alpina.ru/FilePrivilegesApproval/1191","https://api-enni.alpina.ru/FilePrivilegesApproval/1191")</f>
        <v>https://api-enni.alpina.ru/FilePrivilegesApproval/1191</v>
      </c>
      <c r="Z2059" s="18" t="s">
        <v>753</v>
      </c>
      <c r="AS2059" s="1">
        <f>IF($A2059&lt;&gt;0,1,0)</f>
        <v>0</v>
      </c>
      <c r="AT2059" s="1">
        <f>$A2059*$B2059</f>
        <v>0</v>
      </c>
      <c r="AU2059" s="1">
        <f>$A2059*$O2059</f>
        <v>0</v>
      </c>
      <c r="AV2059" s="1">
        <f>IF($R2059=0,0,INT($A2059/$R2059))</f>
        <v>0</v>
      </c>
      <c r="AW2059" s="1">
        <f>$A2059-$AV2059*$R2059</f>
        <v>0</v>
      </c>
    </row>
    <row r="2060" ht="21.95" customHeight="1" outlineLevel="3" s="1" customFormat="1">
      <c r="A2060" s="15"/>
      <c r="B2060" s="16">
        <v>640</v>
      </c>
      <c r="C2060" s="16">
        <v>960</v>
      </c>
      <c r="D2060" s="16">
        <v>34514</v>
      </c>
      <c r="E2060" s="18"/>
      <c r="F2060" s="18" t="s">
        <v>6764</v>
      </c>
      <c r="G2060" s="18" t="s">
        <v>6765</v>
      </c>
      <c r="H2060" s="18" t="s">
        <v>171</v>
      </c>
      <c r="I2060" s="18"/>
      <c r="J2060" s="16">
        <v>2026</v>
      </c>
      <c r="K2060" s="18" t="s">
        <v>6766</v>
      </c>
      <c r="L2060" s="16">
        <v>9785002236718</v>
      </c>
      <c r="M2060" s="18" t="s">
        <v>6767</v>
      </c>
      <c r="N2060" s="16">
        <v>240</v>
      </c>
      <c r="O2060" s="19">
        <v>0.27</v>
      </c>
      <c r="P2060" s="16">
        <v>130</v>
      </c>
      <c r="Q2060" s="16">
        <v>210</v>
      </c>
      <c r="R2060" s="16">
        <v>14</v>
      </c>
      <c r="S2060" s="18" t="s">
        <v>90</v>
      </c>
      <c r="T2060" s="18"/>
      <c r="U2060" s="17">
        <v>2000</v>
      </c>
      <c r="V2060" s="18" t="s">
        <v>77</v>
      </c>
      <c r="W2060" s="18" t="s">
        <v>45</v>
      </c>
      <c r="X2060" s="16">
        <v>22</v>
      </c>
      <c r="Y2060" s="43" t="str">
        <f>HYPERLINK("","")</f>
      </c>
      <c r="Z2060" s="18"/>
      <c r="AS2060" s="1">
        <f>IF($A2060&lt;&gt;0,1,0)</f>
        <v>0</v>
      </c>
      <c r="AT2060" s="1">
        <f>$A2060*$B2060</f>
        <v>0</v>
      </c>
      <c r="AU2060" s="1">
        <f>$A2060*$O2060</f>
        <v>0</v>
      </c>
      <c r="AV2060" s="1">
        <f>IF($R2060=0,0,INT($A2060/$R2060))</f>
        <v>0</v>
      </c>
      <c r="AW2060" s="1">
        <f>$A2060-$AV2060*$R2060</f>
        <v>0</v>
      </c>
    </row>
    <row r="2061" ht="21.95" customHeight="1" outlineLevel="3" s="1" customFormat="1">
      <c r="A2061" s="15"/>
      <c r="B2061" s="16">
        <v>549</v>
      </c>
      <c r="C2061" s="16">
        <v>851</v>
      </c>
      <c r="D2061" s="16">
        <v>26470</v>
      </c>
      <c r="E2061" s="18"/>
      <c r="F2061" s="18" t="s">
        <v>6768</v>
      </c>
      <c r="G2061" s="18" t="s">
        <v>6769</v>
      </c>
      <c r="H2061" s="18" t="s">
        <v>171</v>
      </c>
      <c r="I2061" s="18"/>
      <c r="J2061" s="16">
        <v>2023</v>
      </c>
      <c r="K2061" s="18" t="s">
        <v>6770</v>
      </c>
      <c r="L2061" s="16">
        <v>9785001397748</v>
      </c>
      <c r="M2061" s="18" t="s">
        <v>6771</v>
      </c>
      <c r="N2061" s="16">
        <v>320</v>
      </c>
      <c r="O2061" s="19">
        <v>0.3</v>
      </c>
      <c r="P2061" s="16">
        <v>130</v>
      </c>
      <c r="Q2061" s="16">
        <v>210</v>
      </c>
      <c r="R2061" s="16">
        <v>12</v>
      </c>
      <c r="S2061" s="18" t="s">
        <v>90</v>
      </c>
      <c r="T2061" s="18"/>
      <c r="U2061" s="17">
        <v>2000</v>
      </c>
      <c r="V2061" s="18" t="s">
        <v>77</v>
      </c>
      <c r="W2061" s="18" t="s">
        <v>45</v>
      </c>
      <c r="X2061" s="16">
        <v>22</v>
      </c>
      <c r="Y2061" s="43" t="str">
        <f>HYPERLINK("","")</f>
      </c>
      <c r="Z2061" s="18"/>
      <c r="AS2061" s="1">
        <f>IF($A2061&lt;&gt;0,1,0)</f>
        <v>0</v>
      </c>
      <c r="AT2061" s="1">
        <f>$A2061*$B2061</f>
        <v>0</v>
      </c>
      <c r="AU2061" s="1">
        <f>$A2061*$O2061</f>
        <v>0</v>
      </c>
      <c r="AV2061" s="1">
        <f>IF($R2061=0,0,INT($A2061/$R2061))</f>
        <v>0</v>
      </c>
      <c r="AW2061" s="1">
        <f>$A2061-$AV2061*$R2061</f>
        <v>0</v>
      </c>
    </row>
    <row r="2062" ht="24.95" customHeight="1" outlineLevel="3" s="1" customFormat="1">
      <c r="A2062" s="15"/>
      <c r="B2062" s="16">
        <v>890</v>
      </c>
      <c r="C2062" s="17">
        <v>1246</v>
      </c>
      <c r="D2062" s="16">
        <v>21198</v>
      </c>
      <c r="E2062" s="18"/>
      <c r="F2062" s="18" t="s">
        <v>412</v>
      </c>
      <c r="G2062" s="18" t="s">
        <v>6772</v>
      </c>
      <c r="H2062" s="18" t="s">
        <v>171</v>
      </c>
      <c r="I2062" s="18"/>
      <c r="J2062" s="16">
        <v>2026</v>
      </c>
      <c r="K2062" s="18" t="s">
        <v>6773</v>
      </c>
      <c r="L2062" s="16">
        <v>9785001395034</v>
      </c>
      <c r="M2062" s="18" t="s">
        <v>6774</v>
      </c>
      <c r="N2062" s="16">
        <v>399</v>
      </c>
      <c r="O2062" s="19">
        <v>0.51</v>
      </c>
      <c r="P2062" s="16">
        <v>144</v>
      </c>
      <c r="Q2062" s="16">
        <v>212</v>
      </c>
      <c r="R2062" s="16">
        <v>8</v>
      </c>
      <c r="S2062" s="18" t="s">
        <v>43</v>
      </c>
      <c r="T2062" s="18"/>
      <c r="U2062" s="17">
        <v>2000</v>
      </c>
      <c r="V2062" s="18" t="s">
        <v>77</v>
      </c>
      <c r="W2062" s="18" t="s">
        <v>45</v>
      </c>
      <c r="X2062" s="16">
        <v>10</v>
      </c>
      <c r="Y2062" s="43" t="str">
        <f>HYPERLINK("https://api-enni.alpina.ru/FilePrivilegesApproval/208","https://api-enni.alpina.ru/FilePrivilegesApproval/208")</f>
        <v>https://api-enni.alpina.ru/FilePrivilegesApproval/208</v>
      </c>
      <c r="Z2062" s="18"/>
      <c r="AS2062" s="1">
        <f>IF($A2062&lt;&gt;0,1,0)</f>
        <v>0</v>
      </c>
      <c r="AT2062" s="1">
        <f>$A2062*$B2062</f>
        <v>0</v>
      </c>
      <c r="AU2062" s="1">
        <f>$A2062*$O2062</f>
        <v>0</v>
      </c>
      <c r="AV2062" s="1">
        <f>IF($R2062=0,0,INT($A2062/$R2062))</f>
        <v>0</v>
      </c>
      <c r="AW2062" s="1">
        <f>$A2062-$AV2062*$R2062</f>
        <v>0</v>
      </c>
    </row>
    <row r="2063" ht="24.95" customHeight="1" outlineLevel="3" s="1" customFormat="1">
      <c r="A2063" s="15"/>
      <c r="B2063" s="16">
        <v>600</v>
      </c>
      <c r="C2063" s="16">
        <v>900</v>
      </c>
      <c r="D2063" s="16">
        <v>27722</v>
      </c>
      <c r="E2063" s="18"/>
      <c r="F2063" s="18" t="s">
        <v>412</v>
      </c>
      <c r="G2063" s="18" t="s">
        <v>6775</v>
      </c>
      <c r="H2063" s="18" t="s">
        <v>171</v>
      </c>
      <c r="I2063" s="18"/>
      <c r="J2063" s="16">
        <v>2026</v>
      </c>
      <c r="K2063" s="18" t="s">
        <v>6776</v>
      </c>
      <c r="L2063" s="16">
        <v>9785001399483</v>
      </c>
      <c r="M2063" s="18" t="s">
        <v>6777</v>
      </c>
      <c r="N2063" s="16">
        <v>512</v>
      </c>
      <c r="O2063" s="19">
        <v>0.3</v>
      </c>
      <c r="P2063" s="16">
        <v>120</v>
      </c>
      <c r="Q2063" s="16">
        <v>170</v>
      </c>
      <c r="R2063" s="16">
        <v>10</v>
      </c>
      <c r="S2063" s="18" t="s">
        <v>190</v>
      </c>
      <c r="T2063" s="18" t="s">
        <v>6670</v>
      </c>
      <c r="U2063" s="17">
        <v>2000</v>
      </c>
      <c r="V2063" s="18" t="s">
        <v>44</v>
      </c>
      <c r="W2063" s="18" t="s">
        <v>45</v>
      </c>
      <c r="X2063" s="16">
        <v>10</v>
      </c>
      <c r="Y2063" s="43" t="str">
        <f>HYPERLINK("https://api-enni.alpina.ru/FilePrivilegesApproval/208","https://api-enni.alpina.ru/FilePrivilegesApproval/208")</f>
        <v>https://api-enni.alpina.ru/FilePrivilegesApproval/208</v>
      </c>
      <c r="Z2063" s="18"/>
      <c r="AS2063" s="1">
        <f>IF($A2063&lt;&gt;0,1,0)</f>
        <v>0</v>
      </c>
      <c r="AT2063" s="1">
        <f>$A2063*$B2063</f>
        <v>0</v>
      </c>
      <c r="AU2063" s="1">
        <f>$A2063*$O2063</f>
        <v>0</v>
      </c>
      <c r="AV2063" s="1">
        <f>IF($R2063=0,0,INT($A2063/$R2063))</f>
        <v>0</v>
      </c>
      <c r="AW2063" s="1">
        <f>$A2063-$AV2063*$R2063</f>
        <v>0</v>
      </c>
    </row>
    <row r="2064" ht="24.95" customHeight="1" outlineLevel="3" s="1" customFormat="1">
      <c r="A2064" s="15"/>
      <c r="B2064" s="16">
        <v>490</v>
      </c>
      <c r="C2064" s="16">
        <v>760</v>
      </c>
      <c r="D2064" s="16">
        <v>27063</v>
      </c>
      <c r="E2064" s="18"/>
      <c r="F2064" s="18" t="s">
        <v>6778</v>
      </c>
      <c r="G2064" s="18" t="s">
        <v>6779</v>
      </c>
      <c r="H2064" s="18" t="s">
        <v>171</v>
      </c>
      <c r="I2064" s="18"/>
      <c r="J2064" s="16">
        <v>2023</v>
      </c>
      <c r="K2064" s="18" t="s">
        <v>6780</v>
      </c>
      <c r="L2064" s="16">
        <v>9785001398639</v>
      </c>
      <c r="M2064" s="18" t="s">
        <v>6781</v>
      </c>
      <c r="N2064" s="16">
        <v>320</v>
      </c>
      <c r="O2064" s="19">
        <v>0.4</v>
      </c>
      <c r="P2064" s="16">
        <v>150</v>
      </c>
      <c r="Q2064" s="16">
        <v>210</v>
      </c>
      <c r="R2064" s="16">
        <v>12</v>
      </c>
      <c r="S2064" s="18" t="s">
        <v>43</v>
      </c>
      <c r="T2064" s="18"/>
      <c r="U2064" s="17">
        <v>1500</v>
      </c>
      <c r="V2064" s="18" t="s">
        <v>44</v>
      </c>
      <c r="W2064" s="18" t="s">
        <v>45</v>
      </c>
      <c r="X2064" s="16">
        <v>10</v>
      </c>
      <c r="Y2064" s="43" t="str">
        <f>HYPERLINK("https://api-enni.alpina.ru/FilePrivilegesApproval/279","https://api-enni.alpina.ru/FilePrivilegesApproval/279")</f>
        <v>https://api-enni.alpina.ru/FilePrivilegesApproval/279</v>
      </c>
      <c r="Z2064" s="18"/>
      <c r="AS2064" s="1">
        <f>IF($A2064&lt;&gt;0,1,0)</f>
        <v>0</v>
      </c>
      <c r="AT2064" s="1">
        <f>$A2064*$B2064</f>
        <v>0</v>
      </c>
      <c r="AU2064" s="1">
        <f>$A2064*$O2064</f>
        <v>0</v>
      </c>
      <c r="AV2064" s="1">
        <f>IF($R2064=0,0,INT($A2064/$R2064))</f>
        <v>0</v>
      </c>
      <c r="AW2064" s="1">
        <f>$A2064-$AV2064*$R2064</f>
        <v>0</v>
      </c>
    </row>
    <row r="2065" ht="24.95" customHeight="1" outlineLevel="3" s="1" customFormat="1">
      <c r="A2065" s="15"/>
      <c r="B2065" s="16">
        <v>640</v>
      </c>
      <c r="C2065" s="16">
        <v>960</v>
      </c>
      <c r="D2065" s="16">
        <v>29551</v>
      </c>
      <c r="E2065" s="18"/>
      <c r="F2065" s="18" t="s">
        <v>6782</v>
      </c>
      <c r="G2065" s="18" t="s">
        <v>6783</v>
      </c>
      <c r="H2065" s="18" t="s">
        <v>171</v>
      </c>
      <c r="I2065" s="18"/>
      <c r="J2065" s="16">
        <v>2024</v>
      </c>
      <c r="K2065" s="18" t="s">
        <v>6784</v>
      </c>
      <c r="L2065" s="16">
        <v>9785002231515</v>
      </c>
      <c r="M2065" s="18" t="s">
        <v>6785</v>
      </c>
      <c r="N2065" s="16">
        <v>176</v>
      </c>
      <c r="O2065" s="19">
        <v>0.15</v>
      </c>
      <c r="P2065" s="16">
        <v>130</v>
      </c>
      <c r="Q2065" s="16">
        <v>200</v>
      </c>
      <c r="R2065" s="16">
        <v>20</v>
      </c>
      <c r="S2065" s="18" t="s">
        <v>90</v>
      </c>
      <c r="T2065" s="18"/>
      <c r="U2065" s="17">
        <v>2000</v>
      </c>
      <c r="V2065" s="18" t="s">
        <v>44</v>
      </c>
      <c r="W2065" s="18" t="s">
        <v>45</v>
      </c>
      <c r="X2065" s="16">
        <v>22</v>
      </c>
      <c r="Y2065" s="43" t="str">
        <f>HYPERLINK("https://api-enni.alpina.ru/FilePrivilegesApproval/432","https://api-enni.alpina.ru/FilePrivilegesApproval/432")</f>
        <v>https://api-enni.alpina.ru/FilePrivilegesApproval/432</v>
      </c>
      <c r="Z2065" s="18"/>
      <c r="AS2065" s="1">
        <f>IF($A2065&lt;&gt;0,1,0)</f>
        <v>0</v>
      </c>
      <c r="AT2065" s="1">
        <f>$A2065*$B2065</f>
        <v>0</v>
      </c>
      <c r="AU2065" s="1">
        <f>$A2065*$O2065</f>
        <v>0</v>
      </c>
      <c r="AV2065" s="1">
        <f>IF($R2065=0,0,INT($A2065/$R2065))</f>
        <v>0</v>
      </c>
      <c r="AW2065" s="1">
        <f>$A2065-$AV2065*$R2065</f>
        <v>0</v>
      </c>
    </row>
    <row r="2066" ht="24.95" customHeight="1" outlineLevel="3" s="1" customFormat="1">
      <c r="A2066" s="15"/>
      <c r="B2066" s="16">
        <v>640</v>
      </c>
      <c r="C2066" s="16">
        <v>960</v>
      </c>
      <c r="D2066" s="16">
        <v>31238</v>
      </c>
      <c r="E2066" s="18"/>
      <c r="F2066" s="18" t="s">
        <v>6786</v>
      </c>
      <c r="G2066" s="18" t="s">
        <v>6787</v>
      </c>
      <c r="H2066" s="18" t="s">
        <v>171</v>
      </c>
      <c r="I2066" s="18"/>
      <c r="J2066" s="16">
        <v>2024</v>
      </c>
      <c r="K2066" s="18" t="s">
        <v>6788</v>
      </c>
      <c r="L2066" s="16">
        <v>9785002233588</v>
      </c>
      <c r="M2066" s="18" t="s">
        <v>6789</v>
      </c>
      <c r="N2066" s="16">
        <v>188</v>
      </c>
      <c r="O2066" s="19">
        <v>0.23</v>
      </c>
      <c r="P2066" s="16">
        <v>130</v>
      </c>
      <c r="Q2066" s="16">
        <v>210</v>
      </c>
      <c r="R2066" s="16">
        <v>20</v>
      </c>
      <c r="S2066" s="18" t="s">
        <v>90</v>
      </c>
      <c r="T2066" s="18"/>
      <c r="U2066" s="17">
        <v>1500</v>
      </c>
      <c r="V2066" s="18" t="s">
        <v>77</v>
      </c>
      <c r="W2066" s="18" t="s">
        <v>69</v>
      </c>
      <c r="X2066" s="16">
        <v>10</v>
      </c>
      <c r="Y2066" s="43" t="str">
        <f>HYPERLINK("https://api-enni.alpina.ru/FilePrivilegesApproval/763","https://api-enni.alpina.ru/FilePrivilegesApproval/763")</f>
        <v>https://api-enni.alpina.ru/FilePrivilegesApproval/763</v>
      </c>
      <c r="Z2066" s="18"/>
      <c r="AS2066" s="1">
        <f>IF($A2066&lt;&gt;0,1,0)</f>
        <v>0</v>
      </c>
      <c r="AT2066" s="1">
        <f>$A2066*$B2066</f>
        <v>0</v>
      </c>
      <c r="AU2066" s="1">
        <f>$A2066*$O2066</f>
        <v>0</v>
      </c>
      <c r="AV2066" s="1">
        <f>IF($R2066=0,0,INT($A2066/$R2066))</f>
        <v>0</v>
      </c>
      <c r="AW2066" s="1">
        <f>$A2066-$AV2066*$R2066</f>
        <v>0</v>
      </c>
    </row>
    <row r="2067" ht="24.95" customHeight="1" outlineLevel="3" s="1" customFormat="1">
      <c r="A2067" s="15"/>
      <c r="B2067" s="16">
        <v>840</v>
      </c>
      <c r="C2067" s="17">
        <v>1218</v>
      </c>
      <c r="D2067" s="16">
        <v>32968</v>
      </c>
      <c r="E2067" s="18"/>
      <c r="F2067" s="18" t="s">
        <v>6790</v>
      </c>
      <c r="G2067" s="18" t="s">
        <v>6791</v>
      </c>
      <c r="H2067" s="18" t="s">
        <v>171</v>
      </c>
      <c r="I2067" s="18"/>
      <c r="J2067" s="16">
        <v>2026</v>
      </c>
      <c r="K2067" s="18" t="s">
        <v>6792</v>
      </c>
      <c r="L2067" s="16">
        <v>9785002235315</v>
      </c>
      <c r="M2067" s="18" t="s">
        <v>6793</v>
      </c>
      <c r="N2067" s="16">
        <v>526</v>
      </c>
      <c r="O2067" s="19">
        <v>0.6</v>
      </c>
      <c r="P2067" s="16">
        <v>150</v>
      </c>
      <c r="Q2067" s="16">
        <v>220</v>
      </c>
      <c r="R2067" s="16">
        <v>8</v>
      </c>
      <c r="S2067" s="18" t="s">
        <v>43</v>
      </c>
      <c r="T2067" s="18"/>
      <c r="U2067" s="17">
        <v>2000</v>
      </c>
      <c r="V2067" s="18" t="s">
        <v>77</v>
      </c>
      <c r="W2067" s="18" t="s">
        <v>45</v>
      </c>
      <c r="X2067" s="16">
        <v>10</v>
      </c>
      <c r="Y2067" s="43" t="str">
        <f>HYPERLINK("https://api-enni.alpina.ru/FilePrivilegesApproval/1006","https://api-enni.alpina.ru/FilePrivilegesApproval/1006")</f>
        <v>https://api-enni.alpina.ru/FilePrivilegesApproval/1006</v>
      </c>
      <c r="Z2067" s="18"/>
      <c r="AS2067" s="1">
        <f>IF($A2067&lt;&gt;0,1,0)</f>
        <v>0</v>
      </c>
      <c r="AT2067" s="1">
        <f>$A2067*$B2067</f>
        <v>0</v>
      </c>
      <c r="AU2067" s="1">
        <f>$A2067*$O2067</f>
        <v>0</v>
      </c>
      <c r="AV2067" s="1">
        <f>IF($R2067=0,0,INT($A2067/$R2067))</f>
        <v>0</v>
      </c>
      <c r="AW2067" s="1">
        <f>$A2067-$AV2067*$R2067</f>
        <v>0</v>
      </c>
    </row>
    <row r="2068" ht="24.95" customHeight="1" outlineLevel="3" s="1" customFormat="1">
      <c r="A2068" s="15"/>
      <c r="B2068" s="16">
        <v>690</v>
      </c>
      <c r="C2068" s="17">
        <v>1035</v>
      </c>
      <c r="D2068" s="16">
        <v>31116</v>
      </c>
      <c r="E2068" s="18"/>
      <c r="F2068" s="18" t="s">
        <v>6794</v>
      </c>
      <c r="G2068" s="18" t="s">
        <v>6795</v>
      </c>
      <c r="H2068" s="18" t="s">
        <v>171</v>
      </c>
      <c r="I2068" s="18"/>
      <c r="J2068" s="16">
        <v>2024</v>
      </c>
      <c r="K2068" s="18" t="s">
        <v>6796</v>
      </c>
      <c r="L2068" s="16">
        <v>9785002233380</v>
      </c>
      <c r="M2068" s="18" t="s">
        <v>6797</v>
      </c>
      <c r="N2068" s="16">
        <v>304</v>
      </c>
      <c r="O2068" s="19">
        <v>0.31</v>
      </c>
      <c r="P2068" s="16">
        <v>140</v>
      </c>
      <c r="Q2068" s="16">
        <v>210</v>
      </c>
      <c r="R2068" s="16">
        <v>12</v>
      </c>
      <c r="S2068" s="18" t="s">
        <v>90</v>
      </c>
      <c r="T2068" s="18"/>
      <c r="U2068" s="17">
        <v>2000</v>
      </c>
      <c r="V2068" s="18" t="s">
        <v>77</v>
      </c>
      <c r="W2068" s="18" t="s">
        <v>69</v>
      </c>
      <c r="X2068" s="16">
        <v>10</v>
      </c>
      <c r="Y2068" s="43" t="str">
        <f>HYPERLINK("https://api-enni.alpina.ru/FilePrivilegesApproval/714","https://api-enni.alpina.ru/FilePrivilegesApproval/714")</f>
        <v>https://api-enni.alpina.ru/FilePrivilegesApproval/714</v>
      </c>
      <c r="Z2068" s="18"/>
      <c r="AS2068" s="1">
        <f>IF($A2068&lt;&gt;0,1,0)</f>
        <v>0</v>
      </c>
      <c r="AT2068" s="1">
        <f>$A2068*$B2068</f>
        <v>0</v>
      </c>
      <c r="AU2068" s="1">
        <f>$A2068*$O2068</f>
        <v>0</v>
      </c>
      <c r="AV2068" s="1">
        <f>IF($R2068=0,0,INT($A2068/$R2068))</f>
        <v>0</v>
      </c>
      <c r="AW2068" s="1">
        <f>$A2068-$AV2068*$R2068</f>
        <v>0</v>
      </c>
    </row>
    <row r="2069" ht="21.95" customHeight="1" outlineLevel="3" s="1" customFormat="1">
      <c r="A2069" s="15"/>
      <c r="B2069" s="16">
        <v>651</v>
      </c>
      <c r="C2069" s="16">
        <v>976</v>
      </c>
      <c r="D2069" s="16">
        <v>31245</v>
      </c>
      <c r="E2069" s="18"/>
      <c r="F2069" s="18" t="s">
        <v>6798</v>
      </c>
      <c r="G2069" s="18" t="s">
        <v>6799</v>
      </c>
      <c r="H2069" s="18" t="s">
        <v>592</v>
      </c>
      <c r="I2069" s="18"/>
      <c r="J2069" s="16">
        <v>2024</v>
      </c>
      <c r="K2069" s="18" t="s">
        <v>6800</v>
      </c>
      <c r="L2069" s="16">
        <v>9786018115912</v>
      </c>
      <c r="M2069" s="18" t="s">
        <v>6801</v>
      </c>
      <c r="N2069" s="16">
        <v>292</v>
      </c>
      <c r="O2069" s="19">
        <v>0.45</v>
      </c>
      <c r="P2069" s="16">
        <v>150</v>
      </c>
      <c r="Q2069" s="16">
        <v>220</v>
      </c>
      <c r="R2069" s="16">
        <v>7</v>
      </c>
      <c r="S2069" s="18" t="s">
        <v>43</v>
      </c>
      <c r="T2069" s="18"/>
      <c r="U2069" s="17">
        <v>2000</v>
      </c>
      <c r="V2069" s="18" t="s">
        <v>77</v>
      </c>
      <c r="W2069" s="18" t="s">
        <v>69</v>
      </c>
      <c r="X2069" s="16">
        <v>22</v>
      </c>
      <c r="Y2069" s="43" t="str">
        <f>HYPERLINK("","")</f>
      </c>
      <c r="Z2069" s="18"/>
      <c r="AS2069" s="1">
        <f>IF($A2069&lt;&gt;0,1,0)</f>
        <v>0</v>
      </c>
      <c r="AT2069" s="1">
        <f>$A2069*$B2069</f>
        <v>0</v>
      </c>
      <c r="AU2069" s="1">
        <f>$A2069*$O2069</f>
        <v>0</v>
      </c>
      <c r="AV2069" s="1">
        <f>IF($R2069=0,0,INT($A2069/$R2069))</f>
        <v>0</v>
      </c>
      <c r="AW2069" s="1">
        <f>$A2069-$AV2069*$R2069</f>
        <v>0</v>
      </c>
    </row>
    <row r="2070" ht="21.95" customHeight="1" outlineLevel="3" s="1" customFormat="1">
      <c r="A2070" s="15"/>
      <c r="B2070" s="16">
        <v>790</v>
      </c>
      <c r="C2070" s="17">
        <v>1146</v>
      </c>
      <c r="D2070" s="16">
        <v>36936</v>
      </c>
      <c r="E2070" s="18"/>
      <c r="F2070" s="18" t="s">
        <v>6802</v>
      </c>
      <c r="G2070" s="18" t="s">
        <v>6803</v>
      </c>
      <c r="H2070" s="18" t="s">
        <v>171</v>
      </c>
      <c r="I2070" s="18"/>
      <c r="J2070" s="16">
        <v>2026</v>
      </c>
      <c r="K2070" s="18" t="s">
        <v>6804</v>
      </c>
      <c r="L2070" s="16">
        <v>9785002239221</v>
      </c>
      <c r="M2070" s="18" t="s">
        <v>6805</v>
      </c>
      <c r="N2070" s="16">
        <v>318</v>
      </c>
      <c r="O2070" s="19">
        <v>0.34</v>
      </c>
      <c r="P2070" s="16">
        <v>130</v>
      </c>
      <c r="Q2070" s="16">
        <v>210</v>
      </c>
      <c r="R2070" s="16">
        <v>10</v>
      </c>
      <c r="S2070" s="18" t="s">
        <v>90</v>
      </c>
      <c r="T2070" s="18"/>
      <c r="U2070" s="17">
        <v>2500</v>
      </c>
      <c r="V2070" s="18" t="s">
        <v>77</v>
      </c>
      <c r="W2070" s="18" t="s">
        <v>45</v>
      </c>
      <c r="X2070" s="16">
        <v>22</v>
      </c>
      <c r="Y2070" s="43" t="str">
        <f>HYPERLINK("","")</f>
      </c>
      <c r="Z2070" s="18" t="s">
        <v>744</v>
      </c>
      <c r="AS2070" s="1">
        <f>IF($A2070&lt;&gt;0,1,0)</f>
        <v>0</v>
      </c>
      <c r="AT2070" s="1">
        <f>$A2070*$B2070</f>
        <v>0</v>
      </c>
      <c r="AU2070" s="1">
        <f>$A2070*$O2070</f>
        <v>0</v>
      </c>
      <c r="AV2070" s="1">
        <f>IF($R2070=0,0,INT($A2070/$R2070))</f>
        <v>0</v>
      </c>
      <c r="AW2070" s="1">
        <f>$A2070-$AV2070*$R2070</f>
        <v>0</v>
      </c>
    </row>
    <row r="2071" ht="21.95" customHeight="1" outlineLevel="3" s="1" customFormat="1">
      <c r="A2071" s="15"/>
      <c r="B2071" s="16">
        <v>702</v>
      </c>
      <c r="C2071" s="17">
        <v>1018</v>
      </c>
      <c r="D2071" s="16">
        <v>32045</v>
      </c>
      <c r="E2071" s="18"/>
      <c r="F2071" s="18" t="s">
        <v>6806</v>
      </c>
      <c r="G2071" s="18" t="s">
        <v>6807</v>
      </c>
      <c r="H2071" s="18" t="s">
        <v>592</v>
      </c>
      <c r="I2071" s="18"/>
      <c r="J2071" s="16">
        <v>2024</v>
      </c>
      <c r="K2071" s="18" t="s">
        <v>6808</v>
      </c>
      <c r="L2071" s="16">
        <v>9786018210280</v>
      </c>
      <c r="M2071" s="18" t="s">
        <v>6809</v>
      </c>
      <c r="N2071" s="16">
        <v>176</v>
      </c>
      <c r="O2071" s="19">
        <v>0.32</v>
      </c>
      <c r="P2071" s="16">
        <v>150</v>
      </c>
      <c r="Q2071" s="16">
        <v>220</v>
      </c>
      <c r="R2071" s="16">
        <v>10</v>
      </c>
      <c r="S2071" s="18" t="s">
        <v>43</v>
      </c>
      <c r="T2071" s="18"/>
      <c r="U2071" s="17">
        <v>1000</v>
      </c>
      <c r="V2071" s="18" t="s">
        <v>77</v>
      </c>
      <c r="W2071" s="18" t="s">
        <v>69</v>
      </c>
      <c r="X2071" s="16">
        <v>22</v>
      </c>
      <c r="Y2071" s="43" t="str">
        <f>HYPERLINK("","")</f>
      </c>
      <c r="Z2071" s="18"/>
      <c r="AS2071" s="1">
        <f>IF($A2071&lt;&gt;0,1,0)</f>
        <v>0</v>
      </c>
      <c r="AT2071" s="1">
        <f>$A2071*$B2071</f>
        <v>0</v>
      </c>
      <c r="AU2071" s="1">
        <f>$A2071*$O2071</f>
        <v>0</v>
      </c>
      <c r="AV2071" s="1">
        <f>IF($R2071=0,0,INT($A2071/$R2071))</f>
        <v>0</v>
      </c>
      <c r="AW2071" s="1">
        <f>$A2071-$AV2071*$R2071</f>
        <v>0</v>
      </c>
    </row>
    <row r="2072" ht="21.95" customHeight="1" outlineLevel="3" s="1" customFormat="1">
      <c r="A2072" s="15"/>
      <c r="B2072" s="16">
        <v>740</v>
      </c>
      <c r="C2072" s="17">
        <v>1073</v>
      </c>
      <c r="D2072" s="16">
        <v>35893</v>
      </c>
      <c r="E2072" s="18"/>
      <c r="F2072" s="18" t="s">
        <v>6810</v>
      </c>
      <c r="G2072" s="18" t="s">
        <v>6811</v>
      </c>
      <c r="H2072" s="18" t="s">
        <v>171</v>
      </c>
      <c r="I2072" s="18"/>
      <c r="J2072" s="16">
        <v>2026</v>
      </c>
      <c r="K2072" s="18" t="s">
        <v>6812</v>
      </c>
      <c r="L2072" s="16">
        <v>9785002238095</v>
      </c>
      <c r="M2072" s="18" t="s">
        <v>6813</v>
      </c>
      <c r="N2072" s="16">
        <v>316</v>
      </c>
      <c r="O2072" s="19">
        <v>0.34</v>
      </c>
      <c r="P2072" s="16">
        <v>140</v>
      </c>
      <c r="Q2072" s="16">
        <v>210</v>
      </c>
      <c r="R2072" s="16">
        <v>10</v>
      </c>
      <c r="S2072" s="18" t="s">
        <v>90</v>
      </c>
      <c r="T2072" s="18"/>
      <c r="U2072" s="17">
        <v>1500</v>
      </c>
      <c r="V2072" s="18" t="s">
        <v>77</v>
      </c>
      <c r="W2072" s="18" t="s">
        <v>45</v>
      </c>
      <c r="X2072" s="16">
        <v>22</v>
      </c>
      <c r="Y2072" s="43" t="str">
        <f>HYPERLINK("","")</f>
      </c>
      <c r="Z2072" s="18" t="s">
        <v>1099</v>
      </c>
      <c r="AS2072" s="1">
        <f>IF($A2072&lt;&gt;0,1,0)</f>
        <v>0</v>
      </c>
      <c r="AT2072" s="1">
        <f>$A2072*$B2072</f>
        <v>0</v>
      </c>
      <c r="AU2072" s="1">
        <f>$A2072*$O2072</f>
        <v>0</v>
      </c>
      <c r="AV2072" s="1">
        <f>IF($R2072=0,0,INT($A2072/$R2072))</f>
        <v>0</v>
      </c>
      <c r="AW2072" s="1">
        <f>$A2072-$AV2072*$R2072</f>
        <v>0</v>
      </c>
    </row>
    <row r="2073" ht="24.95" customHeight="1" outlineLevel="3" s="1" customFormat="1">
      <c r="A2073" s="15"/>
      <c r="B2073" s="16">
        <v>600</v>
      </c>
      <c r="C2073" s="16">
        <v>900</v>
      </c>
      <c r="D2073" s="16">
        <v>29728</v>
      </c>
      <c r="E2073" s="18"/>
      <c r="F2073" s="18" t="s">
        <v>6814</v>
      </c>
      <c r="G2073" s="18" t="s">
        <v>6815</v>
      </c>
      <c r="H2073" s="18" t="s">
        <v>171</v>
      </c>
      <c r="I2073" s="18"/>
      <c r="J2073" s="16">
        <v>2024</v>
      </c>
      <c r="K2073" s="18" t="s">
        <v>6816</v>
      </c>
      <c r="L2073" s="16">
        <v>9785002231713</v>
      </c>
      <c r="M2073" s="18" t="s">
        <v>6817</v>
      </c>
      <c r="N2073" s="16">
        <v>248</v>
      </c>
      <c r="O2073" s="19">
        <v>0.29</v>
      </c>
      <c r="P2073" s="16">
        <v>130</v>
      </c>
      <c r="Q2073" s="16">
        <v>210</v>
      </c>
      <c r="R2073" s="16">
        <v>14</v>
      </c>
      <c r="S2073" s="18" t="s">
        <v>90</v>
      </c>
      <c r="T2073" s="18"/>
      <c r="U2073" s="17">
        <v>4000</v>
      </c>
      <c r="V2073" s="18" t="s">
        <v>77</v>
      </c>
      <c r="W2073" s="18" t="s">
        <v>45</v>
      </c>
      <c r="X2073" s="16">
        <v>22</v>
      </c>
      <c r="Y2073" s="43" t="str">
        <f>HYPERLINK("https://api-enni.alpina.ru/FilePrivilegesApproval/391","https://api-enni.alpina.ru/FilePrivilegesApproval/391")</f>
        <v>https://api-enni.alpina.ru/FilePrivilegesApproval/391</v>
      </c>
      <c r="Z2073" s="18"/>
      <c r="AS2073" s="1">
        <f>IF($A2073&lt;&gt;0,1,0)</f>
        <v>0</v>
      </c>
      <c r="AT2073" s="1">
        <f>$A2073*$B2073</f>
        <v>0</v>
      </c>
      <c r="AU2073" s="1">
        <f>$A2073*$O2073</f>
        <v>0</v>
      </c>
      <c r="AV2073" s="1">
        <f>IF($R2073=0,0,INT($A2073/$R2073))</f>
        <v>0</v>
      </c>
      <c r="AW2073" s="1">
        <f>$A2073-$AV2073*$R2073</f>
        <v>0</v>
      </c>
    </row>
    <row r="2074" ht="21.95" customHeight="1" outlineLevel="3" s="1" customFormat="1">
      <c r="A2074" s="25"/>
      <c r="B2074" s="29">
        <v>1616</v>
      </c>
      <c r="C2074" s="29">
        <v>2101</v>
      </c>
      <c r="D2074" s="26">
        <v>34008</v>
      </c>
      <c r="E2074" s="27"/>
      <c r="F2074" s="27" t="s">
        <v>590</v>
      </c>
      <c r="G2074" s="27" t="s">
        <v>6818</v>
      </c>
      <c r="H2074" s="27" t="s">
        <v>592</v>
      </c>
      <c r="I2074" s="27"/>
      <c r="J2074" s="26">
        <v>2025</v>
      </c>
      <c r="K2074" s="27" t="s">
        <v>6819</v>
      </c>
      <c r="L2074" s="26">
        <v>9786018225390</v>
      </c>
      <c r="M2074" s="27" t="s">
        <v>6820</v>
      </c>
      <c r="N2074" s="26">
        <v>356</v>
      </c>
      <c r="O2074" s="28">
        <v>0.54</v>
      </c>
      <c r="P2074" s="26">
        <v>150</v>
      </c>
      <c r="Q2074" s="26">
        <v>250</v>
      </c>
      <c r="R2074" s="26">
        <v>5</v>
      </c>
      <c r="S2074" s="27" t="s">
        <v>43</v>
      </c>
      <c r="T2074" s="27"/>
      <c r="U2074" s="29">
        <v>1000</v>
      </c>
      <c r="V2074" s="27" t="s">
        <v>77</v>
      </c>
      <c r="W2074" s="27" t="s">
        <v>69</v>
      </c>
      <c r="X2074" s="26">
        <v>22</v>
      </c>
      <c r="Y2074" s="45" t="str">
        <f>HYPERLINK("","")</f>
      </c>
      <c r="Z2074" s="27"/>
      <c r="AS2074" s="1">
        <f>IF($A2074&lt;&gt;0,1,0)</f>
        <v>0</v>
      </c>
      <c r="AT2074" s="1">
        <f>$A2074*$B2074</f>
        <v>0</v>
      </c>
      <c r="AU2074" s="1">
        <f>$A2074*$O2074</f>
        <v>0</v>
      </c>
      <c r="AV2074" s="1">
        <f>IF($R2074=0,0,INT($A2074/$R2074))</f>
        <v>0</v>
      </c>
      <c r="AW2074" s="1">
        <f>$A2074-$AV2074*$R2074</f>
        <v>0</v>
      </c>
    </row>
    <row r="2075" ht="21.95" customHeight="1" outlineLevel="3" s="1" customFormat="1">
      <c r="A2075" s="25"/>
      <c r="B2075" s="29">
        <v>1006</v>
      </c>
      <c r="C2075" s="29">
        <v>1358</v>
      </c>
      <c r="D2075" s="26">
        <v>35305</v>
      </c>
      <c r="E2075" s="27"/>
      <c r="F2075" s="27" t="s">
        <v>590</v>
      </c>
      <c r="G2075" s="27" t="s">
        <v>6821</v>
      </c>
      <c r="H2075" s="27" t="s">
        <v>592</v>
      </c>
      <c r="I2075" s="27"/>
      <c r="J2075" s="26">
        <v>2026</v>
      </c>
      <c r="K2075" s="27" t="s">
        <v>6822</v>
      </c>
      <c r="L2075" s="26">
        <v>9786018232299</v>
      </c>
      <c r="M2075" s="27" t="s">
        <v>6823</v>
      </c>
      <c r="N2075" s="26">
        <v>378</v>
      </c>
      <c r="O2075" s="28">
        <v>0.56</v>
      </c>
      <c r="P2075" s="26">
        <v>150</v>
      </c>
      <c r="Q2075" s="26">
        <v>220</v>
      </c>
      <c r="R2075" s="26">
        <v>8</v>
      </c>
      <c r="S2075" s="27" t="s">
        <v>43</v>
      </c>
      <c r="T2075" s="27"/>
      <c r="U2075" s="29">
        <v>1000</v>
      </c>
      <c r="V2075" s="27" t="s">
        <v>77</v>
      </c>
      <c r="W2075" s="27" t="s">
        <v>69</v>
      </c>
      <c r="X2075" s="26">
        <v>22</v>
      </c>
      <c r="Y2075" s="45" t="str">
        <f>HYPERLINK("","")</f>
      </c>
      <c r="Z2075" s="27"/>
      <c r="AS2075" s="1">
        <f>IF($A2075&lt;&gt;0,1,0)</f>
        <v>0</v>
      </c>
      <c r="AT2075" s="1">
        <f>$A2075*$B2075</f>
        <v>0</v>
      </c>
      <c r="AU2075" s="1">
        <f>$A2075*$O2075</f>
        <v>0</v>
      </c>
      <c r="AV2075" s="1">
        <f>IF($R2075=0,0,INT($A2075/$R2075))</f>
        <v>0</v>
      </c>
      <c r="AW2075" s="1">
        <f>$A2075-$AV2075*$R2075</f>
        <v>0</v>
      </c>
    </row>
    <row r="2076" ht="21.95" customHeight="1" outlineLevel="3" s="1" customFormat="1">
      <c r="A2076" s="15"/>
      <c r="B2076" s="17">
        <v>1006</v>
      </c>
      <c r="C2076" s="17">
        <v>1358</v>
      </c>
      <c r="D2076" s="16">
        <v>35306</v>
      </c>
      <c r="E2076" s="18"/>
      <c r="F2076" s="18" t="s">
        <v>590</v>
      </c>
      <c r="G2076" s="18" t="s">
        <v>6824</v>
      </c>
      <c r="H2076" s="18" t="s">
        <v>592</v>
      </c>
      <c r="I2076" s="18"/>
      <c r="J2076" s="16">
        <v>2026</v>
      </c>
      <c r="K2076" s="18" t="s">
        <v>6825</v>
      </c>
      <c r="L2076" s="16">
        <v>9786018233821</v>
      </c>
      <c r="M2076" s="18" t="s">
        <v>6826</v>
      </c>
      <c r="N2076" s="16">
        <v>392</v>
      </c>
      <c r="O2076" s="19">
        <v>0.57</v>
      </c>
      <c r="P2076" s="16">
        <v>150</v>
      </c>
      <c r="Q2076" s="16">
        <v>220</v>
      </c>
      <c r="R2076" s="16">
        <v>5</v>
      </c>
      <c r="S2076" s="18" t="s">
        <v>43</v>
      </c>
      <c r="T2076" s="18"/>
      <c r="U2076" s="17">
        <v>1000</v>
      </c>
      <c r="V2076" s="18" t="s">
        <v>77</v>
      </c>
      <c r="W2076" s="18" t="s">
        <v>45</v>
      </c>
      <c r="X2076" s="16">
        <v>22</v>
      </c>
      <c r="Y2076" s="43" t="str">
        <f>HYPERLINK("","")</f>
      </c>
      <c r="Z2076" s="18" t="s">
        <v>5629</v>
      </c>
      <c r="AS2076" s="1">
        <f>IF($A2076&lt;&gt;0,1,0)</f>
        <v>0</v>
      </c>
      <c r="AT2076" s="1">
        <f>$A2076*$B2076</f>
        <v>0</v>
      </c>
      <c r="AU2076" s="1">
        <f>$A2076*$O2076</f>
        <v>0</v>
      </c>
      <c r="AV2076" s="1">
        <f>IF($R2076=0,0,INT($A2076/$R2076))</f>
        <v>0</v>
      </c>
      <c r="AW2076" s="1">
        <f>$A2076-$AV2076*$R2076</f>
        <v>0</v>
      </c>
    </row>
    <row r="2077" ht="21.95" customHeight="1" outlineLevel="3" s="1" customFormat="1">
      <c r="A2077" s="25"/>
      <c r="B2077" s="29">
        <v>1006</v>
      </c>
      <c r="C2077" s="29">
        <v>1358</v>
      </c>
      <c r="D2077" s="26">
        <v>35312</v>
      </c>
      <c r="E2077" s="27"/>
      <c r="F2077" s="27" t="s">
        <v>590</v>
      </c>
      <c r="G2077" s="27" t="s">
        <v>6827</v>
      </c>
      <c r="H2077" s="27" t="s">
        <v>592</v>
      </c>
      <c r="I2077" s="27"/>
      <c r="J2077" s="26">
        <v>2026</v>
      </c>
      <c r="K2077" s="27" t="s">
        <v>6828</v>
      </c>
      <c r="L2077" s="26">
        <v>9786018233845</v>
      </c>
      <c r="M2077" s="27" t="s">
        <v>6829</v>
      </c>
      <c r="N2077" s="26">
        <v>640</v>
      </c>
      <c r="O2077" s="28">
        <v>0.86</v>
      </c>
      <c r="P2077" s="26">
        <v>150</v>
      </c>
      <c r="Q2077" s="26">
        <v>220</v>
      </c>
      <c r="R2077" s="26">
        <v>5</v>
      </c>
      <c r="S2077" s="27" t="s">
        <v>43</v>
      </c>
      <c r="T2077" s="27"/>
      <c r="U2077" s="29">
        <v>1000</v>
      </c>
      <c r="V2077" s="27" t="s">
        <v>77</v>
      </c>
      <c r="W2077" s="27" t="s">
        <v>45</v>
      </c>
      <c r="X2077" s="26">
        <v>22</v>
      </c>
      <c r="Y2077" s="45" t="str">
        <f>HYPERLINK("","")</f>
      </c>
      <c r="Z2077" s="27" t="s">
        <v>5629</v>
      </c>
      <c r="AS2077" s="1">
        <f>IF($A2077&lt;&gt;0,1,0)</f>
        <v>0</v>
      </c>
      <c r="AT2077" s="1">
        <f>$A2077*$B2077</f>
        <v>0</v>
      </c>
      <c r="AU2077" s="1">
        <f>$A2077*$O2077</f>
        <v>0</v>
      </c>
      <c r="AV2077" s="1">
        <f>IF($R2077=0,0,INT($A2077/$R2077))</f>
        <v>0</v>
      </c>
      <c r="AW2077" s="1">
        <f>$A2077-$AV2077*$R2077</f>
        <v>0</v>
      </c>
    </row>
    <row r="2078" ht="21.95" customHeight="1" outlineLevel="3" s="1" customFormat="1">
      <c r="A2078" s="15"/>
      <c r="B2078" s="16">
        <v>990</v>
      </c>
      <c r="C2078" s="17">
        <v>1386</v>
      </c>
      <c r="D2078" s="16">
        <v>35690</v>
      </c>
      <c r="E2078" s="18"/>
      <c r="F2078" s="18" t="s">
        <v>590</v>
      </c>
      <c r="G2078" s="18" t="s">
        <v>591</v>
      </c>
      <c r="H2078" s="18" t="s">
        <v>592</v>
      </c>
      <c r="I2078" s="18"/>
      <c r="J2078" s="16">
        <v>2026</v>
      </c>
      <c r="K2078" s="18" t="s">
        <v>593</v>
      </c>
      <c r="L2078" s="16">
        <v>9786018243554</v>
      </c>
      <c r="M2078" s="18" t="s">
        <v>594</v>
      </c>
      <c r="N2078" s="16">
        <v>512</v>
      </c>
      <c r="O2078" s="19">
        <v>0.71</v>
      </c>
      <c r="P2078" s="16">
        <v>150</v>
      </c>
      <c r="Q2078" s="16">
        <v>220</v>
      </c>
      <c r="R2078" s="16">
        <v>10</v>
      </c>
      <c r="S2078" s="18" t="s">
        <v>43</v>
      </c>
      <c r="T2078" s="18"/>
      <c r="U2078" s="17">
        <v>1000</v>
      </c>
      <c r="V2078" s="18" t="s">
        <v>77</v>
      </c>
      <c r="W2078" s="18" t="s">
        <v>45</v>
      </c>
      <c r="X2078" s="16">
        <v>22</v>
      </c>
      <c r="Y2078" s="43" t="str">
        <f>HYPERLINK("","")</f>
      </c>
      <c r="Z2078" s="18" t="s">
        <v>246</v>
      </c>
      <c r="AS2078" s="1">
        <f>IF($A2078&lt;&gt;0,1,0)</f>
        <v>0</v>
      </c>
      <c r="AT2078" s="1">
        <f>$A2078*$B2078</f>
        <v>0</v>
      </c>
      <c r="AU2078" s="1">
        <f>$A2078*$O2078</f>
        <v>0</v>
      </c>
      <c r="AV2078" s="1">
        <f>IF($R2078=0,0,INT($A2078/$R2078))</f>
        <v>0</v>
      </c>
      <c r="AW2078" s="1">
        <f>$A2078-$AV2078*$R2078</f>
        <v>0</v>
      </c>
    </row>
    <row r="2079" ht="21.95" customHeight="1" outlineLevel="3" s="1" customFormat="1">
      <c r="A2079" s="15"/>
      <c r="B2079" s="16">
        <v>990</v>
      </c>
      <c r="C2079" s="17">
        <v>1386</v>
      </c>
      <c r="D2079" s="16">
        <v>35691</v>
      </c>
      <c r="E2079" s="18"/>
      <c r="F2079" s="18" t="s">
        <v>590</v>
      </c>
      <c r="G2079" s="18" t="s">
        <v>595</v>
      </c>
      <c r="H2079" s="18" t="s">
        <v>592</v>
      </c>
      <c r="I2079" s="18"/>
      <c r="J2079" s="16">
        <v>2026</v>
      </c>
      <c r="K2079" s="18" t="s">
        <v>596</v>
      </c>
      <c r="L2079" s="16">
        <v>9786018243523</v>
      </c>
      <c r="M2079" s="18" t="s">
        <v>597</v>
      </c>
      <c r="N2079" s="16">
        <v>672</v>
      </c>
      <c r="O2079" s="19">
        <v>0.89</v>
      </c>
      <c r="P2079" s="16">
        <v>150</v>
      </c>
      <c r="Q2079" s="16">
        <v>220</v>
      </c>
      <c r="R2079" s="16">
        <v>4</v>
      </c>
      <c r="S2079" s="18" t="s">
        <v>43</v>
      </c>
      <c r="T2079" s="18"/>
      <c r="U2079" s="17">
        <v>1000</v>
      </c>
      <c r="V2079" s="18" t="s">
        <v>77</v>
      </c>
      <c r="W2079" s="18" t="s">
        <v>45</v>
      </c>
      <c r="X2079" s="16">
        <v>22</v>
      </c>
      <c r="Y2079" s="43" t="str">
        <f>HYPERLINK("","")</f>
      </c>
      <c r="Z2079" s="18" t="s">
        <v>46</v>
      </c>
      <c r="AS2079" s="1">
        <f>IF($A2079&lt;&gt;0,1,0)</f>
        <v>0</v>
      </c>
      <c r="AT2079" s="1">
        <f>$A2079*$B2079</f>
        <v>0</v>
      </c>
      <c r="AU2079" s="1">
        <f>$A2079*$O2079</f>
        <v>0</v>
      </c>
      <c r="AV2079" s="1">
        <f>IF($R2079=0,0,INT($A2079/$R2079))</f>
        <v>0</v>
      </c>
      <c r="AW2079" s="1">
        <f>$A2079-$AV2079*$R2079</f>
        <v>0</v>
      </c>
    </row>
    <row r="2080" ht="21.95" customHeight="1" outlineLevel="3" s="1" customFormat="1">
      <c r="A2080" s="15"/>
      <c r="B2080" s="17">
        <v>1362</v>
      </c>
      <c r="C2080" s="17">
        <v>1839</v>
      </c>
      <c r="D2080" s="16">
        <v>34261</v>
      </c>
      <c r="E2080" s="18"/>
      <c r="F2080" s="18" t="s">
        <v>590</v>
      </c>
      <c r="G2080" s="18" t="s">
        <v>6830</v>
      </c>
      <c r="H2080" s="18" t="s">
        <v>592</v>
      </c>
      <c r="I2080" s="18"/>
      <c r="J2080" s="16">
        <v>2025</v>
      </c>
      <c r="K2080" s="18" t="s">
        <v>6831</v>
      </c>
      <c r="L2080" s="16">
        <v>9786018227943</v>
      </c>
      <c r="M2080" s="18" t="s">
        <v>6832</v>
      </c>
      <c r="N2080" s="16">
        <v>462</v>
      </c>
      <c r="O2080" s="19">
        <v>0.65</v>
      </c>
      <c r="P2080" s="16">
        <v>150</v>
      </c>
      <c r="Q2080" s="16">
        <v>220</v>
      </c>
      <c r="R2080" s="16">
        <v>5</v>
      </c>
      <c r="S2080" s="18" t="s">
        <v>43</v>
      </c>
      <c r="T2080" s="18"/>
      <c r="U2080" s="17">
        <v>1000</v>
      </c>
      <c r="V2080" s="18" t="s">
        <v>77</v>
      </c>
      <c r="W2080" s="18" t="s">
        <v>69</v>
      </c>
      <c r="X2080" s="16">
        <v>22</v>
      </c>
      <c r="Y2080" s="43" t="str">
        <f>HYPERLINK("","")</f>
      </c>
      <c r="Z2080" s="18"/>
      <c r="AS2080" s="1">
        <f>IF($A2080&lt;&gt;0,1,0)</f>
        <v>0</v>
      </c>
      <c r="AT2080" s="1">
        <f>$A2080*$B2080</f>
        <v>0</v>
      </c>
      <c r="AU2080" s="1">
        <f>$A2080*$O2080</f>
        <v>0</v>
      </c>
      <c r="AV2080" s="1">
        <f>IF($R2080=0,0,INT($A2080/$R2080))</f>
        <v>0</v>
      </c>
      <c r="AW2080" s="1">
        <f>$A2080-$AV2080*$R2080</f>
        <v>0</v>
      </c>
    </row>
    <row r="2081" ht="21.95" customHeight="1" outlineLevel="3" s="1" customFormat="1">
      <c r="A2081" s="15"/>
      <c r="B2081" s="17">
        <v>1006</v>
      </c>
      <c r="C2081" s="17">
        <v>1358</v>
      </c>
      <c r="D2081" s="16">
        <v>34262</v>
      </c>
      <c r="E2081" s="18"/>
      <c r="F2081" s="18" t="s">
        <v>590</v>
      </c>
      <c r="G2081" s="18" t="s">
        <v>6833</v>
      </c>
      <c r="H2081" s="18" t="s">
        <v>592</v>
      </c>
      <c r="I2081" s="18"/>
      <c r="J2081" s="16">
        <v>2025</v>
      </c>
      <c r="K2081" s="18" t="s">
        <v>6834</v>
      </c>
      <c r="L2081" s="16">
        <v>9786018227998</v>
      </c>
      <c r="M2081" s="18" t="s">
        <v>6835</v>
      </c>
      <c r="N2081" s="16">
        <v>395</v>
      </c>
      <c r="O2081" s="19">
        <v>0.58</v>
      </c>
      <c r="P2081" s="16">
        <v>150</v>
      </c>
      <c r="Q2081" s="16">
        <v>220</v>
      </c>
      <c r="R2081" s="16">
        <v>4</v>
      </c>
      <c r="S2081" s="18" t="s">
        <v>43</v>
      </c>
      <c r="T2081" s="18"/>
      <c r="U2081" s="17">
        <v>1000</v>
      </c>
      <c r="V2081" s="18" t="s">
        <v>77</v>
      </c>
      <c r="W2081" s="18" t="s">
        <v>69</v>
      </c>
      <c r="X2081" s="16">
        <v>22</v>
      </c>
      <c r="Y2081" s="43" t="str">
        <f>HYPERLINK("","")</f>
      </c>
      <c r="Z2081" s="18"/>
      <c r="AS2081" s="1">
        <f>IF($A2081&lt;&gt;0,1,0)</f>
        <v>0</v>
      </c>
      <c r="AT2081" s="1">
        <f>$A2081*$B2081</f>
        <v>0</v>
      </c>
      <c r="AU2081" s="1">
        <f>$A2081*$O2081</f>
        <v>0</v>
      </c>
      <c r="AV2081" s="1">
        <f>IF($R2081=0,0,INT($A2081/$R2081))</f>
        <v>0</v>
      </c>
      <c r="AW2081" s="1">
        <f>$A2081-$AV2081*$R2081</f>
        <v>0</v>
      </c>
    </row>
    <row r="2082" ht="21.95" customHeight="1" outlineLevel="3" s="1" customFormat="1">
      <c r="A2082" s="15"/>
      <c r="B2082" s="17">
        <v>1006</v>
      </c>
      <c r="C2082" s="17">
        <v>1358</v>
      </c>
      <c r="D2082" s="16">
        <v>34263</v>
      </c>
      <c r="E2082" s="18"/>
      <c r="F2082" s="18" t="s">
        <v>590</v>
      </c>
      <c r="G2082" s="18" t="s">
        <v>6836</v>
      </c>
      <c r="H2082" s="18" t="s">
        <v>592</v>
      </c>
      <c r="I2082" s="18"/>
      <c r="J2082" s="16">
        <v>2025</v>
      </c>
      <c r="K2082" s="18" t="s">
        <v>6837</v>
      </c>
      <c r="L2082" s="16">
        <v>9786018227974</v>
      </c>
      <c r="M2082" s="18" t="s">
        <v>6838</v>
      </c>
      <c r="N2082" s="16">
        <v>361</v>
      </c>
      <c r="O2082" s="19">
        <v>0.54</v>
      </c>
      <c r="P2082" s="16">
        <v>150</v>
      </c>
      <c r="Q2082" s="16">
        <v>220</v>
      </c>
      <c r="R2082" s="16">
        <v>4</v>
      </c>
      <c r="S2082" s="18" t="s">
        <v>43</v>
      </c>
      <c r="T2082" s="18"/>
      <c r="U2082" s="17">
        <v>1000</v>
      </c>
      <c r="V2082" s="18" t="s">
        <v>77</v>
      </c>
      <c r="W2082" s="18" t="s">
        <v>45</v>
      </c>
      <c r="X2082" s="16">
        <v>22</v>
      </c>
      <c r="Y2082" s="43" t="str">
        <f>HYPERLINK("","")</f>
      </c>
      <c r="Z2082" s="18"/>
      <c r="AS2082" s="1">
        <f>IF($A2082&lt;&gt;0,1,0)</f>
        <v>0</v>
      </c>
      <c r="AT2082" s="1">
        <f>$A2082*$B2082</f>
        <v>0</v>
      </c>
      <c r="AU2082" s="1">
        <f>$A2082*$O2082</f>
        <v>0</v>
      </c>
      <c r="AV2082" s="1">
        <f>IF($R2082=0,0,INT($A2082/$R2082))</f>
        <v>0</v>
      </c>
      <c r="AW2082" s="1">
        <f>$A2082-$AV2082*$R2082</f>
        <v>0</v>
      </c>
    </row>
    <row r="2083" ht="21.95" customHeight="1" outlineLevel="3" s="1" customFormat="1">
      <c r="A2083" s="15"/>
      <c r="B2083" s="17">
        <v>1006</v>
      </c>
      <c r="C2083" s="17">
        <v>1358</v>
      </c>
      <c r="D2083" s="16">
        <v>34264</v>
      </c>
      <c r="E2083" s="18"/>
      <c r="F2083" s="18" t="s">
        <v>590</v>
      </c>
      <c r="G2083" s="18" t="s">
        <v>6839</v>
      </c>
      <c r="H2083" s="18" t="s">
        <v>592</v>
      </c>
      <c r="I2083" s="18"/>
      <c r="J2083" s="16">
        <v>2026</v>
      </c>
      <c r="K2083" s="18" t="s">
        <v>6840</v>
      </c>
      <c r="L2083" s="16">
        <v>9786018230547</v>
      </c>
      <c r="M2083" s="18" t="s">
        <v>6841</v>
      </c>
      <c r="N2083" s="16">
        <v>396</v>
      </c>
      <c r="O2083" s="19">
        <v>0.57</v>
      </c>
      <c r="P2083" s="16">
        <v>150</v>
      </c>
      <c r="Q2083" s="16">
        <v>220</v>
      </c>
      <c r="R2083" s="16">
        <v>5</v>
      </c>
      <c r="S2083" s="18" t="s">
        <v>43</v>
      </c>
      <c r="T2083" s="18"/>
      <c r="U2083" s="17">
        <v>1000</v>
      </c>
      <c r="V2083" s="18" t="s">
        <v>77</v>
      </c>
      <c r="W2083" s="18" t="s">
        <v>69</v>
      </c>
      <c r="X2083" s="16">
        <v>22</v>
      </c>
      <c r="Y2083" s="43" t="str">
        <f>HYPERLINK("","")</f>
      </c>
      <c r="Z2083" s="18"/>
      <c r="AS2083" s="1">
        <f>IF($A2083&lt;&gt;0,1,0)</f>
        <v>0</v>
      </c>
      <c r="AT2083" s="1">
        <f>$A2083*$B2083</f>
        <v>0</v>
      </c>
      <c r="AU2083" s="1">
        <f>$A2083*$O2083</f>
        <v>0</v>
      </c>
      <c r="AV2083" s="1">
        <f>IF($R2083=0,0,INT($A2083/$R2083))</f>
        <v>0</v>
      </c>
      <c r="AW2083" s="1">
        <f>$A2083-$AV2083*$R2083</f>
        <v>0</v>
      </c>
    </row>
    <row r="2084" ht="21.95" customHeight="1" outlineLevel="3" s="1" customFormat="1">
      <c r="A2084" s="25"/>
      <c r="B2084" s="29">
        <v>1006</v>
      </c>
      <c r="C2084" s="29">
        <v>1358</v>
      </c>
      <c r="D2084" s="26">
        <v>34270</v>
      </c>
      <c r="E2084" s="27"/>
      <c r="F2084" s="27" t="s">
        <v>590</v>
      </c>
      <c r="G2084" s="27" t="s">
        <v>6842</v>
      </c>
      <c r="H2084" s="27" t="s">
        <v>592</v>
      </c>
      <c r="I2084" s="27"/>
      <c r="J2084" s="26">
        <v>2026</v>
      </c>
      <c r="K2084" s="27" t="s">
        <v>6843</v>
      </c>
      <c r="L2084" s="26">
        <v>9786018230585</v>
      </c>
      <c r="M2084" s="27" t="s">
        <v>6844</v>
      </c>
      <c r="N2084" s="26">
        <v>318</v>
      </c>
      <c r="O2084" s="28">
        <v>0.5</v>
      </c>
      <c r="P2084" s="26">
        <v>150</v>
      </c>
      <c r="Q2084" s="26">
        <v>220</v>
      </c>
      <c r="R2084" s="26">
        <v>8</v>
      </c>
      <c r="S2084" s="27" t="s">
        <v>43</v>
      </c>
      <c r="T2084" s="27"/>
      <c r="U2084" s="29">
        <v>1000</v>
      </c>
      <c r="V2084" s="27" t="s">
        <v>77</v>
      </c>
      <c r="W2084" s="27" t="s">
        <v>69</v>
      </c>
      <c r="X2084" s="26">
        <v>22</v>
      </c>
      <c r="Y2084" s="45" t="str">
        <f>HYPERLINK("","")</f>
      </c>
      <c r="Z2084" s="27"/>
      <c r="AS2084" s="1">
        <f>IF($A2084&lt;&gt;0,1,0)</f>
        <v>0</v>
      </c>
      <c r="AT2084" s="1">
        <f>$A2084*$B2084</f>
        <v>0</v>
      </c>
      <c r="AU2084" s="1">
        <f>$A2084*$O2084</f>
        <v>0</v>
      </c>
      <c r="AV2084" s="1">
        <f>IF($R2084=0,0,INT($A2084/$R2084))</f>
        <v>0</v>
      </c>
      <c r="AW2084" s="1">
        <f>$A2084-$AV2084*$R2084</f>
        <v>0</v>
      </c>
    </row>
    <row r="2085" ht="21.95" customHeight="1" outlineLevel="3" s="1" customFormat="1">
      <c r="A2085" s="15"/>
      <c r="B2085" s="17">
        <v>1515</v>
      </c>
      <c r="C2085" s="17">
        <v>1970</v>
      </c>
      <c r="D2085" s="16">
        <v>34272</v>
      </c>
      <c r="E2085" s="18"/>
      <c r="F2085" s="18" t="s">
        <v>590</v>
      </c>
      <c r="G2085" s="18" t="s">
        <v>6845</v>
      </c>
      <c r="H2085" s="18" t="s">
        <v>592</v>
      </c>
      <c r="I2085" s="18"/>
      <c r="J2085" s="16">
        <v>2026</v>
      </c>
      <c r="K2085" s="18" t="s">
        <v>6846</v>
      </c>
      <c r="L2085" s="16">
        <v>9786018232220</v>
      </c>
      <c r="M2085" s="18" t="s">
        <v>6847</v>
      </c>
      <c r="N2085" s="16">
        <v>504</v>
      </c>
      <c r="O2085" s="19">
        <v>0.69</v>
      </c>
      <c r="P2085" s="16">
        <v>150</v>
      </c>
      <c r="Q2085" s="16">
        <v>220</v>
      </c>
      <c r="R2085" s="16">
        <v>6</v>
      </c>
      <c r="S2085" s="18" t="s">
        <v>43</v>
      </c>
      <c r="T2085" s="18"/>
      <c r="U2085" s="17">
        <v>1000</v>
      </c>
      <c r="V2085" s="18" t="s">
        <v>77</v>
      </c>
      <c r="W2085" s="18" t="s">
        <v>45</v>
      </c>
      <c r="X2085" s="16">
        <v>22</v>
      </c>
      <c r="Y2085" s="43" t="str">
        <f>HYPERLINK("","")</f>
      </c>
      <c r="Z2085" s="18"/>
      <c r="AS2085" s="1">
        <f>IF($A2085&lt;&gt;0,1,0)</f>
        <v>0</v>
      </c>
      <c r="AT2085" s="1">
        <f>$A2085*$B2085</f>
        <v>0</v>
      </c>
      <c r="AU2085" s="1">
        <f>$A2085*$O2085</f>
        <v>0</v>
      </c>
      <c r="AV2085" s="1">
        <f>IF($R2085=0,0,INT($A2085/$R2085))</f>
        <v>0</v>
      </c>
      <c r="AW2085" s="1">
        <f>$A2085-$AV2085*$R2085</f>
        <v>0</v>
      </c>
    </row>
    <row r="2086" ht="21.95" customHeight="1" outlineLevel="3" s="1" customFormat="1">
      <c r="A2086" s="15"/>
      <c r="B2086" s="17">
        <v>1515</v>
      </c>
      <c r="C2086" s="17">
        <v>1970</v>
      </c>
      <c r="D2086" s="16">
        <v>34426</v>
      </c>
      <c r="E2086" s="18"/>
      <c r="F2086" s="18" t="s">
        <v>590</v>
      </c>
      <c r="G2086" s="18" t="s">
        <v>6848</v>
      </c>
      <c r="H2086" s="18" t="s">
        <v>592</v>
      </c>
      <c r="I2086" s="18"/>
      <c r="J2086" s="16">
        <v>2026</v>
      </c>
      <c r="K2086" s="18" t="s">
        <v>6849</v>
      </c>
      <c r="L2086" s="16">
        <v>9786018232206</v>
      </c>
      <c r="M2086" s="18" t="s">
        <v>6850</v>
      </c>
      <c r="N2086" s="16">
        <v>343</v>
      </c>
      <c r="O2086" s="19">
        <v>0.52</v>
      </c>
      <c r="P2086" s="16">
        <v>150</v>
      </c>
      <c r="Q2086" s="16">
        <v>220</v>
      </c>
      <c r="R2086" s="16">
        <v>8</v>
      </c>
      <c r="S2086" s="18" t="s">
        <v>43</v>
      </c>
      <c r="T2086" s="18"/>
      <c r="U2086" s="17">
        <v>1000</v>
      </c>
      <c r="V2086" s="18" t="s">
        <v>77</v>
      </c>
      <c r="W2086" s="18" t="s">
        <v>69</v>
      </c>
      <c r="X2086" s="16">
        <v>22</v>
      </c>
      <c r="Y2086" s="43" t="str">
        <f>HYPERLINK("","")</f>
      </c>
      <c r="Z2086" s="18"/>
      <c r="AS2086" s="1">
        <f>IF($A2086&lt;&gt;0,1,0)</f>
        <v>0</v>
      </c>
      <c r="AT2086" s="1">
        <f>$A2086*$B2086</f>
        <v>0</v>
      </c>
      <c r="AU2086" s="1">
        <f>$A2086*$O2086</f>
        <v>0</v>
      </c>
      <c r="AV2086" s="1">
        <f>IF($R2086=0,0,INT($A2086/$R2086))</f>
        <v>0</v>
      </c>
      <c r="AW2086" s="1">
        <f>$A2086-$AV2086*$R2086</f>
        <v>0</v>
      </c>
    </row>
    <row r="2087" ht="21.95" customHeight="1" outlineLevel="3" s="1" customFormat="1">
      <c r="A2087" s="15"/>
      <c r="B2087" s="17">
        <v>1312</v>
      </c>
      <c r="C2087" s="17">
        <v>1771</v>
      </c>
      <c r="D2087" s="16">
        <v>34010</v>
      </c>
      <c r="E2087" s="18"/>
      <c r="F2087" s="18" t="s">
        <v>590</v>
      </c>
      <c r="G2087" s="18" t="s">
        <v>6851</v>
      </c>
      <c r="H2087" s="18" t="s">
        <v>592</v>
      </c>
      <c r="I2087" s="18"/>
      <c r="J2087" s="16">
        <v>2025</v>
      </c>
      <c r="K2087" s="18" t="s">
        <v>6852</v>
      </c>
      <c r="L2087" s="16">
        <v>9786018227912</v>
      </c>
      <c r="M2087" s="18" t="s">
        <v>6853</v>
      </c>
      <c r="N2087" s="16">
        <v>343</v>
      </c>
      <c r="O2087" s="19">
        <v>0.52</v>
      </c>
      <c r="P2087" s="16">
        <v>150</v>
      </c>
      <c r="Q2087" s="16">
        <v>220</v>
      </c>
      <c r="R2087" s="16">
        <v>5</v>
      </c>
      <c r="S2087" s="18" t="s">
        <v>43</v>
      </c>
      <c r="T2087" s="18"/>
      <c r="U2087" s="17">
        <v>1000</v>
      </c>
      <c r="V2087" s="18" t="s">
        <v>77</v>
      </c>
      <c r="W2087" s="18" t="s">
        <v>69</v>
      </c>
      <c r="X2087" s="16">
        <v>22</v>
      </c>
      <c r="Y2087" s="43" t="str">
        <f>HYPERLINK("","")</f>
      </c>
      <c r="Z2087" s="18"/>
      <c r="AS2087" s="1">
        <f>IF($A2087&lt;&gt;0,1,0)</f>
        <v>0</v>
      </c>
      <c r="AT2087" s="1">
        <f>$A2087*$B2087</f>
        <v>0</v>
      </c>
      <c r="AU2087" s="1">
        <f>$A2087*$O2087</f>
        <v>0</v>
      </c>
      <c r="AV2087" s="1">
        <f>IF($R2087=0,0,INT($A2087/$R2087))</f>
        <v>0</v>
      </c>
      <c r="AW2087" s="1">
        <f>$A2087-$AV2087*$R2087</f>
        <v>0</v>
      </c>
    </row>
    <row r="2088" ht="24.95" customHeight="1" outlineLevel="3" s="1" customFormat="1">
      <c r="A2088" s="15"/>
      <c r="B2088" s="16">
        <v>690</v>
      </c>
      <c r="C2088" s="17">
        <v>1035</v>
      </c>
      <c r="D2088" s="16">
        <v>29955</v>
      </c>
      <c r="E2088" s="18"/>
      <c r="F2088" s="18" t="s">
        <v>302</v>
      </c>
      <c r="G2088" s="18" t="s">
        <v>6854</v>
      </c>
      <c r="H2088" s="18" t="s">
        <v>171</v>
      </c>
      <c r="I2088" s="18"/>
      <c r="J2088" s="16">
        <v>2024</v>
      </c>
      <c r="K2088" s="18" t="s">
        <v>6855</v>
      </c>
      <c r="L2088" s="16">
        <v>9785002233007</v>
      </c>
      <c r="M2088" s="18" t="s">
        <v>6856</v>
      </c>
      <c r="N2088" s="16">
        <v>384</v>
      </c>
      <c r="O2088" s="19">
        <v>0.36</v>
      </c>
      <c r="P2088" s="16">
        <v>130</v>
      </c>
      <c r="Q2088" s="16">
        <v>210</v>
      </c>
      <c r="R2088" s="16">
        <v>10</v>
      </c>
      <c r="S2088" s="18" t="s">
        <v>90</v>
      </c>
      <c r="T2088" s="18"/>
      <c r="U2088" s="17">
        <v>3000</v>
      </c>
      <c r="V2088" s="18" t="s">
        <v>77</v>
      </c>
      <c r="W2088" s="18" t="s">
        <v>69</v>
      </c>
      <c r="X2088" s="16">
        <v>10</v>
      </c>
      <c r="Y2088" s="43" t="str">
        <f>HYPERLINK("https://api-enni.alpina.ru/FilePrivilegesApproval/490","https://api-enni.alpina.ru/FilePrivilegesApproval/490")</f>
        <v>https://api-enni.alpina.ru/FilePrivilegesApproval/490</v>
      </c>
      <c r="Z2088" s="18"/>
      <c r="AS2088" s="1">
        <f>IF($A2088&lt;&gt;0,1,0)</f>
        <v>0</v>
      </c>
      <c r="AT2088" s="1">
        <f>$A2088*$B2088</f>
        <v>0</v>
      </c>
      <c r="AU2088" s="1">
        <f>$A2088*$O2088</f>
        <v>0</v>
      </c>
      <c r="AV2088" s="1">
        <f>IF($R2088=0,0,INT($A2088/$R2088))</f>
        <v>0</v>
      </c>
      <c r="AW2088" s="1">
        <f>$A2088-$AV2088*$R2088</f>
        <v>0</v>
      </c>
    </row>
    <row r="2089" ht="24.95" customHeight="1" outlineLevel="3" s="1" customFormat="1">
      <c r="A2089" s="15"/>
      <c r="B2089" s="16">
        <v>540</v>
      </c>
      <c r="C2089" s="16">
        <v>837</v>
      </c>
      <c r="D2089" s="16">
        <v>23247</v>
      </c>
      <c r="E2089" s="18"/>
      <c r="F2089" s="18" t="s">
        <v>6703</v>
      </c>
      <c r="G2089" s="18" t="s">
        <v>6857</v>
      </c>
      <c r="H2089" s="18" t="s">
        <v>171</v>
      </c>
      <c r="I2089" s="18"/>
      <c r="J2089" s="16">
        <v>2021</v>
      </c>
      <c r="K2089" s="18" t="s">
        <v>6858</v>
      </c>
      <c r="L2089" s="16">
        <v>9785001395546</v>
      </c>
      <c r="M2089" s="18" t="s">
        <v>6859</v>
      </c>
      <c r="N2089" s="16">
        <v>296</v>
      </c>
      <c r="O2089" s="19">
        <v>0.34</v>
      </c>
      <c r="P2089" s="16">
        <v>130</v>
      </c>
      <c r="Q2089" s="16">
        <v>206</v>
      </c>
      <c r="R2089" s="16">
        <v>12</v>
      </c>
      <c r="S2089" s="18" t="s">
        <v>90</v>
      </c>
      <c r="T2089" s="18"/>
      <c r="U2089" s="17">
        <v>3000</v>
      </c>
      <c r="V2089" s="18" t="s">
        <v>77</v>
      </c>
      <c r="W2089" s="18" t="s">
        <v>45</v>
      </c>
      <c r="X2089" s="16">
        <v>10</v>
      </c>
      <c r="Y2089" s="43" t="str">
        <f>HYPERLINK("https://api-enni.alpina.ru/FilePrivilegesApproval/149","https://api-enni.alpina.ru/FilePrivilegesApproval/149")</f>
        <v>https://api-enni.alpina.ru/FilePrivilegesApproval/149</v>
      </c>
      <c r="Z2089" s="18"/>
      <c r="AS2089" s="1">
        <f>IF($A2089&lt;&gt;0,1,0)</f>
        <v>0</v>
      </c>
      <c r="AT2089" s="1">
        <f>$A2089*$B2089</f>
        <v>0</v>
      </c>
      <c r="AU2089" s="1">
        <f>$A2089*$O2089</f>
        <v>0</v>
      </c>
      <c r="AV2089" s="1">
        <f>IF($R2089=0,0,INT($A2089/$R2089))</f>
        <v>0</v>
      </c>
      <c r="AW2089" s="1">
        <f>$A2089-$AV2089*$R2089</f>
        <v>0</v>
      </c>
    </row>
    <row r="2090" ht="24.95" customHeight="1" outlineLevel="3" s="1" customFormat="1">
      <c r="A2090" s="15"/>
      <c r="B2090" s="16">
        <v>640</v>
      </c>
      <c r="C2090" s="16">
        <v>960</v>
      </c>
      <c r="D2090" s="16">
        <v>29961</v>
      </c>
      <c r="E2090" s="18"/>
      <c r="F2090" s="18" t="s">
        <v>6693</v>
      </c>
      <c r="G2090" s="18" t="s">
        <v>6860</v>
      </c>
      <c r="H2090" s="18" t="s">
        <v>171</v>
      </c>
      <c r="I2090" s="18"/>
      <c r="J2090" s="16">
        <v>2024</v>
      </c>
      <c r="K2090" s="18" t="s">
        <v>6861</v>
      </c>
      <c r="L2090" s="16">
        <v>9785002232185</v>
      </c>
      <c r="M2090" s="18" t="s">
        <v>6862</v>
      </c>
      <c r="N2090" s="16">
        <v>270</v>
      </c>
      <c r="O2090" s="19">
        <v>0.24</v>
      </c>
      <c r="P2090" s="16">
        <v>210</v>
      </c>
      <c r="Q2090" s="16">
        <v>140</v>
      </c>
      <c r="R2090" s="16">
        <v>16</v>
      </c>
      <c r="S2090" s="18" t="s">
        <v>43</v>
      </c>
      <c r="T2090" s="18"/>
      <c r="U2090" s="17">
        <v>2000</v>
      </c>
      <c r="V2090" s="18" t="s">
        <v>44</v>
      </c>
      <c r="W2090" s="18" t="s">
        <v>45</v>
      </c>
      <c r="X2090" s="16">
        <v>10</v>
      </c>
      <c r="Y2090" s="43" t="str">
        <f>HYPERLINK("https://api-enni.alpina.ru/FilePrivilegesApproval/171","https://api-enni.alpina.ru/FilePrivilegesApproval/171")</f>
        <v>https://api-enni.alpina.ru/FilePrivilegesApproval/171</v>
      </c>
      <c r="Z2090" s="18"/>
      <c r="AS2090" s="1">
        <f>IF($A2090&lt;&gt;0,1,0)</f>
        <v>0</v>
      </c>
      <c r="AT2090" s="1">
        <f>$A2090*$B2090</f>
        <v>0</v>
      </c>
      <c r="AU2090" s="1">
        <f>$A2090*$O2090</f>
        <v>0</v>
      </c>
      <c r="AV2090" s="1">
        <f>IF($R2090=0,0,INT($A2090/$R2090))</f>
        <v>0</v>
      </c>
      <c r="AW2090" s="1">
        <f>$A2090-$AV2090*$R2090</f>
        <v>0</v>
      </c>
    </row>
    <row r="2091" ht="21.95" customHeight="1" outlineLevel="3" s="1" customFormat="1">
      <c r="A2091" s="15"/>
      <c r="B2091" s="16">
        <v>905</v>
      </c>
      <c r="C2091" s="17">
        <v>1267</v>
      </c>
      <c r="D2091" s="16">
        <v>33155</v>
      </c>
      <c r="E2091" s="18"/>
      <c r="F2091" s="18" t="s">
        <v>6863</v>
      </c>
      <c r="G2091" s="18" t="s">
        <v>6864</v>
      </c>
      <c r="H2091" s="18" t="s">
        <v>592</v>
      </c>
      <c r="I2091" s="18"/>
      <c r="J2091" s="16">
        <v>2025</v>
      </c>
      <c r="K2091" s="18" t="s">
        <v>6865</v>
      </c>
      <c r="L2091" s="16">
        <v>9786018223075</v>
      </c>
      <c r="M2091" s="18" t="s">
        <v>6866</v>
      </c>
      <c r="N2091" s="16">
        <v>205</v>
      </c>
      <c r="O2091" s="19">
        <v>0.34</v>
      </c>
      <c r="P2091" s="16">
        <v>150</v>
      </c>
      <c r="Q2091" s="16">
        <v>220</v>
      </c>
      <c r="R2091" s="16">
        <v>10</v>
      </c>
      <c r="S2091" s="18" t="s">
        <v>43</v>
      </c>
      <c r="T2091" s="18"/>
      <c r="U2091" s="17">
        <v>1000</v>
      </c>
      <c r="V2091" s="18" t="s">
        <v>77</v>
      </c>
      <c r="W2091" s="18" t="s">
        <v>45</v>
      </c>
      <c r="X2091" s="16">
        <v>22</v>
      </c>
      <c r="Y2091" s="43" t="str">
        <f>HYPERLINK("","")</f>
      </c>
      <c r="Z2091" s="18" t="s">
        <v>46</v>
      </c>
      <c r="AS2091" s="1">
        <f>IF($A2091&lt;&gt;0,1,0)</f>
        <v>0</v>
      </c>
      <c r="AT2091" s="1">
        <f>$A2091*$B2091</f>
        <v>0</v>
      </c>
      <c r="AU2091" s="1">
        <f>$A2091*$O2091</f>
        <v>0</v>
      </c>
      <c r="AV2091" s="1">
        <f>IF($R2091=0,0,INT($A2091/$R2091))</f>
        <v>0</v>
      </c>
      <c r="AW2091" s="1">
        <f>$A2091-$AV2091*$R2091</f>
        <v>0</v>
      </c>
    </row>
    <row r="2092" ht="24.95" customHeight="1" outlineLevel="3" s="1" customFormat="1">
      <c r="A2092" s="15"/>
      <c r="B2092" s="16">
        <v>890</v>
      </c>
      <c r="C2092" s="17">
        <v>1246</v>
      </c>
      <c r="D2092" s="16">
        <v>29554</v>
      </c>
      <c r="E2092" s="18"/>
      <c r="F2092" s="18" t="s">
        <v>203</v>
      </c>
      <c r="G2092" s="18" t="s">
        <v>6867</v>
      </c>
      <c r="H2092" s="18" t="s">
        <v>171</v>
      </c>
      <c r="I2092" s="18"/>
      <c r="J2092" s="16">
        <v>2025</v>
      </c>
      <c r="K2092" s="18" t="s">
        <v>6868</v>
      </c>
      <c r="L2092" s="16">
        <v>9785002231546</v>
      </c>
      <c r="M2092" s="18" t="s">
        <v>6869</v>
      </c>
      <c r="N2092" s="16">
        <v>612</v>
      </c>
      <c r="O2092" s="19">
        <v>0.69</v>
      </c>
      <c r="P2092" s="16">
        <v>150</v>
      </c>
      <c r="Q2092" s="16">
        <v>220</v>
      </c>
      <c r="R2092" s="16">
        <v>8</v>
      </c>
      <c r="S2092" s="18" t="s">
        <v>43</v>
      </c>
      <c r="T2092" s="18"/>
      <c r="U2092" s="17">
        <v>2000</v>
      </c>
      <c r="V2092" s="18" t="s">
        <v>77</v>
      </c>
      <c r="W2092" s="18" t="s">
        <v>45</v>
      </c>
      <c r="X2092" s="16">
        <v>10</v>
      </c>
      <c r="Y2092" s="43" t="str">
        <f>HYPERLINK("https://api-enni.alpina.ru/FilePrivilegesApproval/419","https://api-enni.alpina.ru/FilePrivilegesApproval/419")</f>
        <v>https://api-enni.alpina.ru/FilePrivilegesApproval/419</v>
      </c>
      <c r="Z2092" s="18"/>
      <c r="AS2092" s="1">
        <f>IF($A2092&lt;&gt;0,1,0)</f>
        <v>0</v>
      </c>
      <c r="AT2092" s="1">
        <f>$A2092*$B2092</f>
        <v>0</v>
      </c>
      <c r="AU2092" s="1">
        <f>$A2092*$O2092</f>
        <v>0</v>
      </c>
      <c r="AV2092" s="1">
        <f>IF($R2092=0,0,INT($A2092/$R2092))</f>
        <v>0</v>
      </c>
      <c r="AW2092" s="1">
        <f>$A2092-$AV2092*$R2092</f>
        <v>0</v>
      </c>
    </row>
    <row r="2093" ht="24.95" customHeight="1" outlineLevel="3" s="1" customFormat="1">
      <c r="A2093" s="15"/>
      <c r="B2093" s="17">
        <v>1370</v>
      </c>
      <c r="C2093" s="17">
        <v>1850</v>
      </c>
      <c r="D2093" s="16">
        <v>21197</v>
      </c>
      <c r="E2093" s="18"/>
      <c r="F2093" s="18" t="s">
        <v>412</v>
      </c>
      <c r="G2093" s="18" t="s">
        <v>6870</v>
      </c>
      <c r="H2093" s="18" t="s">
        <v>171</v>
      </c>
      <c r="I2093" s="18"/>
      <c r="J2093" s="16">
        <v>2026</v>
      </c>
      <c r="K2093" s="18" t="s">
        <v>6871</v>
      </c>
      <c r="L2093" s="16">
        <v>9785001395041</v>
      </c>
      <c r="M2093" s="18" t="s">
        <v>6872</v>
      </c>
      <c r="N2093" s="16">
        <v>708</v>
      </c>
      <c r="O2093" s="19">
        <v>0.8</v>
      </c>
      <c r="P2093" s="16">
        <v>140</v>
      </c>
      <c r="Q2093" s="16">
        <v>210</v>
      </c>
      <c r="R2093" s="16">
        <v>4</v>
      </c>
      <c r="S2093" s="18" t="s">
        <v>43</v>
      </c>
      <c r="T2093" s="18"/>
      <c r="U2093" s="17">
        <v>1500</v>
      </c>
      <c r="V2093" s="18" t="s">
        <v>77</v>
      </c>
      <c r="W2093" s="18" t="s">
        <v>45</v>
      </c>
      <c r="X2093" s="16">
        <v>10</v>
      </c>
      <c r="Y2093" s="43" t="str">
        <f>HYPERLINK("https://api-enni.alpina.ru/FilePrivilegesApproval/208","https://api-enni.alpina.ru/FilePrivilegesApproval/208")</f>
        <v>https://api-enni.alpina.ru/FilePrivilegesApproval/208</v>
      </c>
      <c r="Z2093" s="18"/>
      <c r="AS2093" s="1">
        <f>IF($A2093&lt;&gt;0,1,0)</f>
        <v>0</v>
      </c>
      <c r="AT2093" s="1">
        <f>$A2093*$B2093</f>
        <v>0</v>
      </c>
      <c r="AU2093" s="1">
        <f>$A2093*$O2093</f>
        <v>0</v>
      </c>
      <c r="AV2093" s="1">
        <f>IF($R2093=0,0,INT($A2093/$R2093))</f>
        <v>0</v>
      </c>
      <c r="AW2093" s="1">
        <f>$A2093-$AV2093*$R2093</f>
        <v>0</v>
      </c>
    </row>
    <row r="2094" ht="24.95" customHeight="1" outlineLevel="3" s="1" customFormat="1">
      <c r="A2094" s="15"/>
      <c r="B2094" s="16">
        <v>690</v>
      </c>
      <c r="C2094" s="17">
        <v>1035</v>
      </c>
      <c r="D2094" s="16">
        <v>28972</v>
      </c>
      <c r="E2094" s="18"/>
      <c r="F2094" s="18" t="s">
        <v>412</v>
      </c>
      <c r="G2094" s="18" t="s">
        <v>6873</v>
      </c>
      <c r="H2094" s="18" t="s">
        <v>171</v>
      </c>
      <c r="I2094" s="18"/>
      <c r="J2094" s="16">
        <v>2025</v>
      </c>
      <c r="K2094" s="18" t="s">
        <v>6874</v>
      </c>
      <c r="L2094" s="16">
        <v>9785002230914</v>
      </c>
      <c r="M2094" s="18" t="s">
        <v>6875</v>
      </c>
      <c r="N2094" s="16">
        <v>896</v>
      </c>
      <c r="O2094" s="19">
        <v>0.52</v>
      </c>
      <c r="P2094" s="16">
        <v>120</v>
      </c>
      <c r="Q2094" s="16">
        <v>170</v>
      </c>
      <c r="R2094" s="16">
        <v>6</v>
      </c>
      <c r="S2094" s="18" t="s">
        <v>190</v>
      </c>
      <c r="T2094" s="18" t="s">
        <v>6670</v>
      </c>
      <c r="U2094" s="17">
        <v>3000</v>
      </c>
      <c r="V2094" s="18" t="s">
        <v>44</v>
      </c>
      <c r="W2094" s="18" t="s">
        <v>45</v>
      </c>
      <c r="X2094" s="16">
        <v>10</v>
      </c>
      <c r="Y2094" s="43" t="str">
        <f>HYPERLINK("https://api-enni.alpina.ru/FilePrivilegesApproval/208","https://api-enni.alpina.ru/FilePrivilegesApproval/208")</f>
        <v>https://api-enni.alpina.ru/FilePrivilegesApproval/208</v>
      </c>
      <c r="Z2094" s="18"/>
      <c r="AS2094" s="1">
        <f>IF($A2094&lt;&gt;0,1,0)</f>
        <v>0</v>
      </c>
      <c r="AT2094" s="1">
        <f>$A2094*$B2094</f>
        <v>0</v>
      </c>
      <c r="AU2094" s="1">
        <f>$A2094*$O2094</f>
        <v>0</v>
      </c>
      <c r="AV2094" s="1">
        <f>IF($R2094=0,0,INT($A2094/$R2094))</f>
        <v>0</v>
      </c>
      <c r="AW2094" s="1">
        <f>$A2094-$AV2094*$R2094</f>
        <v>0</v>
      </c>
    </row>
    <row r="2095" ht="24.95" customHeight="1" outlineLevel="3" s="1" customFormat="1">
      <c r="A2095" s="15"/>
      <c r="B2095" s="16">
        <v>790</v>
      </c>
      <c r="C2095" s="17">
        <v>1146</v>
      </c>
      <c r="D2095" s="16">
        <v>33496</v>
      </c>
      <c r="E2095" s="18"/>
      <c r="F2095" s="18" t="s">
        <v>6734</v>
      </c>
      <c r="G2095" s="18" t="s">
        <v>6876</v>
      </c>
      <c r="H2095" s="18" t="s">
        <v>171</v>
      </c>
      <c r="I2095" s="18"/>
      <c r="J2095" s="16">
        <v>2025</v>
      </c>
      <c r="K2095" s="18" t="s">
        <v>6877</v>
      </c>
      <c r="L2095" s="16">
        <v>9785002235629</v>
      </c>
      <c r="M2095" s="18" t="s">
        <v>6878</v>
      </c>
      <c r="N2095" s="16">
        <v>256</v>
      </c>
      <c r="O2095" s="19">
        <v>0.27</v>
      </c>
      <c r="P2095" s="16">
        <v>130</v>
      </c>
      <c r="Q2095" s="16">
        <v>210</v>
      </c>
      <c r="R2095" s="16">
        <v>14</v>
      </c>
      <c r="S2095" s="18" t="s">
        <v>90</v>
      </c>
      <c r="T2095" s="18"/>
      <c r="U2095" s="17">
        <v>7000</v>
      </c>
      <c r="V2095" s="18" t="s">
        <v>77</v>
      </c>
      <c r="W2095" s="18" t="s">
        <v>69</v>
      </c>
      <c r="X2095" s="16">
        <v>10</v>
      </c>
      <c r="Y2095" s="43" t="str">
        <f>HYPERLINK("https://api-enni.alpina.ru/FilePrivilegesApproval/888","https://api-enni.alpina.ru/FilePrivilegesApproval/888")</f>
        <v>https://api-enni.alpina.ru/FilePrivilegesApproval/888</v>
      </c>
      <c r="Z2095" s="18"/>
      <c r="AS2095" s="1">
        <f>IF($A2095&lt;&gt;0,1,0)</f>
        <v>0</v>
      </c>
      <c r="AT2095" s="1">
        <f>$A2095*$B2095</f>
        <v>0</v>
      </c>
      <c r="AU2095" s="1">
        <f>$A2095*$O2095</f>
        <v>0</v>
      </c>
      <c r="AV2095" s="1">
        <f>IF($R2095=0,0,INT($A2095/$R2095))</f>
        <v>0</v>
      </c>
      <c r="AW2095" s="1">
        <f>$A2095-$AV2095*$R2095</f>
        <v>0</v>
      </c>
    </row>
    <row r="2096" ht="21.95" customHeight="1" outlineLevel="3" s="1" customFormat="1">
      <c r="A2096" s="15"/>
      <c r="B2096" s="16">
        <v>790</v>
      </c>
      <c r="C2096" s="17">
        <v>1146</v>
      </c>
      <c r="D2096" s="16">
        <v>30637</v>
      </c>
      <c r="E2096" s="18"/>
      <c r="F2096" s="18" t="s">
        <v>6738</v>
      </c>
      <c r="G2096" s="18" t="s">
        <v>6879</v>
      </c>
      <c r="H2096" s="18" t="s">
        <v>171</v>
      </c>
      <c r="I2096" s="18"/>
      <c r="J2096" s="16">
        <v>2025</v>
      </c>
      <c r="K2096" s="18" t="s">
        <v>6880</v>
      </c>
      <c r="L2096" s="16">
        <v>9785002232703</v>
      </c>
      <c r="M2096" s="18" t="s">
        <v>6881</v>
      </c>
      <c r="N2096" s="16">
        <v>492</v>
      </c>
      <c r="O2096" s="19">
        <v>0.54</v>
      </c>
      <c r="P2096" s="16">
        <v>150</v>
      </c>
      <c r="Q2096" s="16">
        <v>220</v>
      </c>
      <c r="R2096" s="16">
        <v>10</v>
      </c>
      <c r="S2096" s="18" t="s">
        <v>43</v>
      </c>
      <c r="T2096" s="18"/>
      <c r="U2096" s="17">
        <v>1500</v>
      </c>
      <c r="V2096" s="18" t="s">
        <v>77</v>
      </c>
      <c r="W2096" s="18" t="s">
        <v>45</v>
      </c>
      <c r="X2096" s="16">
        <v>22</v>
      </c>
      <c r="Y2096" s="43" t="str">
        <f>HYPERLINK("","")</f>
      </c>
      <c r="Z2096" s="18"/>
      <c r="AS2096" s="1">
        <f>IF($A2096&lt;&gt;0,1,0)</f>
        <v>0</v>
      </c>
      <c r="AT2096" s="1">
        <f>$A2096*$B2096</f>
        <v>0</v>
      </c>
      <c r="AU2096" s="1">
        <f>$A2096*$O2096</f>
        <v>0</v>
      </c>
      <c r="AV2096" s="1">
        <f>IF($R2096=0,0,INT($A2096/$R2096))</f>
        <v>0</v>
      </c>
      <c r="AW2096" s="1">
        <f>$A2096-$AV2096*$R2096</f>
        <v>0</v>
      </c>
    </row>
    <row r="2097" ht="24.95" customHeight="1" outlineLevel="3" s="1" customFormat="1">
      <c r="A2097" s="15"/>
      <c r="B2097" s="16">
        <v>640</v>
      </c>
      <c r="C2097" s="16">
        <v>960</v>
      </c>
      <c r="D2097" s="16">
        <v>23268</v>
      </c>
      <c r="E2097" s="18"/>
      <c r="F2097" s="18" t="s">
        <v>6882</v>
      </c>
      <c r="G2097" s="18" t="s">
        <v>6883</v>
      </c>
      <c r="H2097" s="18" t="s">
        <v>171</v>
      </c>
      <c r="I2097" s="18"/>
      <c r="J2097" s="16">
        <v>2021</v>
      </c>
      <c r="K2097" s="18" t="s">
        <v>6884</v>
      </c>
      <c r="L2097" s="16">
        <v>9785001395188</v>
      </c>
      <c r="M2097" s="18" t="s">
        <v>6885</v>
      </c>
      <c r="N2097" s="16">
        <v>312</v>
      </c>
      <c r="O2097" s="19">
        <v>0.48</v>
      </c>
      <c r="P2097" s="16">
        <v>146</v>
      </c>
      <c r="Q2097" s="16">
        <v>216</v>
      </c>
      <c r="R2097" s="16">
        <v>10</v>
      </c>
      <c r="S2097" s="18" t="s">
        <v>43</v>
      </c>
      <c r="T2097" s="18"/>
      <c r="U2097" s="17">
        <v>3000</v>
      </c>
      <c r="V2097" s="18" t="s">
        <v>77</v>
      </c>
      <c r="W2097" s="18" t="s">
        <v>45</v>
      </c>
      <c r="X2097" s="16">
        <v>10</v>
      </c>
      <c r="Y2097" s="43" t="str">
        <f>HYPERLINK("https://api-enni.alpina.ru/FilePrivilegesApproval/149","https://api-enni.alpina.ru/FilePrivilegesApproval/149")</f>
        <v>https://api-enni.alpina.ru/FilePrivilegesApproval/149</v>
      </c>
      <c r="Z2097" s="18"/>
      <c r="AS2097" s="1">
        <f>IF($A2097&lt;&gt;0,1,0)</f>
        <v>0</v>
      </c>
      <c r="AT2097" s="1">
        <f>$A2097*$B2097</f>
        <v>0</v>
      </c>
      <c r="AU2097" s="1">
        <f>$A2097*$O2097</f>
        <v>0</v>
      </c>
      <c r="AV2097" s="1">
        <f>IF($R2097=0,0,INT($A2097/$R2097))</f>
        <v>0</v>
      </c>
      <c r="AW2097" s="1">
        <f>$A2097-$AV2097*$R2097</f>
        <v>0</v>
      </c>
    </row>
    <row r="2098" ht="21.95" customHeight="1" outlineLevel="3" s="1" customFormat="1">
      <c r="A2098" s="15"/>
      <c r="B2098" s="16">
        <v>790</v>
      </c>
      <c r="C2098" s="17">
        <v>1146</v>
      </c>
      <c r="D2098" s="16">
        <v>31718</v>
      </c>
      <c r="E2098" s="18"/>
      <c r="F2098" s="18" t="s">
        <v>6738</v>
      </c>
      <c r="G2098" s="18" t="s">
        <v>6886</v>
      </c>
      <c r="H2098" s="18" t="s">
        <v>171</v>
      </c>
      <c r="I2098" s="18"/>
      <c r="J2098" s="16">
        <v>2025</v>
      </c>
      <c r="K2098" s="18" t="s">
        <v>6887</v>
      </c>
      <c r="L2098" s="16">
        <v>9785002234110</v>
      </c>
      <c r="M2098" s="18" t="s">
        <v>6888</v>
      </c>
      <c r="N2098" s="16">
        <v>276</v>
      </c>
      <c r="O2098" s="19">
        <v>0.33</v>
      </c>
      <c r="P2098" s="16">
        <v>150</v>
      </c>
      <c r="Q2098" s="16">
        <v>220</v>
      </c>
      <c r="R2098" s="16">
        <v>12</v>
      </c>
      <c r="S2098" s="18" t="s">
        <v>43</v>
      </c>
      <c r="T2098" s="18"/>
      <c r="U2098" s="17">
        <v>1500</v>
      </c>
      <c r="V2098" s="18" t="s">
        <v>77</v>
      </c>
      <c r="W2098" s="18" t="s">
        <v>45</v>
      </c>
      <c r="X2098" s="16">
        <v>22</v>
      </c>
      <c r="Y2098" s="43" t="str">
        <f>HYPERLINK("","")</f>
      </c>
      <c r="Z2098" s="18"/>
      <c r="AS2098" s="1">
        <f>IF($A2098&lt;&gt;0,1,0)</f>
        <v>0</v>
      </c>
      <c r="AT2098" s="1">
        <f>$A2098*$B2098</f>
        <v>0</v>
      </c>
      <c r="AU2098" s="1">
        <f>$A2098*$O2098</f>
        <v>0</v>
      </c>
      <c r="AV2098" s="1">
        <f>IF($R2098=0,0,INT($A2098/$R2098))</f>
        <v>0</v>
      </c>
      <c r="AW2098" s="1">
        <f>$A2098-$AV2098*$R2098</f>
        <v>0</v>
      </c>
    </row>
    <row r="2099" ht="21.95" customHeight="1" outlineLevel="3" s="1" customFormat="1">
      <c r="A2099" s="15"/>
      <c r="B2099" s="16">
        <v>900</v>
      </c>
      <c r="C2099" s="17">
        <v>1260</v>
      </c>
      <c r="D2099" s="16">
        <v>34888</v>
      </c>
      <c r="E2099" s="18"/>
      <c r="F2099" s="18" t="s">
        <v>382</v>
      </c>
      <c r="G2099" s="18" t="s">
        <v>6889</v>
      </c>
      <c r="H2099" s="18" t="s">
        <v>171</v>
      </c>
      <c r="I2099" s="18"/>
      <c r="J2099" s="16">
        <v>2026</v>
      </c>
      <c r="K2099" s="18" t="s">
        <v>6890</v>
      </c>
      <c r="L2099" s="16">
        <v>9785002237135</v>
      </c>
      <c r="M2099" s="18" t="s">
        <v>6891</v>
      </c>
      <c r="N2099" s="16">
        <v>384</v>
      </c>
      <c r="O2099" s="19">
        <v>0.45</v>
      </c>
      <c r="P2099" s="16">
        <v>150</v>
      </c>
      <c r="Q2099" s="16">
        <v>220</v>
      </c>
      <c r="R2099" s="16">
        <v>10</v>
      </c>
      <c r="S2099" s="18" t="s">
        <v>43</v>
      </c>
      <c r="T2099" s="18"/>
      <c r="U2099" s="17">
        <v>2000</v>
      </c>
      <c r="V2099" s="18" t="s">
        <v>77</v>
      </c>
      <c r="W2099" s="18" t="s">
        <v>45</v>
      </c>
      <c r="X2099" s="16">
        <v>22</v>
      </c>
      <c r="Y2099" s="43" t="str">
        <f>HYPERLINK("","")</f>
      </c>
      <c r="Z2099" s="18"/>
      <c r="AS2099" s="1">
        <f>IF($A2099&lt;&gt;0,1,0)</f>
        <v>0</v>
      </c>
      <c r="AT2099" s="1">
        <f>$A2099*$B2099</f>
        <v>0</v>
      </c>
      <c r="AU2099" s="1">
        <f>$A2099*$O2099</f>
        <v>0</v>
      </c>
      <c r="AV2099" s="1">
        <f>IF($R2099=0,0,INT($A2099/$R2099))</f>
        <v>0</v>
      </c>
      <c r="AW2099" s="1">
        <f>$A2099-$AV2099*$R2099</f>
        <v>0</v>
      </c>
    </row>
    <row r="2100" ht="24.95" customHeight="1" outlineLevel="3" s="1" customFormat="1">
      <c r="A2100" s="15"/>
      <c r="B2100" s="16">
        <v>840</v>
      </c>
      <c r="C2100" s="17">
        <v>1218</v>
      </c>
      <c r="D2100" s="16">
        <v>32890</v>
      </c>
      <c r="E2100" s="18"/>
      <c r="F2100" s="18" t="s">
        <v>6892</v>
      </c>
      <c r="G2100" s="18" t="s">
        <v>6893</v>
      </c>
      <c r="H2100" s="18" t="s">
        <v>171</v>
      </c>
      <c r="I2100" s="18"/>
      <c r="J2100" s="16">
        <v>2025</v>
      </c>
      <c r="K2100" s="18" t="s">
        <v>6894</v>
      </c>
      <c r="L2100" s="16">
        <v>9785002235223</v>
      </c>
      <c r="M2100" s="18" t="s">
        <v>6895</v>
      </c>
      <c r="N2100" s="16">
        <v>376</v>
      </c>
      <c r="O2100" s="19">
        <v>0.36</v>
      </c>
      <c r="P2100" s="16">
        <v>140</v>
      </c>
      <c r="Q2100" s="16">
        <v>210</v>
      </c>
      <c r="R2100" s="16">
        <v>10</v>
      </c>
      <c r="S2100" s="18" t="s">
        <v>90</v>
      </c>
      <c r="T2100" s="18"/>
      <c r="U2100" s="17">
        <v>1500</v>
      </c>
      <c r="V2100" s="18" t="s">
        <v>77</v>
      </c>
      <c r="W2100" s="18" t="s">
        <v>91</v>
      </c>
      <c r="X2100" s="16">
        <v>10</v>
      </c>
      <c r="Y2100" s="43" t="str">
        <f>HYPERLINK("https://api-enni.alpina.ru/FilePrivilegesApproval/878","https://api-enni.alpina.ru/FilePrivilegesApproval/878")</f>
        <v>https://api-enni.alpina.ru/FilePrivilegesApproval/878</v>
      </c>
      <c r="Z2100" s="18"/>
      <c r="AS2100" s="1">
        <f>IF($A2100&lt;&gt;0,1,0)</f>
        <v>0</v>
      </c>
      <c r="AT2100" s="1">
        <f>$A2100*$B2100</f>
        <v>0</v>
      </c>
      <c r="AU2100" s="1">
        <f>$A2100*$O2100</f>
        <v>0</v>
      </c>
      <c r="AV2100" s="1">
        <f>IF($R2100=0,0,INT($A2100/$R2100))</f>
        <v>0</v>
      </c>
      <c r="AW2100" s="1">
        <f>$A2100-$AV2100*$R2100</f>
        <v>0</v>
      </c>
    </row>
    <row r="2101" ht="24.95" customHeight="1" outlineLevel="3" s="1" customFormat="1">
      <c r="A2101" s="15"/>
      <c r="B2101" s="16">
        <v>690</v>
      </c>
      <c r="C2101" s="17">
        <v>1035</v>
      </c>
      <c r="D2101" s="16">
        <v>31900</v>
      </c>
      <c r="E2101" s="18"/>
      <c r="F2101" s="18" t="s">
        <v>6896</v>
      </c>
      <c r="G2101" s="18" t="s">
        <v>6897</v>
      </c>
      <c r="H2101" s="18" t="s">
        <v>171</v>
      </c>
      <c r="I2101" s="18"/>
      <c r="J2101" s="16">
        <v>2025</v>
      </c>
      <c r="K2101" s="18" t="s">
        <v>6898</v>
      </c>
      <c r="L2101" s="16">
        <v>9785002234417</v>
      </c>
      <c r="M2101" s="18" t="s">
        <v>6899</v>
      </c>
      <c r="N2101" s="16">
        <v>304</v>
      </c>
      <c r="O2101" s="19">
        <v>0.3</v>
      </c>
      <c r="P2101" s="16">
        <v>130</v>
      </c>
      <c r="Q2101" s="16">
        <v>210</v>
      </c>
      <c r="R2101" s="16">
        <v>12</v>
      </c>
      <c r="S2101" s="18" t="s">
        <v>90</v>
      </c>
      <c r="T2101" s="18"/>
      <c r="U2101" s="17">
        <v>1500</v>
      </c>
      <c r="V2101" s="18" t="s">
        <v>77</v>
      </c>
      <c r="W2101" s="18" t="s">
        <v>91</v>
      </c>
      <c r="X2101" s="16">
        <v>10</v>
      </c>
      <c r="Y2101" s="43" t="str">
        <f>HYPERLINK("https://api-enni.alpina.ru/FilePrivilegesApproval/861","https://api-enni.alpina.ru/FilePrivilegesApproval/861")</f>
        <v>https://api-enni.alpina.ru/FilePrivilegesApproval/861</v>
      </c>
      <c r="Z2101" s="18"/>
      <c r="AS2101" s="1">
        <f>IF($A2101&lt;&gt;0,1,0)</f>
        <v>0</v>
      </c>
      <c r="AT2101" s="1">
        <f>$A2101*$B2101</f>
        <v>0</v>
      </c>
      <c r="AU2101" s="1">
        <f>$A2101*$O2101</f>
        <v>0</v>
      </c>
      <c r="AV2101" s="1">
        <f>IF($R2101=0,0,INT($A2101/$R2101))</f>
        <v>0</v>
      </c>
      <c r="AW2101" s="1">
        <f>$A2101-$AV2101*$R2101</f>
        <v>0</v>
      </c>
    </row>
    <row r="2102" ht="24.95" customHeight="1" outlineLevel="3" s="1" customFormat="1">
      <c r="A2102" s="15"/>
      <c r="B2102" s="16">
        <v>540</v>
      </c>
      <c r="C2102" s="16">
        <v>837</v>
      </c>
      <c r="D2102" s="16">
        <v>27974</v>
      </c>
      <c r="E2102" s="18"/>
      <c r="F2102" s="18" t="s">
        <v>6892</v>
      </c>
      <c r="G2102" s="18" t="s">
        <v>6900</v>
      </c>
      <c r="H2102" s="18" t="s">
        <v>171</v>
      </c>
      <c r="I2102" s="18"/>
      <c r="J2102" s="16">
        <v>2024</v>
      </c>
      <c r="K2102" s="18" t="s">
        <v>6901</v>
      </c>
      <c r="L2102" s="16">
        <v>9785001399834</v>
      </c>
      <c r="M2102" s="18" t="s">
        <v>6902</v>
      </c>
      <c r="N2102" s="16">
        <v>280</v>
      </c>
      <c r="O2102" s="19">
        <v>0.31</v>
      </c>
      <c r="P2102" s="16">
        <v>210</v>
      </c>
      <c r="Q2102" s="16">
        <v>130</v>
      </c>
      <c r="R2102" s="16">
        <v>10</v>
      </c>
      <c r="S2102" s="18" t="s">
        <v>90</v>
      </c>
      <c r="T2102" s="18"/>
      <c r="U2102" s="17">
        <v>2000</v>
      </c>
      <c r="V2102" s="18" t="s">
        <v>77</v>
      </c>
      <c r="W2102" s="18" t="s">
        <v>45</v>
      </c>
      <c r="X2102" s="16">
        <v>10</v>
      </c>
      <c r="Y2102" s="43" t="str">
        <f>HYPERLINK("https://api-enni.alpina.ru/FilePrivilegesApproval/354","https://api-enni.alpina.ru/FilePrivilegesApproval/354")</f>
        <v>https://api-enni.alpina.ru/FilePrivilegesApproval/354</v>
      </c>
      <c r="Z2102" s="18"/>
      <c r="AS2102" s="1">
        <f>IF($A2102&lt;&gt;0,1,0)</f>
        <v>0</v>
      </c>
      <c r="AT2102" s="1">
        <f>$A2102*$B2102</f>
        <v>0</v>
      </c>
      <c r="AU2102" s="1">
        <f>$A2102*$O2102</f>
        <v>0</v>
      </c>
      <c r="AV2102" s="1">
        <f>IF($R2102=0,0,INT($A2102/$R2102))</f>
        <v>0</v>
      </c>
      <c r="AW2102" s="1">
        <f>$A2102-$AV2102*$R2102</f>
        <v>0</v>
      </c>
    </row>
    <row r="2103" ht="21.95" customHeight="1" outlineLevel="3" s="1" customFormat="1">
      <c r="A2103" s="15"/>
      <c r="B2103" s="16">
        <v>803</v>
      </c>
      <c r="C2103" s="17">
        <v>1164</v>
      </c>
      <c r="D2103" s="16">
        <v>31049</v>
      </c>
      <c r="E2103" s="18"/>
      <c r="F2103" s="18" t="s">
        <v>169</v>
      </c>
      <c r="G2103" s="18" t="s">
        <v>170</v>
      </c>
      <c r="H2103" s="18" t="s">
        <v>171</v>
      </c>
      <c r="I2103" s="18"/>
      <c r="J2103" s="16">
        <v>2026</v>
      </c>
      <c r="K2103" s="18" t="s">
        <v>172</v>
      </c>
      <c r="L2103" s="16">
        <v>9785002233236</v>
      </c>
      <c r="M2103" s="18" t="s">
        <v>173</v>
      </c>
      <c r="N2103" s="16">
        <v>400</v>
      </c>
      <c r="O2103" s="19">
        <v>0.48</v>
      </c>
      <c r="P2103" s="16">
        <v>150</v>
      </c>
      <c r="Q2103" s="16">
        <v>220</v>
      </c>
      <c r="R2103" s="16">
        <v>8</v>
      </c>
      <c r="S2103" s="18" t="s">
        <v>43</v>
      </c>
      <c r="T2103" s="18"/>
      <c r="U2103" s="17">
        <v>2000</v>
      </c>
      <c r="V2103" s="18" t="s">
        <v>77</v>
      </c>
      <c r="W2103" s="18" t="s">
        <v>45</v>
      </c>
      <c r="X2103" s="16">
        <v>22</v>
      </c>
      <c r="Y2103" s="43" t="str">
        <f>HYPERLINK("","")</f>
      </c>
      <c r="Z2103" s="18" t="s">
        <v>78</v>
      </c>
      <c r="AS2103" s="1">
        <f>IF($A2103&lt;&gt;0,1,0)</f>
        <v>0</v>
      </c>
      <c r="AT2103" s="1">
        <f>$A2103*$B2103</f>
        <v>0</v>
      </c>
      <c r="AU2103" s="1">
        <f>$A2103*$O2103</f>
        <v>0</v>
      </c>
      <c r="AV2103" s="1">
        <f>IF($R2103=0,0,INT($A2103/$R2103))</f>
        <v>0</v>
      </c>
      <c r="AW2103" s="1">
        <f>$A2103-$AV2103*$R2103</f>
        <v>0</v>
      </c>
    </row>
    <row r="2104" ht="24.95" customHeight="1" outlineLevel="3" s="1" customFormat="1">
      <c r="A2104" s="15"/>
      <c r="B2104" s="16">
        <v>480</v>
      </c>
      <c r="C2104" s="16">
        <v>744</v>
      </c>
      <c r="D2104" s="16">
        <v>27972</v>
      </c>
      <c r="E2104" s="18"/>
      <c r="F2104" s="18" t="s">
        <v>6693</v>
      </c>
      <c r="G2104" s="18" t="s">
        <v>6903</v>
      </c>
      <c r="H2104" s="18" t="s">
        <v>171</v>
      </c>
      <c r="I2104" s="18"/>
      <c r="J2104" s="16">
        <v>2024</v>
      </c>
      <c r="K2104" s="18" t="s">
        <v>6904</v>
      </c>
      <c r="L2104" s="16">
        <v>9785001399827</v>
      </c>
      <c r="M2104" s="18" t="s">
        <v>6905</v>
      </c>
      <c r="N2104" s="16">
        <v>296</v>
      </c>
      <c r="O2104" s="19">
        <v>0.36</v>
      </c>
      <c r="P2104" s="16">
        <v>140</v>
      </c>
      <c r="Q2104" s="16">
        <v>210</v>
      </c>
      <c r="R2104" s="16">
        <v>16</v>
      </c>
      <c r="S2104" s="18" t="s">
        <v>43</v>
      </c>
      <c r="T2104" s="18"/>
      <c r="U2104" s="17">
        <v>2500</v>
      </c>
      <c r="V2104" s="18" t="s">
        <v>44</v>
      </c>
      <c r="W2104" s="18" t="s">
        <v>45</v>
      </c>
      <c r="X2104" s="16">
        <v>10</v>
      </c>
      <c r="Y2104" s="43" t="str">
        <f>HYPERLINK("https://api-enni.alpina.ru/FilePrivilegesApproval/364","https://api-enni.alpina.ru/FilePrivilegesApproval/364")</f>
        <v>https://api-enni.alpina.ru/FilePrivilegesApproval/364</v>
      </c>
      <c r="Z2104" s="18"/>
      <c r="AS2104" s="1">
        <f>IF($A2104&lt;&gt;0,1,0)</f>
        <v>0</v>
      </c>
      <c r="AT2104" s="1">
        <f>$A2104*$B2104</f>
        <v>0</v>
      </c>
      <c r="AU2104" s="1">
        <f>$A2104*$O2104</f>
        <v>0</v>
      </c>
      <c r="AV2104" s="1">
        <f>IF($R2104=0,0,INT($A2104/$R2104))</f>
        <v>0</v>
      </c>
      <c r="AW2104" s="1">
        <f>$A2104-$AV2104*$R2104</f>
        <v>0</v>
      </c>
    </row>
    <row r="2105" ht="24.95" customHeight="1" outlineLevel="3" s="1" customFormat="1">
      <c r="A2105" s="15"/>
      <c r="B2105" s="16">
        <v>590</v>
      </c>
      <c r="C2105" s="16">
        <v>885</v>
      </c>
      <c r="D2105" s="16">
        <v>34030</v>
      </c>
      <c r="E2105" s="18"/>
      <c r="F2105" s="18" t="s">
        <v>541</v>
      </c>
      <c r="G2105" s="18" t="s">
        <v>6906</v>
      </c>
      <c r="H2105" s="18" t="s">
        <v>171</v>
      </c>
      <c r="I2105" s="18"/>
      <c r="J2105" s="16">
        <v>2025</v>
      </c>
      <c r="K2105" s="18" t="s">
        <v>6907</v>
      </c>
      <c r="L2105" s="16">
        <v>9785002236206</v>
      </c>
      <c r="M2105" s="18" t="s">
        <v>6908</v>
      </c>
      <c r="N2105" s="16">
        <v>300</v>
      </c>
      <c r="O2105" s="19">
        <v>0.46</v>
      </c>
      <c r="P2105" s="16">
        <v>150</v>
      </c>
      <c r="Q2105" s="16">
        <v>220</v>
      </c>
      <c r="R2105" s="16">
        <v>14</v>
      </c>
      <c r="S2105" s="18" t="s">
        <v>43</v>
      </c>
      <c r="T2105" s="18"/>
      <c r="U2105" s="17">
        <v>3000</v>
      </c>
      <c r="V2105" s="18" t="s">
        <v>77</v>
      </c>
      <c r="W2105" s="18" t="s">
        <v>69</v>
      </c>
      <c r="X2105" s="16">
        <v>10</v>
      </c>
      <c r="Y2105" s="43" t="str">
        <f>HYPERLINK("https://api-enni.alpina.ru/FilePrivilegesApproval/975","https://api-enni.alpina.ru/FilePrivilegesApproval/975")</f>
        <v>https://api-enni.alpina.ru/FilePrivilegesApproval/975</v>
      </c>
      <c r="Z2105" s="18"/>
      <c r="AS2105" s="1">
        <f>IF($A2105&lt;&gt;0,1,0)</f>
        <v>0</v>
      </c>
      <c r="AT2105" s="1">
        <f>$A2105*$B2105</f>
        <v>0</v>
      </c>
      <c r="AU2105" s="1">
        <f>$A2105*$O2105</f>
        <v>0</v>
      </c>
      <c r="AV2105" s="1">
        <f>IF($R2105=0,0,INT($A2105/$R2105))</f>
        <v>0</v>
      </c>
      <c r="AW2105" s="1">
        <f>$A2105-$AV2105*$R2105</f>
        <v>0</v>
      </c>
    </row>
    <row r="2106" ht="21.95" customHeight="1" outlineLevel="3" s="1" customFormat="1">
      <c r="A2106" s="15"/>
      <c r="B2106" s="16">
        <v>740</v>
      </c>
      <c r="C2106" s="17">
        <v>1073</v>
      </c>
      <c r="D2106" s="16">
        <v>31050</v>
      </c>
      <c r="E2106" s="18"/>
      <c r="F2106" s="18" t="s">
        <v>6909</v>
      </c>
      <c r="G2106" s="18" t="s">
        <v>6910</v>
      </c>
      <c r="H2106" s="18" t="s">
        <v>171</v>
      </c>
      <c r="I2106" s="18"/>
      <c r="J2106" s="16">
        <v>2025</v>
      </c>
      <c r="K2106" s="18" t="s">
        <v>6911</v>
      </c>
      <c r="L2106" s="16">
        <v>9785002233243</v>
      </c>
      <c r="M2106" s="18" t="s">
        <v>6912</v>
      </c>
      <c r="N2106" s="16">
        <v>414</v>
      </c>
      <c r="O2106" s="19">
        <v>0.38</v>
      </c>
      <c r="P2106" s="16">
        <v>130</v>
      </c>
      <c r="Q2106" s="16">
        <v>210</v>
      </c>
      <c r="R2106" s="16">
        <v>8</v>
      </c>
      <c r="S2106" s="18" t="s">
        <v>90</v>
      </c>
      <c r="T2106" s="18"/>
      <c r="U2106" s="17">
        <v>2000</v>
      </c>
      <c r="V2106" s="18" t="s">
        <v>77</v>
      </c>
      <c r="W2106" s="18" t="s">
        <v>45</v>
      </c>
      <c r="X2106" s="16">
        <v>22</v>
      </c>
      <c r="Y2106" s="43" t="str">
        <f>HYPERLINK("","")</f>
      </c>
      <c r="Z2106" s="18"/>
      <c r="AS2106" s="1">
        <f>IF($A2106&lt;&gt;0,1,0)</f>
        <v>0</v>
      </c>
      <c r="AT2106" s="1">
        <f>$A2106*$B2106</f>
        <v>0</v>
      </c>
      <c r="AU2106" s="1">
        <f>$A2106*$O2106</f>
        <v>0</v>
      </c>
      <c r="AV2106" s="1">
        <f>IF($R2106=0,0,INT($A2106/$R2106))</f>
        <v>0</v>
      </c>
      <c r="AW2106" s="1">
        <f>$A2106-$AV2106*$R2106</f>
        <v>0</v>
      </c>
    </row>
    <row r="2107" ht="21.95" customHeight="1" outlineLevel="3" s="1" customFormat="1">
      <c r="A2107" s="15"/>
      <c r="B2107" s="16">
        <v>549</v>
      </c>
      <c r="C2107" s="16">
        <v>851</v>
      </c>
      <c r="D2107" s="16">
        <v>27332</v>
      </c>
      <c r="E2107" s="18"/>
      <c r="F2107" s="18" t="s">
        <v>754</v>
      </c>
      <c r="G2107" s="18" t="s">
        <v>6913</v>
      </c>
      <c r="H2107" s="18" t="s">
        <v>171</v>
      </c>
      <c r="I2107" s="18"/>
      <c r="J2107" s="16">
        <v>2023</v>
      </c>
      <c r="K2107" s="18" t="s">
        <v>6914</v>
      </c>
      <c r="L2107" s="16">
        <v>9785001399155</v>
      </c>
      <c r="M2107" s="18" t="s">
        <v>6915</v>
      </c>
      <c r="N2107" s="16">
        <v>320</v>
      </c>
      <c r="O2107" s="19">
        <v>0.4</v>
      </c>
      <c r="P2107" s="16">
        <v>150</v>
      </c>
      <c r="Q2107" s="16">
        <v>220</v>
      </c>
      <c r="R2107" s="16">
        <v>12</v>
      </c>
      <c r="S2107" s="18" t="s">
        <v>43</v>
      </c>
      <c r="T2107" s="18"/>
      <c r="U2107" s="17">
        <v>2500</v>
      </c>
      <c r="V2107" s="18" t="s">
        <v>77</v>
      </c>
      <c r="W2107" s="18" t="s">
        <v>45</v>
      </c>
      <c r="X2107" s="16">
        <v>22</v>
      </c>
      <c r="Y2107" s="43" t="str">
        <f>HYPERLINK("","")</f>
      </c>
      <c r="Z2107" s="18"/>
      <c r="AS2107" s="1">
        <f>IF($A2107&lt;&gt;0,1,0)</f>
        <v>0</v>
      </c>
      <c r="AT2107" s="1">
        <f>$A2107*$B2107</f>
        <v>0</v>
      </c>
      <c r="AU2107" s="1">
        <f>$A2107*$O2107</f>
        <v>0</v>
      </c>
      <c r="AV2107" s="1">
        <f>IF($R2107=0,0,INT($A2107/$R2107))</f>
        <v>0</v>
      </c>
      <c r="AW2107" s="1">
        <f>$A2107-$AV2107*$R2107</f>
        <v>0</v>
      </c>
    </row>
    <row r="2108" ht="24.95" customHeight="1" outlineLevel="3" s="1" customFormat="1">
      <c r="A2108" s="15"/>
      <c r="B2108" s="16">
        <v>790</v>
      </c>
      <c r="C2108" s="17">
        <v>1146</v>
      </c>
      <c r="D2108" s="16">
        <v>32889</v>
      </c>
      <c r="E2108" s="18"/>
      <c r="F2108" s="18" t="s">
        <v>6814</v>
      </c>
      <c r="G2108" s="18" t="s">
        <v>6916</v>
      </c>
      <c r="H2108" s="18" t="s">
        <v>171</v>
      </c>
      <c r="I2108" s="18"/>
      <c r="J2108" s="16">
        <v>2025</v>
      </c>
      <c r="K2108" s="18" t="s">
        <v>6917</v>
      </c>
      <c r="L2108" s="16">
        <v>9785002235216</v>
      </c>
      <c r="M2108" s="18" t="s">
        <v>6918</v>
      </c>
      <c r="N2108" s="16">
        <v>512</v>
      </c>
      <c r="O2108" s="19">
        <v>0.53</v>
      </c>
      <c r="P2108" s="16">
        <v>150</v>
      </c>
      <c r="Q2108" s="16">
        <v>220</v>
      </c>
      <c r="R2108" s="16">
        <v>8</v>
      </c>
      <c r="S2108" s="18" t="s">
        <v>43</v>
      </c>
      <c r="T2108" s="18"/>
      <c r="U2108" s="17">
        <v>2500</v>
      </c>
      <c r="V2108" s="18" t="s">
        <v>77</v>
      </c>
      <c r="W2108" s="18" t="s">
        <v>45</v>
      </c>
      <c r="X2108" s="16">
        <v>10</v>
      </c>
      <c r="Y2108" s="43" t="str">
        <f>HYPERLINK("https://api-enni.alpina.ru/FilePrivilegesApproval/955","https://api-enni.alpina.ru/FilePrivilegesApproval/955")</f>
        <v>https://api-enni.alpina.ru/FilePrivilegesApproval/955</v>
      </c>
      <c r="Z2108" s="18"/>
      <c r="AS2108" s="1">
        <f>IF($A2108&lt;&gt;0,1,0)</f>
        <v>0</v>
      </c>
      <c r="AT2108" s="1">
        <f>$A2108*$B2108</f>
        <v>0</v>
      </c>
      <c r="AU2108" s="1">
        <f>$A2108*$O2108</f>
        <v>0</v>
      </c>
      <c r="AV2108" s="1">
        <f>IF($R2108=0,0,INT($A2108/$R2108))</f>
        <v>0</v>
      </c>
      <c r="AW2108" s="1">
        <f>$A2108-$AV2108*$R2108</f>
        <v>0</v>
      </c>
    </row>
    <row r="2109" ht="24.95" customHeight="1" outlineLevel="3" s="1" customFormat="1">
      <c r="A2109" s="15"/>
      <c r="B2109" s="16">
        <v>510</v>
      </c>
      <c r="C2109" s="16">
        <v>790</v>
      </c>
      <c r="D2109" s="16">
        <v>28826</v>
      </c>
      <c r="E2109" s="18"/>
      <c r="F2109" s="18" t="s">
        <v>6919</v>
      </c>
      <c r="G2109" s="18" t="s">
        <v>6920</v>
      </c>
      <c r="H2109" s="18" t="s">
        <v>171</v>
      </c>
      <c r="I2109" s="18"/>
      <c r="J2109" s="16">
        <v>2026</v>
      </c>
      <c r="K2109" s="18" t="s">
        <v>6921</v>
      </c>
      <c r="L2109" s="16">
        <v>9785002230600</v>
      </c>
      <c r="M2109" s="18" t="s">
        <v>6922</v>
      </c>
      <c r="N2109" s="16">
        <v>256</v>
      </c>
      <c r="O2109" s="19">
        <v>0.24</v>
      </c>
      <c r="P2109" s="16">
        <v>140</v>
      </c>
      <c r="Q2109" s="16">
        <v>200</v>
      </c>
      <c r="R2109" s="16">
        <v>12</v>
      </c>
      <c r="S2109" s="18" t="s">
        <v>43</v>
      </c>
      <c r="T2109" s="18"/>
      <c r="U2109" s="17">
        <v>2000</v>
      </c>
      <c r="V2109" s="18" t="s">
        <v>44</v>
      </c>
      <c r="W2109" s="18" t="s">
        <v>45</v>
      </c>
      <c r="X2109" s="16">
        <v>10</v>
      </c>
      <c r="Y2109" s="43" t="str">
        <f>HYPERLINK("https://api-enni.alpina.ru/FilePrivilegesApproval/343","https://api-enni.alpina.ru/FilePrivilegesApproval/343")</f>
        <v>https://api-enni.alpina.ru/FilePrivilegesApproval/343</v>
      </c>
      <c r="Z2109" s="18" t="s">
        <v>1958</v>
      </c>
      <c r="AS2109" s="1">
        <f>IF($A2109&lt;&gt;0,1,0)</f>
        <v>0</v>
      </c>
      <c r="AT2109" s="1">
        <f>$A2109*$B2109</f>
        <v>0</v>
      </c>
      <c r="AU2109" s="1">
        <f>$A2109*$O2109</f>
        <v>0</v>
      </c>
      <c r="AV2109" s="1">
        <f>IF($R2109=0,0,INT($A2109/$R2109))</f>
        <v>0</v>
      </c>
      <c r="AW2109" s="1">
        <f>$A2109-$AV2109*$R2109</f>
        <v>0</v>
      </c>
    </row>
    <row r="2110" ht="24.95" customHeight="1" outlineLevel="3" s="1" customFormat="1">
      <c r="A2110" s="15"/>
      <c r="B2110" s="16">
        <v>440</v>
      </c>
      <c r="C2110" s="16">
        <v>682</v>
      </c>
      <c r="D2110" s="16">
        <v>30109</v>
      </c>
      <c r="E2110" s="18"/>
      <c r="F2110" s="18" t="s">
        <v>412</v>
      </c>
      <c r="G2110" s="18" t="s">
        <v>6923</v>
      </c>
      <c r="H2110" s="18" t="s">
        <v>171</v>
      </c>
      <c r="I2110" s="18"/>
      <c r="J2110" s="16">
        <v>2024</v>
      </c>
      <c r="K2110" s="18" t="s">
        <v>6924</v>
      </c>
      <c r="L2110" s="16">
        <v>9785002232307</v>
      </c>
      <c r="M2110" s="18" t="s">
        <v>6925</v>
      </c>
      <c r="N2110" s="16">
        <v>384</v>
      </c>
      <c r="O2110" s="19">
        <v>0.24</v>
      </c>
      <c r="P2110" s="16">
        <v>120</v>
      </c>
      <c r="Q2110" s="16">
        <v>170</v>
      </c>
      <c r="R2110" s="16">
        <v>14</v>
      </c>
      <c r="S2110" s="18" t="s">
        <v>190</v>
      </c>
      <c r="T2110" s="18" t="s">
        <v>6670</v>
      </c>
      <c r="U2110" s="17">
        <v>4000</v>
      </c>
      <c r="V2110" s="18" t="s">
        <v>44</v>
      </c>
      <c r="W2110" s="18" t="s">
        <v>45</v>
      </c>
      <c r="X2110" s="16">
        <v>10</v>
      </c>
      <c r="Y2110" s="43" t="str">
        <f>HYPERLINK("","")</f>
      </c>
      <c r="Z2110" s="18"/>
      <c r="AS2110" s="1">
        <f>IF($A2110&lt;&gt;0,1,0)</f>
        <v>0</v>
      </c>
      <c r="AT2110" s="1">
        <f>$A2110*$B2110</f>
        <v>0</v>
      </c>
      <c r="AU2110" s="1">
        <f>$A2110*$O2110</f>
        <v>0</v>
      </c>
      <c r="AV2110" s="1">
        <f>IF($R2110=0,0,INT($A2110/$R2110))</f>
        <v>0</v>
      </c>
      <c r="AW2110" s="1">
        <f>$A2110-$AV2110*$R2110</f>
        <v>0</v>
      </c>
    </row>
    <row r="2111" ht="24.95" customHeight="1" outlineLevel="3" s="1" customFormat="1">
      <c r="A2111" s="15"/>
      <c r="B2111" s="16">
        <v>640</v>
      </c>
      <c r="C2111" s="16">
        <v>960</v>
      </c>
      <c r="D2111" s="16">
        <v>24717</v>
      </c>
      <c r="E2111" s="18"/>
      <c r="F2111" s="18" t="s">
        <v>6926</v>
      </c>
      <c r="G2111" s="18" t="s">
        <v>6927</v>
      </c>
      <c r="H2111" s="18" t="s">
        <v>171</v>
      </c>
      <c r="I2111" s="18"/>
      <c r="J2111" s="16">
        <v>2022</v>
      </c>
      <c r="K2111" s="18" t="s">
        <v>6928</v>
      </c>
      <c r="L2111" s="16">
        <v>9785001396123</v>
      </c>
      <c r="M2111" s="18" t="s">
        <v>6929</v>
      </c>
      <c r="N2111" s="16">
        <v>360</v>
      </c>
      <c r="O2111" s="19">
        <v>0.5</v>
      </c>
      <c r="P2111" s="16">
        <v>146</v>
      </c>
      <c r="Q2111" s="16">
        <v>216</v>
      </c>
      <c r="R2111" s="16">
        <v>8</v>
      </c>
      <c r="S2111" s="18" t="s">
        <v>43</v>
      </c>
      <c r="T2111" s="18"/>
      <c r="U2111" s="17">
        <v>3000</v>
      </c>
      <c r="V2111" s="18" t="s">
        <v>77</v>
      </c>
      <c r="W2111" s="18" t="s">
        <v>91</v>
      </c>
      <c r="X2111" s="16">
        <v>10</v>
      </c>
      <c r="Y2111" s="43" t="str">
        <f>HYPERLINK("https://api-enni.alpina.ru/FilePrivilegesApproval/179","https://api-enni.alpina.ru/FilePrivilegesApproval/179")</f>
        <v>https://api-enni.alpina.ru/FilePrivilegesApproval/179</v>
      </c>
      <c r="Z2111" s="18"/>
      <c r="AS2111" s="1">
        <f>IF($A2111&lt;&gt;0,1,0)</f>
        <v>0</v>
      </c>
      <c r="AT2111" s="1">
        <f>$A2111*$B2111</f>
        <v>0</v>
      </c>
      <c r="AU2111" s="1">
        <f>$A2111*$O2111</f>
        <v>0</v>
      </c>
      <c r="AV2111" s="1">
        <f>IF($R2111=0,0,INT($A2111/$R2111))</f>
        <v>0</v>
      </c>
      <c r="AW2111" s="1">
        <f>$A2111-$AV2111*$R2111</f>
        <v>0</v>
      </c>
    </row>
    <row r="2112" ht="24.95" customHeight="1" outlineLevel="3" s="1" customFormat="1">
      <c r="A2112" s="15"/>
      <c r="B2112" s="16">
        <v>690</v>
      </c>
      <c r="C2112" s="17">
        <v>1035</v>
      </c>
      <c r="D2112" s="16">
        <v>37001</v>
      </c>
      <c r="E2112" s="18"/>
      <c r="F2112" s="18" t="s">
        <v>191</v>
      </c>
      <c r="G2112" s="18" t="s">
        <v>192</v>
      </c>
      <c r="H2112" s="18" t="s">
        <v>171</v>
      </c>
      <c r="I2112" s="18"/>
      <c r="J2112" s="16">
        <v>2026</v>
      </c>
      <c r="K2112" s="18" t="s">
        <v>193</v>
      </c>
      <c r="L2112" s="16">
        <v>9785002239245</v>
      </c>
      <c r="M2112" s="18" t="s">
        <v>194</v>
      </c>
      <c r="N2112" s="16">
        <v>128</v>
      </c>
      <c r="O2112" s="19">
        <v>0.22</v>
      </c>
      <c r="P2112" s="16">
        <v>130</v>
      </c>
      <c r="Q2112" s="16">
        <v>210</v>
      </c>
      <c r="R2112" s="16">
        <v>24</v>
      </c>
      <c r="S2112" s="18" t="s">
        <v>90</v>
      </c>
      <c r="T2112" s="18"/>
      <c r="U2112" s="17">
        <v>2000</v>
      </c>
      <c r="V2112" s="18" t="s">
        <v>77</v>
      </c>
      <c r="W2112" s="18" t="s">
        <v>45</v>
      </c>
      <c r="X2112" s="16">
        <v>22</v>
      </c>
      <c r="Y2112" s="43" t="str">
        <f>HYPERLINK("","")</f>
      </c>
      <c r="Z2112" s="18" t="s">
        <v>103</v>
      </c>
      <c r="AS2112" s="1">
        <f>IF($A2112&lt;&gt;0,1,0)</f>
        <v>0</v>
      </c>
      <c r="AT2112" s="1">
        <f>$A2112*$B2112</f>
        <v>0</v>
      </c>
      <c r="AU2112" s="1">
        <f>$A2112*$O2112</f>
        <v>0</v>
      </c>
      <c r="AV2112" s="1">
        <f>IF($R2112=0,0,INT($A2112/$R2112))</f>
        <v>0</v>
      </c>
      <c r="AW2112" s="1">
        <f>$A2112-$AV2112*$R2112</f>
        <v>0</v>
      </c>
    </row>
    <row r="2113" ht="24.95" customHeight="1" outlineLevel="3" s="1" customFormat="1">
      <c r="A2113" s="25"/>
      <c r="B2113" s="26">
        <v>590</v>
      </c>
      <c r="C2113" s="26">
        <v>885</v>
      </c>
      <c r="D2113" s="26">
        <v>34344</v>
      </c>
      <c r="E2113" s="27"/>
      <c r="F2113" s="27" t="s">
        <v>199</v>
      </c>
      <c r="G2113" s="27" t="s">
        <v>6930</v>
      </c>
      <c r="H2113" s="27" t="s">
        <v>171</v>
      </c>
      <c r="I2113" s="27" t="s">
        <v>87</v>
      </c>
      <c r="J2113" s="26">
        <v>2025</v>
      </c>
      <c r="K2113" s="27" t="s">
        <v>6931</v>
      </c>
      <c r="L2113" s="26">
        <v>9785002236602</v>
      </c>
      <c r="M2113" s="27" t="s">
        <v>6932</v>
      </c>
      <c r="N2113" s="26">
        <v>160</v>
      </c>
      <c r="O2113" s="28">
        <v>0.15</v>
      </c>
      <c r="P2113" s="26">
        <v>140</v>
      </c>
      <c r="Q2113" s="26">
        <v>210</v>
      </c>
      <c r="R2113" s="26">
        <v>10</v>
      </c>
      <c r="S2113" s="27" t="s">
        <v>43</v>
      </c>
      <c r="T2113" s="27" t="s">
        <v>878</v>
      </c>
      <c r="U2113" s="29">
        <v>1000</v>
      </c>
      <c r="V2113" s="27" t="s">
        <v>44</v>
      </c>
      <c r="W2113" s="27" t="s">
        <v>45</v>
      </c>
      <c r="X2113" s="26">
        <v>10</v>
      </c>
      <c r="Y2113" s="45" t="str">
        <f>HYPERLINK("https://api-enni.alpina.ru/FilePrivilegesApproval/408","https://api-enni.alpina.ru/FilePrivilegesApproval/408")</f>
        <v>https://api-enni.alpina.ru/FilePrivilegesApproval/408</v>
      </c>
      <c r="Z2113" s="27"/>
      <c r="AS2113" s="1">
        <f>IF($A2113&lt;&gt;0,1,0)</f>
        <v>0</v>
      </c>
      <c r="AT2113" s="1">
        <f>$A2113*$B2113</f>
        <v>0</v>
      </c>
      <c r="AU2113" s="1">
        <f>$A2113*$O2113</f>
        <v>0</v>
      </c>
      <c r="AV2113" s="1">
        <f>IF($R2113=0,0,INT($A2113/$R2113))</f>
        <v>0</v>
      </c>
      <c r="AW2113" s="1">
        <f>$A2113-$AV2113*$R2113</f>
        <v>0</v>
      </c>
    </row>
    <row r="2114" ht="24.95" customHeight="1" outlineLevel="3" s="1" customFormat="1">
      <c r="A2114" s="15"/>
      <c r="B2114" s="16">
        <v>690</v>
      </c>
      <c r="C2114" s="17">
        <v>1035</v>
      </c>
      <c r="D2114" s="16">
        <v>31758</v>
      </c>
      <c r="E2114" s="18"/>
      <c r="F2114" s="18" t="s">
        <v>6933</v>
      </c>
      <c r="G2114" s="18" t="s">
        <v>6934</v>
      </c>
      <c r="H2114" s="18" t="s">
        <v>171</v>
      </c>
      <c r="I2114" s="18"/>
      <c r="J2114" s="16">
        <v>2025</v>
      </c>
      <c r="K2114" s="18" t="s">
        <v>6935</v>
      </c>
      <c r="L2114" s="16">
        <v>9785002234202</v>
      </c>
      <c r="M2114" s="18" t="s">
        <v>6936</v>
      </c>
      <c r="N2114" s="16">
        <v>416</v>
      </c>
      <c r="O2114" s="19">
        <v>0.33</v>
      </c>
      <c r="P2114" s="16">
        <v>150</v>
      </c>
      <c r="Q2114" s="16">
        <v>200</v>
      </c>
      <c r="R2114" s="16">
        <v>12</v>
      </c>
      <c r="S2114" s="18" t="s">
        <v>43</v>
      </c>
      <c r="T2114" s="18"/>
      <c r="U2114" s="17">
        <v>2000</v>
      </c>
      <c r="V2114" s="18" t="s">
        <v>44</v>
      </c>
      <c r="W2114" s="18" t="s">
        <v>45</v>
      </c>
      <c r="X2114" s="16">
        <v>10</v>
      </c>
      <c r="Y2114" s="43" t="str">
        <f>HYPERLINK("https://api-enni.alpina.ru/FilePrivilegesApproval/776","https://api-enni.alpina.ru/FilePrivilegesApproval/776")</f>
        <v>https://api-enni.alpina.ru/FilePrivilegesApproval/776</v>
      </c>
      <c r="Z2114" s="18"/>
      <c r="AS2114" s="1">
        <f>IF($A2114&lt;&gt;0,1,0)</f>
        <v>0</v>
      </c>
      <c r="AT2114" s="1">
        <f>$A2114*$B2114</f>
        <v>0</v>
      </c>
      <c r="AU2114" s="1">
        <f>$A2114*$O2114</f>
        <v>0</v>
      </c>
      <c r="AV2114" s="1">
        <f>IF($R2114=0,0,INT($A2114/$R2114))</f>
        <v>0</v>
      </c>
      <c r="AW2114" s="1">
        <f>$A2114-$AV2114*$R2114</f>
        <v>0</v>
      </c>
    </row>
    <row r="2115" ht="24.95" customHeight="1" outlineLevel="3" s="1" customFormat="1">
      <c r="A2115" s="15"/>
      <c r="B2115" s="16">
        <v>640</v>
      </c>
      <c r="C2115" s="16">
        <v>960</v>
      </c>
      <c r="D2115" s="16">
        <v>28654</v>
      </c>
      <c r="E2115" s="18"/>
      <c r="F2115" s="18" t="s">
        <v>6892</v>
      </c>
      <c r="G2115" s="18" t="s">
        <v>6937</v>
      </c>
      <c r="H2115" s="18" t="s">
        <v>171</v>
      </c>
      <c r="I2115" s="18"/>
      <c r="J2115" s="16">
        <v>2024</v>
      </c>
      <c r="K2115" s="18" t="s">
        <v>6938</v>
      </c>
      <c r="L2115" s="16">
        <v>9785002230440</v>
      </c>
      <c r="M2115" s="18" t="s">
        <v>6939</v>
      </c>
      <c r="N2115" s="16">
        <v>288</v>
      </c>
      <c r="O2115" s="19">
        <v>0.23</v>
      </c>
      <c r="P2115" s="16">
        <v>120</v>
      </c>
      <c r="Q2115" s="16">
        <v>200</v>
      </c>
      <c r="R2115" s="16">
        <v>12</v>
      </c>
      <c r="S2115" s="18" t="s">
        <v>90</v>
      </c>
      <c r="T2115" s="18"/>
      <c r="U2115" s="17">
        <v>2000</v>
      </c>
      <c r="V2115" s="18" t="s">
        <v>44</v>
      </c>
      <c r="W2115" s="18" t="s">
        <v>45</v>
      </c>
      <c r="X2115" s="16">
        <v>22</v>
      </c>
      <c r="Y2115" s="43" t="str">
        <f>HYPERLINK("https://api-enni.alpina.ru/FilePrivilegesApproval/419","https://api-enni.alpina.ru/FilePrivilegesApproval/419")</f>
        <v>https://api-enni.alpina.ru/FilePrivilegesApproval/419</v>
      </c>
      <c r="Z2115" s="18"/>
      <c r="AS2115" s="1">
        <f>IF($A2115&lt;&gt;0,1,0)</f>
        <v>0</v>
      </c>
      <c r="AT2115" s="1">
        <f>$A2115*$B2115</f>
        <v>0</v>
      </c>
      <c r="AU2115" s="1">
        <f>$A2115*$O2115</f>
        <v>0</v>
      </c>
      <c r="AV2115" s="1">
        <f>IF($R2115=0,0,INT($A2115/$R2115))</f>
        <v>0</v>
      </c>
      <c r="AW2115" s="1">
        <f>$A2115-$AV2115*$R2115</f>
        <v>0</v>
      </c>
    </row>
    <row r="2116" ht="24.95" customHeight="1" outlineLevel="3" s="1" customFormat="1">
      <c r="A2116" s="15"/>
      <c r="B2116" s="16">
        <v>690</v>
      </c>
      <c r="C2116" s="17">
        <v>1035</v>
      </c>
      <c r="D2116" s="16">
        <v>33507</v>
      </c>
      <c r="E2116" s="18"/>
      <c r="F2116" s="18" t="s">
        <v>6940</v>
      </c>
      <c r="G2116" s="18" t="s">
        <v>6941</v>
      </c>
      <c r="H2116" s="18" t="s">
        <v>171</v>
      </c>
      <c r="I2116" s="18"/>
      <c r="J2116" s="16">
        <v>2025</v>
      </c>
      <c r="K2116" s="18" t="s">
        <v>6942</v>
      </c>
      <c r="L2116" s="16">
        <v>9785002235643</v>
      </c>
      <c r="M2116" s="18" t="s">
        <v>6943</v>
      </c>
      <c r="N2116" s="16">
        <v>382</v>
      </c>
      <c r="O2116" s="19">
        <v>0.42</v>
      </c>
      <c r="P2116" s="16">
        <v>150</v>
      </c>
      <c r="Q2116" s="16">
        <v>220</v>
      </c>
      <c r="R2116" s="16">
        <v>12</v>
      </c>
      <c r="S2116" s="18" t="s">
        <v>43</v>
      </c>
      <c r="T2116" s="18"/>
      <c r="U2116" s="17">
        <v>2000</v>
      </c>
      <c r="V2116" s="18" t="s">
        <v>77</v>
      </c>
      <c r="W2116" s="18" t="s">
        <v>69</v>
      </c>
      <c r="X2116" s="16">
        <v>10</v>
      </c>
      <c r="Y2116" s="43" t="str">
        <f>HYPERLINK("https://api-enni.alpina.ru/FilePrivilegesApproval/919","https://api-enni.alpina.ru/FilePrivilegesApproval/919")</f>
        <v>https://api-enni.alpina.ru/FilePrivilegesApproval/919</v>
      </c>
      <c r="Z2116" s="18"/>
      <c r="AS2116" s="1">
        <f>IF($A2116&lt;&gt;0,1,0)</f>
        <v>0</v>
      </c>
      <c r="AT2116" s="1">
        <f>$A2116*$B2116</f>
        <v>0</v>
      </c>
      <c r="AU2116" s="1">
        <f>$A2116*$O2116</f>
        <v>0</v>
      </c>
      <c r="AV2116" s="1">
        <f>IF($R2116=0,0,INT($A2116/$R2116))</f>
        <v>0</v>
      </c>
      <c r="AW2116" s="1">
        <f>$A2116-$AV2116*$R2116</f>
        <v>0</v>
      </c>
    </row>
    <row r="2117" ht="24.95" customHeight="1" outlineLevel="3" s="1" customFormat="1">
      <c r="A2117" s="15"/>
      <c r="B2117" s="16">
        <v>540</v>
      </c>
      <c r="C2117" s="16">
        <v>837</v>
      </c>
      <c r="D2117" s="16">
        <v>23246</v>
      </c>
      <c r="E2117" s="18"/>
      <c r="F2117" s="18" t="s">
        <v>6703</v>
      </c>
      <c r="G2117" s="18" t="s">
        <v>6944</v>
      </c>
      <c r="H2117" s="18" t="s">
        <v>171</v>
      </c>
      <c r="I2117" s="18"/>
      <c r="J2117" s="16">
        <v>2021</v>
      </c>
      <c r="K2117" s="18" t="s">
        <v>6945</v>
      </c>
      <c r="L2117" s="16">
        <v>9785001395553</v>
      </c>
      <c r="M2117" s="18" t="s">
        <v>6946</v>
      </c>
      <c r="N2117" s="16">
        <v>296</v>
      </c>
      <c r="O2117" s="19">
        <v>0.34</v>
      </c>
      <c r="P2117" s="16">
        <v>130</v>
      </c>
      <c r="Q2117" s="16">
        <v>206</v>
      </c>
      <c r="R2117" s="16">
        <v>14</v>
      </c>
      <c r="S2117" s="18" t="s">
        <v>90</v>
      </c>
      <c r="T2117" s="18"/>
      <c r="U2117" s="17">
        <v>3000</v>
      </c>
      <c r="V2117" s="18" t="s">
        <v>77</v>
      </c>
      <c r="W2117" s="18" t="s">
        <v>45</v>
      </c>
      <c r="X2117" s="16">
        <v>10</v>
      </c>
      <c r="Y2117" s="43" t="str">
        <f>HYPERLINK("https://api-enni.alpina.ru/FilePrivilegesApproval/149","https://api-enni.alpina.ru/FilePrivilegesApproval/149")</f>
        <v>https://api-enni.alpina.ru/FilePrivilegesApproval/149</v>
      </c>
      <c r="Z2117" s="18"/>
      <c r="AS2117" s="1">
        <f>IF($A2117&lt;&gt;0,1,0)</f>
        <v>0</v>
      </c>
      <c r="AT2117" s="1">
        <f>$A2117*$B2117</f>
        <v>0</v>
      </c>
      <c r="AU2117" s="1">
        <f>$A2117*$O2117</f>
        <v>0</v>
      </c>
      <c r="AV2117" s="1">
        <f>IF($R2117=0,0,INT($A2117/$R2117))</f>
        <v>0</v>
      </c>
      <c r="AW2117" s="1">
        <f>$A2117-$AV2117*$R2117</f>
        <v>0</v>
      </c>
    </row>
    <row r="2118" ht="21.95" customHeight="1" outlineLevel="3" s="1" customFormat="1">
      <c r="A2118" s="15"/>
      <c r="B2118" s="16">
        <v>498</v>
      </c>
      <c r="C2118" s="16">
        <v>772</v>
      </c>
      <c r="D2118" s="16">
        <v>30961</v>
      </c>
      <c r="E2118" s="18"/>
      <c r="F2118" s="18" t="s">
        <v>6919</v>
      </c>
      <c r="G2118" s="18" t="s">
        <v>6947</v>
      </c>
      <c r="H2118" s="18" t="s">
        <v>171</v>
      </c>
      <c r="I2118" s="18"/>
      <c r="J2118" s="16">
        <v>2024</v>
      </c>
      <c r="K2118" s="18" t="s">
        <v>6948</v>
      </c>
      <c r="L2118" s="16">
        <v>9785002233106</v>
      </c>
      <c r="M2118" s="18" t="s">
        <v>6949</v>
      </c>
      <c r="N2118" s="16">
        <v>174</v>
      </c>
      <c r="O2118" s="19">
        <v>0.14</v>
      </c>
      <c r="P2118" s="16">
        <v>130</v>
      </c>
      <c r="Q2118" s="16">
        <v>200</v>
      </c>
      <c r="R2118" s="16">
        <v>20</v>
      </c>
      <c r="S2118" s="18" t="s">
        <v>90</v>
      </c>
      <c r="T2118" s="18"/>
      <c r="U2118" s="17">
        <v>3000</v>
      </c>
      <c r="V2118" s="18" t="s">
        <v>44</v>
      </c>
      <c r="W2118" s="18" t="s">
        <v>45</v>
      </c>
      <c r="X2118" s="16">
        <v>22</v>
      </c>
      <c r="Y2118" s="43" t="str">
        <f>HYPERLINK("","")</f>
      </c>
      <c r="Z2118" s="18"/>
      <c r="AS2118" s="1">
        <f>IF($A2118&lt;&gt;0,1,0)</f>
        <v>0</v>
      </c>
      <c r="AT2118" s="1">
        <f>$A2118*$B2118</f>
        <v>0</v>
      </c>
      <c r="AU2118" s="1">
        <f>$A2118*$O2118</f>
        <v>0</v>
      </c>
      <c r="AV2118" s="1">
        <f>IF($R2118=0,0,INT($A2118/$R2118))</f>
        <v>0</v>
      </c>
      <c r="AW2118" s="1">
        <f>$A2118-$AV2118*$R2118</f>
        <v>0</v>
      </c>
    </row>
    <row r="2119" ht="24.95" customHeight="1" outlineLevel="3" s="1" customFormat="1">
      <c r="A2119" s="15"/>
      <c r="B2119" s="16">
        <v>440</v>
      </c>
      <c r="C2119" s="16">
        <v>682</v>
      </c>
      <c r="D2119" s="16">
        <v>28984</v>
      </c>
      <c r="E2119" s="18"/>
      <c r="F2119" s="18" t="s">
        <v>6950</v>
      </c>
      <c r="G2119" s="18" t="s">
        <v>6951</v>
      </c>
      <c r="H2119" s="18" t="s">
        <v>171</v>
      </c>
      <c r="I2119" s="18"/>
      <c r="J2119" s="16">
        <v>2025</v>
      </c>
      <c r="K2119" s="18" t="s">
        <v>6952</v>
      </c>
      <c r="L2119" s="16">
        <v>9785002230983</v>
      </c>
      <c r="M2119" s="18" t="s">
        <v>6953</v>
      </c>
      <c r="N2119" s="16">
        <v>266</v>
      </c>
      <c r="O2119" s="19">
        <v>0.17</v>
      </c>
      <c r="P2119" s="16">
        <v>120</v>
      </c>
      <c r="Q2119" s="16">
        <v>170</v>
      </c>
      <c r="R2119" s="16">
        <v>24</v>
      </c>
      <c r="S2119" s="18" t="s">
        <v>190</v>
      </c>
      <c r="T2119" s="18" t="s">
        <v>6717</v>
      </c>
      <c r="U2119" s="17">
        <v>1500</v>
      </c>
      <c r="V2119" s="18" t="s">
        <v>44</v>
      </c>
      <c r="W2119" s="18" t="s">
        <v>45</v>
      </c>
      <c r="X2119" s="16">
        <v>10</v>
      </c>
      <c r="Y2119" s="43" t="str">
        <f>HYPERLINK("https://api-enni.alpina.ru/FilePrivilegesApproval/776","https://api-enni.alpina.ru/FilePrivilegesApproval/776")</f>
        <v>https://api-enni.alpina.ru/FilePrivilegesApproval/776</v>
      </c>
      <c r="Z2119" s="18"/>
      <c r="AS2119" s="1">
        <f>IF($A2119&lt;&gt;0,1,0)</f>
        <v>0</v>
      </c>
      <c r="AT2119" s="1">
        <f>$A2119*$B2119</f>
        <v>0</v>
      </c>
      <c r="AU2119" s="1">
        <f>$A2119*$O2119</f>
        <v>0</v>
      </c>
      <c r="AV2119" s="1">
        <f>IF($R2119=0,0,INT($A2119/$R2119))</f>
        <v>0</v>
      </c>
      <c r="AW2119" s="1">
        <f>$A2119-$AV2119*$R2119</f>
        <v>0</v>
      </c>
    </row>
    <row r="2120" ht="24.95" customHeight="1" outlineLevel="3" s="1" customFormat="1">
      <c r="A2120" s="15"/>
      <c r="B2120" s="16">
        <v>640</v>
      </c>
      <c r="C2120" s="16">
        <v>960</v>
      </c>
      <c r="D2120" s="16">
        <v>25360</v>
      </c>
      <c r="E2120" s="18"/>
      <c r="F2120" s="18" t="s">
        <v>412</v>
      </c>
      <c r="G2120" s="18" t="s">
        <v>6954</v>
      </c>
      <c r="H2120" s="18" t="s">
        <v>171</v>
      </c>
      <c r="I2120" s="18"/>
      <c r="J2120" s="16">
        <v>2022</v>
      </c>
      <c r="K2120" s="18" t="s">
        <v>6955</v>
      </c>
      <c r="L2120" s="16">
        <v>9785001397014</v>
      </c>
      <c r="M2120" s="18" t="s">
        <v>6956</v>
      </c>
      <c r="N2120" s="16">
        <v>204</v>
      </c>
      <c r="O2120" s="19">
        <v>0.36</v>
      </c>
      <c r="P2120" s="16">
        <v>146</v>
      </c>
      <c r="Q2120" s="16">
        <v>216</v>
      </c>
      <c r="R2120" s="16">
        <v>14</v>
      </c>
      <c r="S2120" s="18" t="s">
        <v>43</v>
      </c>
      <c r="T2120" s="18"/>
      <c r="U2120" s="17">
        <v>3000</v>
      </c>
      <c r="V2120" s="18" t="s">
        <v>77</v>
      </c>
      <c r="W2120" s="18" t="s">
        <v>45</v>
      </c>
      <c r="X2120" s="16">
        <v>10</v>
      </c>
      <c r="Y2120" s="43" t="str">
        <f>HYPERLINK("https://api-enni.alpina.ru/FilePrivilegesApproval/190","https://api-enni.alpina.ru/FilePrivilegesApproval/190")</f>
        <v>https://api-enni.alpina.ru/FilePrivilegesApproval/190</v>
      </c>
      <c r="Z2120" s="18"/>
      <c r="AS2120" s="1">
        <f>IF($A2120&lt;&gt;0,1,0)</f>
        <v>0</v>
      </c>
      <c r="AT2120" s="1">
        <f>$A2120*$B2120</f>
        <v>0</v>
      </c>
      <c r="AU2120" s="1">
        <f>$A2120*$O2120</f>
        <v>0</v>
      </c>
      <c r="AV2120" s="1">
        <f>IF($R2120=0,0,INT($A2120/$R2120))</f>
        <v>0</v>
      </c>
      <c r="AW2120" s="1">
        <f>$A2120-$AV2120*$R2120</f>
        <v>0</v>
      </c>
    </row>
    <row r="2121" ht="24.95" customHeight="1" outlineLevel="3" s="1" customFormat="1">
      <c r="A2121" s="15"/>
      <c r="B2121" s="16">
        <v>340</v>
      </c>
      <c r="C2121" s="16">
        <v>544</v>
      </c>
      <c r="D2121" s="16">
        <v>29071</v>
      </c>
      <c r="E2121" s="18"/>
      <c r="F2121" s="18" t="s">
        <v>412</v>
      </c>
      <c r="G2121" s="18" t="s">
        <v>6957</v>
      </c>
      <c r="H2121" s="18" t="s">
        <v>171</v>
      </c>
      <c r="I2121" s="18"/>
      <c r="J2121" s="16">
        <v>2024</v>
      </c>
      <c r="K2121" s="18" t="s">
        <v>6958</v>
      </c>
      <c r="L2121" s="16">
        <v>9785002231089</v>
      </c>
      <c r="M2121" s="18" t="s">
        <v>6959</v>
      </c>
      <c r="N2121" s="16">
        <v>224</v>
      </c>
      <c r="O2121" s="19">
        <v>0.15</v>
      </c>
      <c r="P2121" s="16">
        <v>120</v>
      </c>
      <c r="Q2121" s="16">
        <v>170</v>
      </c>
      <c r="R2121" s="16">
        <v>7</v>
      </c>
      <c r="S2121" s="18" t="s">
        <v>190</v>
      </c>
      <c r="T2121" s="18" t="s">
        <v>6670</v>
      </c>
      <c r="U2121" s="17">
        <v>4000</v>
      </c>
      <c r="V2121" s="18" t="s">
        <v>44</v>
      </c>
      <c r="W2121" s="18" t="s">
        <v>45</v>
      </c>
      <c r="X2121" s="16">
        <v>10</v>
      </c>
      <c r="Y2121" s="43" t="str">
        <f>HYPERLINK("https://api-enni.alpina.ru/FilePrivilegesApproval/190","https://api-enni.alpina.ru/FilePrivilegesApproval/190")</f>
        <v>https://api-enni.alpina.ru/FilePrivilegesApproval/190</v>
      </c>
      <c r="Z2121" s="18"/>
      <c r="AS2121" s="1">
        <f>IF($A2121&lt;&gt;0,1,0)</f>
        <v>0</v>
      </c>
      <c r="AT2121" s="1">
        <f>$A2121*$B2121</f>
        <v>0</v>
      </c>
      <c r="AU2121" s="1">
        <f>$A2121*$O2121</f>
        <v>0</v>
      </c>
      <c r="AV2121" s="1">
        <f>IF($R2121=0,0,INT($A2121/$R2121))</f>
        <v>0</v>
      </c>
      <c r="AW2121" s="1">
        <f>$A2121-$AV2121*$R2121</f>
        <v>0</v>
      </c>
    </row>
    <row r="2122" ht="21.95" customHeight="1" outlineLevel="3" s="1" customFormat="1">
      <c r="A2122" s="15"/>
      <c r="B2122" s="16">
        <v>690</v>
      </c>
      <c r="C2122" s="17">
        <v>1035</v>
      </c>
      <c r="D2122" s="16">
        <v>31095</v>
      </c>
      <c r="E2122" s="18"/>
      <c r="F2122" s="18" t="s">
        <v>6802</v>
      </c>
      <c r="G2122" s="18" t="s">
        <v>6960</v>
      </c>
      <c r="H2122" s="18" t="s">
        <v>171</v>
      </c>
      <c r="I2122" s="18"/>
      <c r="J2122" s="16">
        <v>2024</v>
      </c>
      <c r="K2122" s="18" t="s">
        <v>6961</v>
      </c>
      <c r="L2122" s="16">
        <v>9785002233342</v>
      </c>
      <c r="M2122" s="18" t="s">
        <v>6962</v>
      </c>
      <c r="N2122" s="16">
        <v>286</v>
      </c>
      <c r="O2122" s="19">
        <v>0.35</v>
      </c>
      <c r="P2122" s="16">
        <v>130</v>
      </c>
      <c r="Q2122" s="16">
        <v>210</v>
      </c>
      <c r="R2122" s="16">
        <v>12</v>
      </c>
      <c r="S2122" s="18" t="s">
        <v>90</v>
      </c>
      <c r="T2122" s="18"/>
      <c r="U2122" s="17">
        <v>3000</v>
      </c>
      <c r="V2122" s="18" t="s">
        <v>77</v>
      </c>
      <c r="W2122" s="18" t="s">
        <v>45</v>
      </c>
      <c r="X2122" s="16">
        <v>22</v>
      </c>
      <c r="Y2122" s="43" t="str">
        <f>HYPERLINK("","")</f>
      </c>
      <c r="Z2122" s="18"/>
      <c r="AS2122" s="1">
        <f>IF($A2122&lt;&gt;0,1,0)</f>
        <v>0</v>
      </c>
      <c r="AT2122" s="1">
        <f>$A2122*$B2122</f>
        <v>0</v>
      </c>
      <c r="AU2122" s="1">
        <f>$A2122*$O2122</f>
        <v>0</v>
      </c>
      <c r="AV2122" s="1">
        <f>IF($R2122=0,0,INT($A2122/$R2122))</f>
        <v>0</v>
      </c>
      <c r="AW2122" s="1">
        <f>$A2122-$AV2122*$R2122</f>
        <v>0</v>
      </c>
    </row>
    <row r="2123" ht="24.95" customHeight="1" outlineLevel="3" s="1" customFormat="1">
      <c r="A2123" s="15"/>
      <c r="B2123" s="16">
        <v>990</v>
      </c>
      <c r="C2123" s="17">
        <v>1386</v>
      </c>
      <c r="D2123" s="16">
        <v>36588</v>
      </c>
      <c r="E2123" s="18"/>
      <c r="F2123" s="18" t="s">
        <v>203</v>
      </c>
      <c r="G2123" s="18" t="s">
        <v>204</v>
      </c>
      <c r="H2123" s="18" t="s">
        <v>171</v>
      </c>
      <c r="I2123" s="18"/>
      <c r="J2123" s="16">
        <v>2026</v>
      </c>
      <c r="K2123" s="18" t="s">
        <v>205</v>
      </c>
      <c r="L2123" s="16">
        <v>9785002238811</v>
      </c>
      <c r="M2123" s="18" t="s">
        <v>206</v>
      </c>
      <c r="N2123" s="16">
        <v>546</v>
      </c>
      <c r="O2123" s="19">
        <v>0.61</v>
      </c>
      <c r="P2123" s="16">
        <v>150</v>
      </c>
      <c r="Q2123" s="16">
        <v>220</v>
      </c>
      <c r="R2123" s="16">
        <v>8</v>
      </c>
      <c r="S2123" s="18" t="s">
        <v>43</v>
      </c>
      <c r="T2123" s="18"/>
      <c r="U2123" s="17">
        <v>2000</v>
      </c>
      <c r="V2123" s="18" t="s">
        <v>77</v>
      </c>
      <c r="W2123" s="18" t="s">
        <v>45</v>
      </c>
      <c r="X2123" s="16">
        <v>10</v>
      </c>
      <c r="Y2123" s="43" t="str">
        <f>HYPERLINK("https://api-enni.alpina.ru/FilePrivilegesApproval/1225","https://api-enni.alpina.ru/FilePrivilegesApproval/1225")</f>
        <v>https://api-enni.alpina.ru/FilePrivilegesApproval/1225</v>
      </c>
      <c r="Z2123" s="18" t="s">
        <v>108</v>
      </c>
      <c r="AS2123" s="1">
        <f>IF($A2123&lt;&gt;0,1,0)</f>
        <v>0</v>
      </c>
      <c r="AT2123" s="1">
        <f>$A2123*$B2123</f>
        <v>0</v>
      </c>
      <c r="AU2123" s="1">
        <f>$A2123*$O2123</f>
        <v>0</v>
      </c>
      <c r="AV2123" s="1">
        <f>IF($R2123=0,0,INT($A2123/$R2123))</f>
        <v>0</v>
      </c>
      <c r="AW2123" s="1">
        <f>$A2123-$AV2123*$R2123</f>
        <v>0</v>
      </c>
    </row>
    <row r="2124" ht="24.95" customHeight="1" outlineLevel="3" s="1" customFormat="1">
      <c r="A2124" s="15"/>
      <c r="B2124" s="16">
        <v>730</v>
      </c>
      <c r="C2124" s="17">
        <v>1058</v>
      </c>
      <c r="D2124" s="16">
        <v>25765</v>
      </c>
      <c r="E2124" s="18"/>
      <c r="F2124" s="18" t="s">
        <v>6693</v>
      </c>
      <c r="G2124" s="18" t="s">
        <v>6963</v>
      </c>
      <c r="H2124" s="18" t="s">
        <v>171</v>
      </c>
      <c r="I2124" s="18"/>
      <c r="J2124" s="16">
        <v>2024</v>
      </c>
      <c r="K2124" s="18" t="s">
        <v>6964</v>
      </c>
      <c r="L2124" s="16">
        <v>9785001397076</v>
      </c>
      <c r="M2124" s="18" t="s">
        <v>6965</v>
      </c>
      <c r="N2124" s="16">
        <v>640</v>
      </c>
      <c r="O2124" s="19">
        <v>0.83</v>
      </c>
      <c r="P2124" s="16">
        <v>150</v>
      </c>
      <c r="Q2124" s="16">
        <v>220</v>
      </c>
      <c r="R2124" s="16">
        <v>3</v>
      </c>
      <c r="S2124" s="18" t="s">
        <v>43</v>
      </c>
      <c r="T2124" s="18"/>
      <c r="U2124" s="17">
        <v>1000</v>
      </c>
      <c r="V2124" s="18" t="s">
        <v>77</v>
      </c>
      <c r="W2124" s="18" t="s">
        <v>69</v>
      </c>
      <c r="X2124" s="16">
        <v>10</v>
      </c>
      <c r="Y2124" s="43" t="str">
        <f>HYPERLINK("https://api-enni.alpina.ru/FilePrivilegesApproval/190","https://api-enni.alpina.ru/FilePrivilegesApproval/190")</f>
        <v>https://api-enni.alpina.ru/FilePrivilegesApproval/190</v>
      </c>
      <c r="Z2124" s="18"/>
      <c r="AS2124" s="1">
        <f>IF($A2124&lt;&gt;0,1,0)</f>
        <v>0</v>
      </c>
      <c r="AT2124" s="1">
        <f>$A2124*$B2124</f>
        <v>0</v>
      </c>
      <c r="AU2124" s="1">
        <f>$A2124*$O2124</f>
        <v>0</v>
      </c>
      <c r="AV2124" s="1">
        <f>IF($R2124=0,0,INT($A2124/$R2124))</f>
        <v>0</v>
      </c>
      <c r="AW2124" s="1">
        <f>$A2124-$AV2124*$R2124</f>
        <v>0</v>
      </c>
    </row>
    <row r="2125" ht="21.95" customHeight="1" outlineLevel="3" s="1" customFormat="1">
      <c r="A2125" s="15"/>
      <c r="B2125" s="16">
        <v>773</v>
      </c>
      <c r="C2125" s="17">
        <v>1121</v>
      </c>
      <c r="D2125" s="16">
        <v>28291</v>
      </c>
      <c r="E2125" s="18"/>
      <c r="F2125" s="18" t="s">
        <v>6966</v>
      </c>
      <c r="G2125" s="18" t="s">
        <v>6967</v>
      </c>
      <c r="H2125" s="18" t="s">
        <v>592</v>
      </c>
      <c r="I2125" s="18"/>
      <c r="J2125" s="16">
        <v>2023</v>
      </c>
      <c r="K2125" s="18" t="s">
        <v>6968</v>
      </c>
      <c r="L2125" s="16">
        <v>9786017147822</v>
      </c>
      <c r="M2125" s="18" t="s">
        <v>6969</v>
      </c>
      <c r="N2125" s="16">
        <v>184</v>
      </c>
      <c r="O2125" s="19">
        <v>0.36</v>
      </c>
      <c r="P2125" s="16">
        <v>150</v>
      </c>
      <c r="Q2125" s="16">
        <v>220</v>
      </c>
      <c r="R2125" s="16">
        <v>10</v>
      </c>
      <c r="S2125" s="18" t="s">
        <v>43</v>
      </c>
      <c r="T2125" s="18"/>
      <c r="U2125" s="17">
        <v>1000</v>
      </c>
      <c r="V2125" s="18" t="s">
        <v>77</v>
      </c>
      <c r="W2125" s="18" t="s">
        <v>45</v>
      </c>
      <c r="X2125" s="16">
        <v>22</v>
      </c>
      <c r="Y2125" s="43" t="str">
        <f>HYPERLINK("","")</f>
      </c>
      <c r="Z2125" s="18"/>
      <c r="AS2125" s="1">
        <f>IF($A2125&lt;&gt;0,1,0)</f>
        <v>0</v>
      </c>
      <c r="AT2125" s="1">
        <f>$A2125*$B2125</f>
        <v>0</v>
      </c>
      <c r="AU2125" s="1">
        <f>$A2125*$O2125</f>
        <v>0</v>
      </c>
      <c r="AV2125" s="1">
        <f>IF($R2125=0,0,INT($A2125/$R2125))</f>
        <v>0</v>
      </c>
      <c r="AW2125" s="1">
        <f>$A2125-$AV2125*$R2125</f>
        <v>0</v>
      </c>
    </row>
    <row r="2126" ht="24.95" customHeight="1" outlineLevel="3" s="1" customFormat="1">
      <c r="A2126" s="15"/>
      <c r="B2126" s="16">
        <v>651</v>
      </c>
      <c r="C2126" s="16">
        <v>976</v>
      </c>
      <c r="D2126" s="16">
        <v>30822</v>
      </c>
      <c r="E2126" s="18"/>
      <c r="F2126" s="18" t="s">
        <v>6970</v>
      </c>
      <c r="G2126" s="18" t="s">
        <v>6971</v>
      </c>
      <c r="H2126" s="18" t="s">
        <v>171</v>
      </c>
      <c r="I2126" s="18"/>
      <c r="J2126" s="16">
        <v>2024</v>
      </c>
      <c r="K2126" s="18" t="s">
        <v>6972</v>
      </c>
      <c r="L2126" s="16">
        <v>9785002232963</v>
      </c>
      <c r="M2126" s="18" t="s">
        <v>6973</v>
      </c>
      <c r="N2126" s="16">
        <v>288</v>
      </c>
      <c r="O2126" s="19">
        <v>0.46</v>
      </c>
      <c r="P2126" s="16">
        <v>160</v>
      </c>
      <c r="Q2126" s="16">
        <v>240</v>
      </c>
      <c r="R2126" s="16">
        <v>9</v>
      </c>
      <c r="S2126" s="18" t="s">
        <v>123</v>
      </c>
      <c r="T2126" s="18"/>
      <c r="U2126" s="17">
        <v>5000</v>
      </c>
      <c r="V2126" s="18" t="s">
        <v>44</v>
      </c>
      <c r="W2126" s="18" t="s">
        <v>45</v>
      </c>
      <c r="X2126" s="16">
        <v>22</v>
      </c>
      <c r="Y2126" s="43" t="str">
        <f>HYPERLINK("","")</f>
      </c>
      <c r="Z2126" s="18"/>
      <c r="AS2126" s="1">
        <f>IF($A2126&lt;&gt;0,1,0)</f>
        <v>0</v>
      </c>
      <c r="AT2126" s="1">
        <f>$A2126*$B2126</f>
        <v>0</v>
      </c>
      <c r="AU2126" s="1">
        <f>$A2126*$O2126</f>
        <v>0</v>
      </c>
      <c r="AV2126" s="1">
        <f>IF($R2126=0,0,INT($A2126/$R2126))</f>
        <v>0</v>
      </c>
      <c r="AW2126" s="1">
        <f>$A2126-$AV2126*$R2126</f>
        <v>0</v>
      </c>
    </row>
    <row r="2127" ht="24.95" customHeight="1" outlineLevel="3" s="1" customFormat="1">
      <c r="A2127" s="25"/>
      <c r="B2127" s="26">
        <v>540</v>
      </c>
      <c r="C2127" s="26">
        <v>837</v>
      </c>
      <c r="D2127" s="26">
        <v>23117</v>
      </c>
      <c r="E2127" s="27"/>
      <c r="F2127" s="27" t="s">
        <v>6703</v>
      </c>
      <c r="G2127" s="27" t="s">
        <v>6974</v>
      </c>
      <c r="H2127" s="27" t="s">
        <v>171</v>
      </c>
      <c r="I2127" s="27"/>
      <c r="J2127" s="26">
        <v>2021</v>
      </c>
      <c r="K2127" s="27" t="s">
        <v>6975</v>
      </c>
      <c r="L2127" s="26">
        <v>9785001394730</v>
      </c>
      <c r="M2127" s="27" t="s">
        <v>6976</v>
      </c>
      <c r="N2127" s="26">
        <v>360</v>
      </c>
      <c r="O2127" s="28">
        <v>0.39</v>
      </c>
      <c r="P2127" s="26">
        <v>130</v>
      </c>
      <c r="Q2127" s="26">
        <v>206</v>
      </c>
      <c r="R2127" s="26">
        <v>10</v>
      </c>
      <c r="S2127" s="27" t="s">
        <v>90</v>
      </c>
      <c r="T2127" s="27"/>
      <c r="U2127" s="29">
        <v>3000</v>
      </c>
      <c r="V2127" s="27" t="s">
        <v>77</v>
      </c>
      <c r="W2127" s="27" t="s">
        <v>45</v>
      </c>
      <c r="X2127" s="26">
        <v>10</v>
      </c>
      <c r="Y2127" s="45" t="str">
        <f>HYPERLINK("https://api-enni.alpina.ru/FilePrivilegesApproval/207","https://api-enni.alpina.ru/FilePrivilegesApproval/207")</f>
        <v>https://api-enni.alpina.ru/FilePrivilegesApproval/207</v>
      </c>
      <c r="Z2127" s="27"/>
      <c r="AS2127" s="1">
        <f>IF($A2127&lt;&gt;0,1,0)</f>
        <v>0</v>
      </c>
      <c r="AT2127" s="1">
        <f>$A2127*$B2127</f>
        <v>0</v>
      </c>
      <c r="AU2127" s="1">
        <f>$A2127*$O2127</f>
        <v>0</v>
      </c>
      <c r="AV2127" s="1">
        <f>IF($R2127=0,0,INT($A2127/$R2127))</f>
        <v>0</v>
      </c>
      <c r="AW2127" s="1">
        <f>$A2127-$AV2127*$R2127</f>
        <v>0</v>
      </c>
    </row>
    <row r="2128" ht="21.95" customHeight="1" outlineLevel="3" s="1" customFormat="1">
      <c r="A2128" s="15"/>
      <c r="B2128" s="16">
        <v>905</v>
      </c>
      <c r="C2128" s="17">
        <v>1267</v>
      </c>
      <c r="D2128" s="16">
        <v>31894</v>
      </c>
      <c r="E2128" s="18"/>
      <c r="F2128" s="18" t="s">
        <v>6718</v>
      </c>
      <c r="G2128" s="18" t="s">
        <v>6977</v>
      </c>
      <c r="H2128" s="18" t="s">
        <v>171</v>
      </c>
      <c r="I2128" s="18"/>
      <c r="J2128" s="16">
        <v>2025</v>
      </c>
      <c r="K2128" s="18" t="s">
        <v>6978</v>
      </c>
      <c r="L2128" s="16">
        <v>9785916719734</v>
      </c>
      <c r="M2128" s="18" t="s">
        <v>6979</v>
      </c>
      <c r="N2128" s="16">
        <v>486</v>
      </c>
      <c r="O2128" s="19">
        <v>0.53</v>
      </c>
      <c r="P2128" s="16">
        <v>150</v>
      </c>
      <c r="Q2128" s="16">
        <v>220</v>
      </c>
      <c r="R2128" s="16">
        <v>10</v>
      </c>
      <c r="S2128" s="18" t="s">
        <v>43</v>
      </c>
      <c r="T2128" s="18"/>
      <c r="U2128" s="17">
        <v>2000</v>
      </c>
      <c r="V2128" s="18" t="s">
        <v>77</v>
      </c>
      <c r="W2128" s="18" t="s">
        <v>45</v>
      </c>
      <c r="X2128" s="16">
        <v>22</v>
      </c>
      <c r="Y2128" s="43" t="str">
        <f>HYPERLINK("","")</f>
      </c>
      <c r="Z2128" s="18"/>
      <c r="AS2128" s="1">
        <f>IF($A2128&lt;&gt;0,1,0)</f>
        <v>0</v>
      </c>
      <c r="AT2128" s="1">
        <f>$A2128*$B2128</f>
        <v>0</v>
      </c>
      <c r="AU2128" s="1">
        <f>$A2128*$O2128</f>
        <v>0</v>
      </c>
      <c r="AV2128" s="1">
        <f>IF($R2128=0,0,INT($A2128/$R2128))</f>
        <v>0</v>
      </c>
      <c r="AW2128" s="1">
        <f>$A2128-$AV2128*$R2128</f>
        <v>0</v>
      </c>
    </row>
    <row r="2129" ht="24.95" customHeight="1" outlineLevel="3" s="1" customFormat="1">
      <c r="A2129" s="15"/>
      <c r="B2129" s="16">
        <v>940</v>
      </c>
      <c r="C2129" s="17">
        <v>1316</v>
      </c>
      <c r="D2129" s="16">
        <v>23124</v>
      </c>
      <c r="E2129" s="18"/>
      <c r="F2129" s="18" t="s">
        <v>754</v>
      </c>
      <c r="G2129" s="18" t="s">
        <v>755</v>
      </c>
      <c r="H2129" s="18" t="s">
        <v>171</v>
      </c>
      <c r="I2129" s="18"/>
      <c r="J2129" s="16">
        <v>2026</v>
      </c>
      <c r="K2129" s="18" t="s">
        <v>756</v>
      </c>
      <c r="L2129" s="16">
        <v>9785001395256</v>
      </c>
      <c r="M2129" s="18" t="s">
        <v>757</v>
      </c>
      <c r="N2129" s="16">
        <v>320</v>
      </c>
      <c r="O2129" s="19">
        <v>0.42</v>
      </c>
      <c r="P2129" s="16">
        <v>150</v>
      </c>
      <c r="Q2129" s="16">
        <v>220</v>
      </c>
      <c r="R2129" s="16">
        <v>10</v>
      </c>
      <c r="S2129" s="18" t="s">
        <v>43</v>
      </c>
      <c r="T2129" s="18"/>
      <c r="U2129" s="17">
        <v>1000</v>
      </c>
      <c r="V2129" s="18" t="s">
        <v>77</v>
      </c>
      <c r="W2129" s="18" t="s">
        <v>45</v>
      </c>
      <c r="X2129" s="16">
        <v>10</v>
      </c>
      <c r="Y2129" s="43" t="str">
        <f>HYPERLINK("https://api-enni.alpina.ru/FilePrivilegesApproval/149","https://api-enni.alpina.ru/FilePrivilegesApproval/149")</f>
        <v>https://api-enni.alpina.ru/FilePrivilegesApproval/149</v>
      </c>
      <c r="Z2129" s="18" t="s">
        <v>144</v>
      </c>
      <c r="AS2129" s="1">
        <f>IF($A2129&lt;&gt;0,1,0)</f>
        <v>0</v>
      </c>
      <c r="AT2129" s="1">
        <f>$A2129*$B2129</f>
        <v>0</v>
      </c>
      <c r="AU2129" s="1">
        <f>$A2129*$O2129</f>
        <v>0</v>
      </c>
      <c r="AV2129" s="1">
        <f>IF($R2129=0,0,INT($A2129/$R2129))</f>
        <v>0</v>
      </c>
      <c r="AW2129" s="1">
        <f>$A2129-$AV2129*$R2129</f>
        <v>0</v>
      </c>
    </row>
    <row r="2130" ht="24.95" customHeight="1" outlineLevel="3" s="1" customFormat="1">
      <c r="A2130" s="15"/>
      <c r="B2130" s="16">
        <v>600</v>
      </c>
      <c r="C2130" s="16">
        <v>990</v>
      </c>
      <c r="D2130" s="16">
        <v>35333</v>
      </c>
      <c r="E2130" s="18"/>
      <c r="F2130" s="18" t="s">
        <v>6675</v>
      </c>
      <c r="G2130" s="18" t="s">
        <v>6980</v>
      </c>
      <c r="H2130" s="18" t="s">
        <v>171</v>
      </c>
      <c r="I2130" s="18"/>
      <c r="J2130" s="16">
        <v>2026</v>
      </c>
      <c r="K2130" s="18" t="s">
        <v>6981</v>
      </c>
      <c r="L2130" s="16">
        <v>9785002237630</v>
      </c>
      <c r="M2130" s="18" t="s">
        <v>6982</v>
      </c>
      <c r="N2130" s="16">
        <v>212</v>
      </c>
      <c r="O2130" s="19">
        <v>0.27</v>
      </c>
      <c r="P2130" s="16">
        <v>130</v>
      </c>
      <c r="Q2130" s="16">
        <v>210</v>
      </c>
      <c r="R2130" s="16">
        <v>14</v>
      </c>
      <c r="S2130" s="18" t="s">
        <v>90</v>
      </c>
      <c r="T2130" s="18"/>
      <c r="U2130" s="17">
        <v>2000</v>
      </c>
      <c r="V2130" s="18" t="s">
        <v>77</v>
      </c>
      <c r="W2130" s="18" t="s">
        <v>69</v>
      </c>
      <c r="X2130" s="16">
        <v>10</v>
      </c>
      <c r="Y2130" s="43" t="str">
        <f>HYPERLINK("https://api-enni.alpina.ru/FilePrivilegesApproval/1145","https://api-enni.alpina.ru/FilePrivilegesApproval/1145")</f>
        <v>https://api-enni.alpina.ru/FilePrivilegesApproval/1145</v>
      </c>
      <c r="Z2130" s="18"/>
      <c r="AS2130" s="1">
        <f>IF($A2130&lt;&gt;0,1,0)</f>
        <v>0</v>
      </c>
      <c r="AT2130" s="1">
        <f>$A2130*$B2130</f>
        <v>0</v>
      </c>
      <c r="AU2130" s="1">
        <f>$A2130*$O2130</f>
        <v>0</v>
      </c>
      <c r="AV2130" s="1">
        <f>IF($R2130=0,0,INT($A2130/$R2130))</f>
        <v>0</v>
      </c>
      <c r="AW2130" s="1">
        <f>$A2130-$AV2130*$R2130</f>
        <v>0</v>
      </c>
    </row>
    <row r="2131" ht="21.95" customHeight="1" outlineLevel="3" s="1" customFormat="1">
      <c r="A2131" s="15"/>
      <c r="B2131" s="17">
        <v>1090</v>
      </c>
      <c r="C2131" s="17">
        <v>1472</v>
      </c>
      <c r="D2131" s="16">
        <v>33953</v>
      </c>
      <c r="E2131" s="18"/>
      <c r="F2131" s="18" t="s">
        <v>754</v>
      </c>
      <c r="G2131" s="18" t="s">
        <v>6983</v>
      </c>
      <c r="H2131" s="18" t="s">
        <v>171</v>
      </c>
      <c r="I2131" s="18"/>
      <c r="J2131" s="16">
        <v>2026</v>
      </c>
      <c r="K2131" s="18" t="s">
        <v>6984</v>
      </c>
      <c r="L2131" s="16">
        <v>9785002236077</v>
      </c>
      <c r="M2131" s="18" t="s">
        <v>6985</v>
      </c>
      <c r="N2131" s="16">
        <v>414</v>
      </c>
      <c r="O2131" s="19">
        <v>0.59</v>
      </c>
      <c r="P2131" s="16">
        <v>150</v>
      </c>
      <c r="Q2131" s="16">
        <v>220</v>
      </c>
      <c r="R2131" s="16">
        <v>10</v>
      </c>
      <c r="S2131" s="18" t="s">
        <v>43</v>
      </c>
      <c r="T2131" s="18"/>
      <c r="U2131" s="17">
        <v>3000</v>
      </c>
      <c r="V2131" s="18" t="s">
        <v>77</v>
      </c>
      <c r="W2131" s="18" t="s">
        <v>45</v>
      </c>
      <c r="X2131" s="16">
        <v>22</v>
      </c>
      <c r="Y2131" s="43" t="str">
        <f>HYPERLINK("","")</f>
      </c>
      <c r="Z2131" s="18" t="s">
        <v>505</v>
      </c>
      <c r="AS2131" s="1">
        <f>IF($A2131&lt;&gt;0,1,0)</f>
        <v>0</v>
      </c>
      <c r="AT2131" s="1">
        <f>$A2131*$B2131</f>
        <v>0</v>
      </c>
      <c r="AU2131" s="1">
        <f>$A2131*$O2131</f>
        <v>0</v>
      </c>
      <c r="AV2131" s="1">
        <f>IF($R2131=0,0,INT($A2131/$R2131))</f>
        <v>0</v>
      </c>
      <c r="AW2131" s="1">
        <f>$A2131-$AV2131*$R2131</f>
        <v>0</v>
      </c>
    </row>
    <row r="2132" ht="21.95" customHeight="1" outlineLevel="3" s="1" customFormat="1">
      <c r="A2132" s="15"/>
      <c r="B2132" s="16">
        <v>790</v>
      </c>
      <c r="C2132" s="17">
        <v>1146</v>
      </c>
      <c r="D2132" s="16">
        <v>33958</v>
      </c>
      <c r="E2132" s="18"/>
      <c r="F2132" s="18" t="s">
        <v>754</v>
      </c>
      <c r="G2132" s="18" t="s">
        <v>6986</v>
      </c>
      <c r="H2132" s="18" t="s">
        <v>171</v>
      </c>
      <c r="I2132" s="18"/>
      <c r="J2132" s="16">
        <v>2025</v>
      </c>
      <c r="K2132" s="18" t="s">
        <v>6987</v>
      </c>
      <c r="L2132" s="16">
        <v>9785002236084</v>
      </c>
      <c r="M2132" s="18" t="s">
        <v>6988</v>
      </c>
      <c r="N2132" s="16">
        <v>414</v>
      </c>
      <c r="O2132" s="19">
        <v>0.37</v>
      </c>
      <c r="P2132" s="16">
        <v>140</v>
      </c>
      <c r="Q2132" s="16">
        <v>210</v>
      </c>
      <c r="R2132" s="16">
        <v>8</v>
      </c>
      <c r="S2132" s="18" t="s">
        <v>43</v>
      </c>
      <c r="T2132" s="18" t="s">
        <v>6989</v>
      </c>
      <c r="U2132" s="17">
        <v>5000</v>
      </c>
      <c r="V2132" s="18" t="s">
        <v>44</v>
      </c>
      <c r="W2132" s="18" t="s">
        <v>45</v>
      </c>
      <c r="X2132" s="16">
        <v>22</v>
      </c>
      <c r="Y2132" s="43" t="str">
        <f>HYPERLINK("","")</f>
      </c>
      <c r="Z2132" s="18"/>
      <c r="AS2132" s="1">
        <f>IF($A2132&lt;&gt;0,1,0)</f>
        <v>0</v>
      </c>
      <c r="AT2132" s="1">
        <f>$A2132*$B2132</f>
        <v>0</v>
      </c>
      <c r="AU2132" s="1">
        <f>$A2132*$O2132</f>
        <v>0</v>
      </c>
      <c r="AV2132" s="1">
        <f>IF($R2132=0,0,INT($A2132/$R2132))</f>
        <v>0</v>
      </c>
      <c r="AW2132" s="1">
        <f>$A2132-$AV2132*$R2132</f>
        <v>0</v>
      </c>
    </row>
    <row r="2133" ht="21.95" customHeight="1" outlineLevel="3" s="1" customFormat="1">
      <c r="A2133" s="15"/>
      <c r="B2133" s="16">
        <v>790</v>
      </c>
      <c r="C2133" s="17">
        <v>1146</v>
      </c>
      <c r="D2133" s="16">
        <v>30616</v>
      </c>
      <c r="E2133" s="18"/>
      <c r="F2133" s="18" t="s">
        <v>6990</v>
      </c>
      <c r="G2133" s="18" t="s">
        <v>6991</v>
      </c>
      <c r="H2133" s="18" t="s">
        <v>171</v>
      </c>
      <c r="I2133" s="18"/>
      <c r="J2133" s="16">
        <v>2026</v>
      </c>
      <c r="K2133" s="18" t="s">
        <v>6992</v>
      </c>
      <c r="L2133" s="16">
        <v>9785002232673</v>
      </c>
      <c r="M2133" s="18" t="s">
        <v>6993</v>
      </c>
      <c r="N2133" s="16">
        <v>346</v>
      </c>
      <c r="O2133" s="19">
        <v>0.35</v>
      </c>
      <c r="P2133" s="16">
        <v>130</v>
      </c>
      <c r="Q2133" s="16">
        <v>210</v>
      </c>
      <c r="R2133" s="16">
        <v>10</v>
      </c>
      <c r="S2133" s="18" t="s">
        <v>90</v>
      </c>
      <c r="T2133" s="18"/>
      <c r="U2133" s="17">
        <v>1000</v>
      </c>
      <c r="V2133" s="18" t="s">
        <v>77</v>
      </c>
      <c r="W2133" s="18" t="s">
        <v>45</v>
      </c>
      <c r="X2133" s="16">
        <v>22</v>
      </c>
      <c r="Y2133" s="43" t="str">
        <f>HYPERLINK("","")</f>
      </c>
      <c r="Z2133" s="18" t="s">
        <v>119</v>
      </c>
      <c r="AS2133" s="1">
        <f>IF($A2133&lt;&gt;0,1,0)</f>
        <v>0</v>
      </c>
      <c r="AT2133" s="1">
        <f>$A2133*$B2133</f>
        <v>0</v>
      </c>
      <c r="AU2133" s="1">
        <f>$A2133*$O2133</f>
        <v>0</v>
      </c>
      <c r="AV2133" s="1">
        <f>IF($R2133=0,0,INT($A2133/$R2133))</f>
        <v>0</v>
      </c>
      <c r="AW2133" s="1">
        <f>$A2133-$AV2133*$R2133</f>
        <v>0</v>
      </c>
    </row>
    <row r="2134" ht="24.95" customHeight="1" outlineLevel="3" s="1" customFormat="1">
      <c r="A2134" s="15"/>
      <c r="B2134" s="16">
        <v>490</v>
      </c>
      <c r="C2134" s="16">
        <v>760</v>
      </c>
      <c r="D2134" s="16">
        <v>26091</v>
      </c>
      <c r="E2134" s="18"/>
      <c r="F2134" s="18" t="s">
        <v>6703</v>
      </c>
      <c r="G2134" s="18" t="s">
        <v>6994</v>
      </c>
      <c r="H2134" s="18" t="s">
        <v>171</v>
      </c>
      <c r="I2134" s="18"/>
      <c r="J2134" s="16">
        <v>2023</v>
      </c>
      <c r="K2134" s="18" t="s">
        <v>6995</v>
      </c>
      <c r="L2134" s="16">
        <v>9785001397342</v>
      </c>
      <c r="M2134" s="18" t="s">
        <v>6996</v>
      </c>
      <c r="N2134" s="16">
        <v>232</v>
      </c>
      <c r="O2134" s="19">
        <v>0.3</v>
      </c>
      <c r="P2134" s="16">
        <v>130</v>
      </c>
      <c r="Q2134" s="16">
        <v>210</v>
      </c>
      <c r="R2134" s="16">
        <v>16</v>
      </c>
      <c r="S2134" s="18" t="s">
        <v>90</v>
      </c>
      <c r="T2134" s="18"/>
      <c r="U2134" s="17">
        <v>2000</v>
      </c>
      <c r="V2134" s="18" t="s">
        <v>77</v>
      </c>
      <c r="W2134" s="18" t="s">
        <v>45</v>
      </c>
      <c r="X2134" s="16">
        <v>10</v>
      </c>
      <c r="Y2134" s="43" t="str">
        <f>HYPERLINK("https://api-enni.alpina.ru/FilePrivilegesApproval/285","https://api-enni.alpina.ru/FilePrivilegesApproval/285")</f>
        <v>https://api-enni.alpina.ru/FilePrivilegesApproval/285</v>
      </c>
      <c r="Z2134" s="18"/>
      <c r="AS2134" s="1">
        <f>IF($A2134&lt;&gt;0,1,0)</f>
        <v>0</v>
      </c>
      <c r="AT2134" s="1">
        <f>$A2134*$B2134</f>
        <v>0</v>
      </c>
      <c r="AU2134" s="1">
        <f>$A2134*$O2134</f>
        <v>0</v>
      </c>
      <c r="AV2134" s="1">
        <f>IF($R2134=0,0,INT($A2134/$R2134))</f>
        <v>0</v>
      </c>
      <c r="AW2134" s="1">
        <f>$A2134-$AV2134*$R2134</f>
        <v>0</v>
      </c>
    </row>
    <row r="2135" ht="24.95" customHeight="1" outlineLevel="3" s="1" customFormat="1">
      <c r="A2135" s="15"/>
      <c r="B2135" s="16">
        <v>440</v>
      </c>
      <c r="C2135" s="16">
        <v>682</v>
      </c>
      <c r="D2135" s="16">
        <v>29906</v>
      </c>
      <c r="E2135" s="18"/>
      <c r="F2135" s="18" t="s">
        <v>6703</v>
      </c>
      <c r="G2135" s="18" t="s">
        <v>6997</v>
      </c>
      <c r="H2135" s="18" t="s">
        <v>171</v>
      </c>
      <c r="I2135" s="18"/>
      <c r="J2135" s="16">
        <v>2024</v>
      </c>
      <c r="K2135" s="18" t="s">
        <v>6998</v>
      </c>
      <c r="L2135" s="16">
        <v>9785002232079</v>
      </c>
      <c r="M2135" s="18" t="s">
        <v>6999</v>
      </c>
      <c r="N2135" s="16">
        <v>206</v>
      </c>
      <c r="O2135" s="19">
        <v>0.14</v>
      </c>
      <c r="P2135" s="16">
        <v>120</v>
      </c>
      <c r="Q2135" s="16">
        <v>170</v>
      </c>
      <c r="R2135" s="16">
        <v>8</v>
      </c>
      <c r="S2135" s="18" t="s">
        <v>190</v>
      </c>
      <c r="T2135" s="18" t="s">
        <v>6670</v>
      </c>
      <c r="U2135" s="17">
        <v>4000</v>
      </c>
      <c r="V2135" s="18" t="s">
        <v>44</v>
      </c>
      <c r="W2135" s="18" t="s">
        <v>45</v>
      </c>
      <c r="X2135" s="16">
        <v>10</v>
      </c>
      <c r="Y2135" s="43" t="str">
        <f>HYPERLINK("https://api-enni.alpina.ru/FilePrivilegesApproval/285","https://api-enni.alpina.ru/FilePrivilegesApproval/285")</f>
        <v>https://api-enni.alpina.ru/FilePrivilegesApproval/285</v>
      </c>
      <c r="Z2135" s="18"/>
      <c r="AS2135" s="1">
        <f>IF($A2135&lt;&gt;0,1,0)</f>
        <v>0</v>
      </c>
      <c r="AT2135" s="1">
        <f>$A2135*$B2135</f>
        <v>0</v>
      </c>
      <c r="AU2135" s="1">
        <f>$A2135*$O2135</f>
        <v>0</v>
      </c>
      <c r="AV2135" s="1">
        <f>IF($R2135=0,0,INT($A2135/$R2135))</f>
        <v>0</v>
      </c>
      <c r="AW2135" s="1">
        <f>$A2135-$AV2135*$R2135</f>
        <v>0</v>
      </c>
    </row>
    <row r="2136" ht="24.95" customHeight="1" outlineLevel="3" s="1" customFormat="1">
      <c r="A2136" s="15"/>
      <c r="B2136" s="16">
        <v>690</v>
      </c>
      <c r="C2136" s="17">
        <v>1035</v>
      </c>
      <c r="D2136" s="16">
        <v>26087</v>
      </c>
      <c r="E2136" s="18"/>
      <c r="F2136" s="18" t="s">
        <v>6713</v>
      </c>
      <c r="G2136" s="18" t="s">
        <v>7000</v>
      </c>
      <c r="H2136" s="18" t="s">
        <v>171</v>
      </c>
      <c r="I2136" s="18"/>
      <c r="J2136" s="16">
        <v>2022</v>
      </c>
      <c r="K2136" s="18" t="s">
        <v>7001</v>
      </c>
      <c r="L2136" s="16">
        <v>9785001397311</v>
      </c>
      <c r="M2136" s="18" t="s">
        <v>7002</v>
      </c>
      <c r="N2136" s="16">
        <v>464</v>
      </c>
      <c r="O2136" s="19">
        <v>0.6</v>
      </c>
      <c r="P2136" s="16">
        <v>146</v>
      </c>
      <c r="Q2136" s="16">
        <v>216</v>
      </c>
      <c r="R2136" s="16">
        <v>8</v>
      </c>
      <c r="S2136" s="18" t="s">
        <v>43</v>
      </c>
      <c r="T2136" s="18"/>
      <c r="U2136" s="17">
        <v>3000</v>
      </c>
      <c r="V2136" s="18" t="s">
        <v>77</v>
      </c>
      <c r="W2136" s="18" t="s">
        <v>45</v>
      </c>
      <c r="X2136" s="16">
        <v>10</v>
      </c>
      <c r="Y2136" s="43" t="str">
        <f>HYPERLINK("https://api-enni.alpina.ru/FilePrivilegesApproval/190","https://api-enni.alpina.ru/FilePrivilegesApproval/190")</f>
        <v>https://api-enni.alpina.ru/FilePrivilegesApproval/190</v>
      </c>
      <c r="Z2136" s="18"/>
      <c r="AS2136" s="1">
        <f>IF($A2136&lt;&gt;0,1,0)</f>
        <v>0</v>
      </c>
      <c r="AT2136" s="1">
        <f>$A2136*$B2136</f>
        <v>0</v>
      </c>
      <c r="AU2136" s="1">
        <f>$A2136*$O2136</f>
        <v>0</v>
      </c>
      <c r="AV2136" s="1">
        <f>IF($R2136=0,0,INT($A2136/$R2136))</f>
        <v>0</v>
      </c>
      <c r="AW2136" s="1">
        <f>$A2136-$AV2136*$R2136</f>
        <v>0</v>
      </c>
    </row>
    <row r="2137" ht="24.95" customHeight="1" outlineLevel="3" s="1" customFormat="1">
      <c r="A2137" s="15"/>
      <c r="B2137" s="16">
        <v>340</v>
      </c>
      <c r="C2137" s="16">
        <v>544</v>
      </c>
      <c r="D2137" s="16">
        <v>28306</v>
      </c>
      <c r="E2137" s="18"/>
      <c r="F2137" s="18" t="s">
        <v>6713</v>
      </c>
      <c r="G2137" s="18" t="s">
        <v>7003</v>
      </c>
      <c r="H2137" s="18" t="s">
        <v>171</v>
      </c>
      <c r="I2137" s="18"/>
      <c r="J2137" s="16">
        <v>2023</v>
      </c>
      <c r="K2137" s="18" t="s">
        <v>7004</v>
      </c>
      <c r="L2137" s="16">
        <v>9785002230075</v>
      </c>
      <c r="M2137" s="18" t="s">
        <v>7005</v>
      </c>
      <c r="N2137" s="16">
        <v>544</v>
      </c>
      <c r="O2137" s="19">
        <v>0.3</v>
      </c>
      <c r="P2137" s="16">
        <v>120</v>
      </c>
      <c r="Q2137" s="16">
        <v>170</v>
      </c>
      <c r="R2137" s="16">
        <v>6</v>
      </c>
      <c r="S2137" s="18" t="s">
        <v>190</v>
      </c>
      <c r="T2137" s="18" t="s">
        <v>6670</v>
      </c>
      <c r="U2137" s="17">
        <v>4000</v>
      </c>
      <c r="V2137" s="18" t="s">
        <v>44</v>
      </c>
      <c r="W2137" s="18" t="s">
        <v>45</v>
      </c>
      <c r="X2137" s="16">
        <v>10</v>
      </c>
      <c r="Y2137" s="43" t="str">
        <f>HYPERLINK("https://api-enni.alpina.ru/FilePrivilegesApproval/190","https://api-enni.alpina.ru/FilePrivilegesApproval/190")</f>
        <v>https://api-enni.alpina.ru/FilePrivilegesApproval/190</v>
      </c>
      <c r="Z2137" s="18"/>
      <c r="AS2137" s="1">
        <f>IF($A2137&lt;&gt;0,1,0)</f>
        <v>0</v>
      </c>
      <c r="AT2137" s="1">
        <f>$A2137*$B2137</f>
        <v>0</v>
      </c>
      <c r="AU2137" s="1">
        <f>$A2137*$O2137</f>
        <v>0</v>
      </c>
      <c r="AV2137" s="1">
        <f>IF($R2137=0,0,INT($A2137/$R2137))</f>
        <v>0</v>
      </c>
      <c r="AW2137" s="1">
        <f>$A2137-$AV2137*$R2137</f>
        <v>0</v>
      </c>
    </row>
    <row r="2138" ht="21.95" customHeight="1" outlineLevel="3" s="1" customFormat="1">
      <c r="A2138" s="15"/>
      <c r="B2138" s="16">
        <v>498</v>
      </c>
      <c r="C2138" s="16">
        <v>772</v>
      </c>
      <c r="D2138" s="16">
        <v>26820</v>
      </c>
      <c r="E2138" s="18"/>
      <c r="F2138" s="18" t="s">
        <v>7006</v>
      </c>
      <c r="G2138" s="18" t="s">
        <v>7007</v>
      </c>
      <c r="H2138" s="18" t="s">
        <v>171</v>
      </c>
      <c r="I2138" s="18"/>
      <c r="J2138" s="16">
        <v>2023</v>
      </c>
      <c r="K2138" s="18" t="s">
        <v>7008</v>
      </c>
      <c r="L2138" s="16">
        <v>9785001398424</v>
      </c>
      <c r="M2138" s="18" t="s">
        <v>7009</v>
      </c>
      <c r="N2138" s="16">
        <v>344</v>
      </c>
      <c r="O2138" s="19">
        <v>0.3</v>
      </c>
      <c r="P2138" s="16">
        <v>130</v>
      </c>
      <c r="Q2138" s="16">
        <v>200</v>
      </c>
      <c r="R2138" s="16">
        <v>18</v>
      </c>
      <c r="S2138" s="18" t="s">
        <v>90</v>
      </c>
      <c r="T2138" s="18"/>
      <c r="U2138" s="17">
        <v>1500</v>
      </c>
      <c r="V2138" s="18" t="s">
        <v>44</v>
      </c>
      <c r="W2138" s="18" t="s">
        <v>45</v>
      </c>
      <c r="X2138" s="16">
        <v>22</v>
      </c>
      <c r="Y2138" s="43" t="str">
        <f>HYPERLINK("","")</f>
      </c>
      <c r="Z2138" s="18"/>
      <c r="AS2138" s="1">
        <f>IF($A2138&lt;&gt;0,1,0)</f>
        <v>0</v>
      </c>
      <c r="AT2138" s="1">
        <f>$A2138*$B2138</f>
        <v>0</v>
      </c>
      <c r="AU2138" s="1">
        <f>$A2138*$O2138</f>
        <v>0</v>
      </c>
      <c r="AV2138" s="1">
        <f>IF($R2138=0,0,INT($A2138/$R2138))</f>
        <v>0</v>
      </c>
      <c r="AW2138" s="1">
        <f>$A2138-$AV2138*$R2138</f>
        <v>0</v>
      </c>
    </row>
    <row r="2139" ht="21.95" customHeight="1" outlineLevel="3" s="1" customFormat="1">
      <c r="A2139" s="15"/>
      <c r="B2139" s="16">
        <v>740</v>
      </c>
      <c r="C2139" s="17">
        <v>1073</v>
      </c>
      <c r="D2139" s="16">
        <v>35685</v>
      </c>
      <c r="E2139" s="18"/>
      <c r="F2139" s="18" t="s">
        <v>252</v>
      </c>
      <c r="G2139" s="18" t="s">
        <v>253</v>
      </c>
      <c r="H2139" s="18" t="s">
        <v>171</v>
      </c>
      <c r="I2139" s="18"/>
      <c r="J2139" s="16">
        <v>2026</v>
      </c>
      <c r="K2139" s="18" t="s">
        <v>254</v>
      </c>
      <c r="L2139" s="16">
        <v>9785002237883</v>
      </c>
      <c r="M2139" s="18" t="s">
        <v>255</v>
      </c>
      <c r="N2139" s="16">
        <v>480</v>
      </c>
      <c r="O2139" s="19">
        <v>0.47</v>
      </c>
      <c r="P2139" s="16">
        <v>140</v>
      </c>
      <c r="Q2139" s="16">
        <v>210</v>
      </c>
      <c r="R2139" s="16">
        <v>12</v>
      </c>
      <c r="S2139" s="18" t="s">
        <v>90</v>
      </c>
      <c r="T2139" s="18"/>
      <c r="U2139" s="17">
        <v>2000</v>
      </c>
      <c r="V2139" s="18" t="s">
        <v>77</v>
      </c>
      <c r="W2139" s="18" t="s">
        <v>45</v>
      </c>
      <c r="X2139" s="16">
        <v>22</v>
      </c>
      <c r="Y2139" s="43" t="str">
        <f>HYPERLINK("","")</f>
      </c>
      <c r="Z2139" s="18" t="s">
        <v>246</v>
      </c>
      <c r="AS2139" s="1">
        <f>IF($A2139&lt;&gt;0,1,0)</f>
        <v>0</v>
      </c>
      <c r="AT2139" s="1">
        <f>$A2139*$B2139</f>
        <v>0</v>
      </c>
      <c r="AU2139" s="1">
        <f>$A2139*$O2139</f>
        <v>0</v>
      </c>
      <c r="AV2139" s="1">
        <f>IF($R2139=0,0,INT($A2139/$R2139))</f>
        <v>0</v>
      </c>
      <c r="AW2139" s="1">
        <f>$A2139-$AV2139*$R2139</f>
        <v>0</v>
      </c>
    </row>
    <row r="2140" ht="24.95" customHeight="1" outlineLevel="3" s="1" customFormat="1">
      <c r="A2140" s="15"/>
      <c r="B2140" s="16">
        <v>340</v>
      </c>
      <c r="C2140" s="16">
        <v>544</v>
      </c>
      <c r="D2140" s="16">
        <v>28171</v>
      </c>
      <c r="E2140" s="18"/>
      <c r="F2140" s="18" t="s">
        <v>6713</v>
      </c>
      <c r="G2140" s="18" t="s">
        <v>7010</v>
      </c>
      <c r="H2140" s="18" t="s">
        <v>171</v>
      </c>
      <c r="I2140" s="18"/>
      <c r="J2140" s="16">
        <v>2024</v>
      </c>
      <c r="K2140" s="18" t="s">
        <v>7011</v>
      </c>
      <c r="L2140" s="16">
        <v>9785916713596</v>
      </c>
      <c r="M2140" s="18" t="s">
        <v>7012</v>
      </c>
      <c r="N2140" s="16">
        <v>317</v>
      </c>
      <c r="O2140" s="19">
        <v>0.21</v>
      </c>
      <c r="P2140" s="16">
        <v>120</v>
      </c>
      <c r="Q2140" s="16">
        <v>170</v>
      </c>
      <c r="R2140" s="16">
        <v>6</v>
      </c>
      <c r="S2140" s="18" t="s">
        <v>190</v>
      </c>
      <c r="T2140" s="18" t="s">
        <v>6717</v>
      </c>
      <c r="U2140" s="17">
        <v>4000</v>
      </c>
      <c r="V2140" s="18" t="s">
        <v>44</v>
      </c>
      <c r="W2140" s="18" t="s">
        <v>45</v>
      </c>
      <c r="X2140" s="16">
        <v>10</v>
      </c>
      <c r="Y2140" s="43" t="str">
        <f>HYPERLINK("https://api-enni.alpina.ru/FilePrivilegesApproval/378","https://api-enni.alpina.ru/FilePrivilegesApproval/378")</f>
        <v>https://api-enni.alpina.ru/FilePrivilegesApproval/378</v>
      </c>
      <c r="Z2140" s="18"/>
      <c r="AS2140" s="1">
        <f>IF($A2140&lt;&gt;0,1,0)</f>
        <v>0</v>
      </c>
      <c r="AT2140" s="1">
        <f>$A2140*$B2140</f>
        <v>0</v>
      </c>
      <c r="AU2140" s="1">
        <f>$A2140*$O2140</f>
        <v>0</v>
      </c>
      <c r="AV2140" s="1">
        <f>IF($R2140=0,0,INT($A2140/$R2140))</f>
        <v>0</v>
      </c>
      <c r="AW2140" s="1">
        <f>$A2140-$AV2140*$R2140</f>
        <v>0</v>
      </c>
    </row>
    <row r="2141" ht="24.95" customHeight="1" outlineLevel="3" s="1" customFormat="1">
      <c r="A2141" s="15"/>
      <c r="B2141" s="16">
        <v>830</v>
      </c>
      <c r="C2141" s="17">
        <v>1890</v>
      </c>
      <c r="D2141" s="16">
        <v>35073</v>
      </c>
      <c r="E2141" s="18"/>
      <c r="F2141" s="18" t="s">
        <v>412</v>
      </c>
      <c r="G2141" s="18" t="s">
        <v>770</v>
      </c>
      <c r="H2141" s="18" t="s">
        <v>171</v>
      </c>
      <c r="I2141" s="18"/>
      <c r="J2141" s="16">
        <v>2026</v>
      </c>
      <c r="K2141" s="18" t="s">
        <v>771</v>
      </c>
      <c r="L2141" s="16">
        <v>9785002237333</v>
      </c>
      <c r="M2141" s="18" t="s">
        <v>772</v>
      </c>
      <c r="N2141" s="16">
        <v>428</v>
      </c>
      <c r="O2141" s="19">
        <v>0.49</v>
      </c>
      <c r="P2141" s="16">
        <v>150</v>
      </c>
      <c r="Q2141" s="16">
        <v>220</v>
      </c>
      <c r="R2141" s="16">
        <v>6</v>
      </c>
      <c r="S2141" s="18" t="s">
        <v>43</v>
      </c>
      <c r="T2141" s="18"/>
      <c r="U2141" s="17">
        <v>20000</v>
      </c>
      <c r="V2141" s="18" t="s">
        <v>77</v>
      </c>
      <c r="W2141" s="18" t="s">
        <v>69</v>
      </c>
      <c r="X2141" s="16">
        <v>10</v>
      </c>
      <c r="Y2141" s="43" t="str">
        <f>HYPERLINK("https://api-enni.alpina.ru/FilePrivilegesApproval/1058","https://api-enni.alpina.ru/FilePrivilegesApproval/1058")</f>
        <v>https://api-enni.alpina.ru/FilePrivilegesApproval/1058</v>
      </c>
      <c r="Z2141" s="18" t="s">
        <v>773</v>
      </c>
      <c r="AS2141" s="1">
        <f>IF($A2141&lt;&gt;0,1,0)</f>
        <v>0</v>
      </c>
      <c r="AT2141" s="1">
        <f>$A2141*$B2141</f>
        <v>0</v>
      </c>
      <c r="AU2141" s="1">
        <f>$A2141*$O2141</f>
        <v>0</v>
      </c>
      <c r="AV2141" s="1">
        <f>IF($R2141=0,0,INT($A2141/$R2141))</f>
        <v>0</v>
      </c>
      <c r="AW2141" s="1">
        <f>$A2141-$AV2141*$R2141</f>
        <v>0</v>
      </c>
    </row>
    <row r="2142" ht="24.95" customHeight="1" outlineLevel="3" s="1" customFormat="1">
      <c r="A2142" s="15"/>
      <c r="B2142" s="16">
        <v>970</v>
      </c>
      <c r="C2142" s="17">
        <v>1358</v>
      </c>
      <c r="D2142" s="16">
        <v>25361</v>
      </c>
      <c r="E2142" s="18"/>
      <c r="F2142" s="18" t="s">
        <v>412</v>
      </c>
      <c r="G2142" s="18" t="s">
        <v>7013</v>
      </c>
      <c r="H2142" s="18" t="s">
        <v>171</v>
      </c>
      <c r="I2142" s="18"/>
      <c r="J2142" s="16">
        <v>2025</v>
      </c>
      <c r="K2142" s="18" t="s">
        <v>7014</v>
      </c>
      <c r="L2142" s="16">
        <v>9785001397021</v>
      </c>
      <c r="M2142" s="18" t="s">
        <v>7015</v>
      </c>
      <c r="N2142" s="16">
        <v>566</v>
      </c>
      <c r="O2142" s="19">
        <v>0.66</v>
      </c>
      <c r="P2142" s="16">
        <v>150</v>
      </c>
      <c r="Q2142" s="16">
        <v>220</v>
      </c>
      <c r="R2142" s="16">
        <v>6</v>
      </c>
      <c r="S2142" s="18" t="s">
        <v>43</v>
      </c>
      <c r="T2142" s="18"/>
      <c r="U2142" s="17">
        <v>1000</v>
      </c>
      <c r="V2142" s="18" t="s">
        <v>77</v>
      </c>
      <c r="W2142" s="18" t="s">
        <v>45</v>
      </c>
      <c r="X2142" s="16">
        <v>10</v>
      </c>
      <c r="Y2142" s="43" t="str">
        <f>HYPERLINK("https://api-enni.alpina.ru/FilePrivilegesApproval/190","https://api-enni.alpina.ru/FilePrivilegesApproval/190")</f>
        <v>https://api-enni.alpina.ru/FilePrivilegesApproval/190</v>
      </c>
      <c r="Z2142" s="18"/>
      <c r="AS2142" s="1">
        <f>IF($A2142&lt;&gt;0,1,0)</f>
        <v>0</v>
      </c>
      <c r="AT2142" s="1">
        <f>$A2142*$B2142</f>
        <v>0</v>
      </c>
      <c r="AU2142" s="1">
        <f>$A2142*$O2142</f>
        <v>0</v>
      </c>
      <c r="AV2142" s="1">
        <f>IF($R2142=0,0,INT($A2142/$R2142))</f>
        <v>0</v>
      </c>
      <c r="AW2142" s="1">
        <f>$A2142-$AV2142*$R2142</f>
        <v>0</v>
      </c>
    </row>
    <row r="2143" ht="24.95" customHeight="1" outlineLevel="3" s="1" customFormat="1">
      <c r="A2143" s="15"/>
      <c r="B2143" s="16">
        <v>590</v>
      </c>
      <c r="C2143" s="16">
        <v>885</v>
      </c>
      <c r="D2143" s="16">
        <v>29067</v>
      </c>
      <c r="E2143" s="18"/>
      <c r="F2143" s="18" t="s">
        <v>412</v>
      </c>
      <c r="G2143" s="18" t="s">
        <v>7016</v>
      </c>
      <c r="H2143" s="18" t="s">
        <v>171</v>
      </c>
      <c r="I2143" s="18"/>
      <c r="J2143" s="16">
        <v>2024</v>
      </c>
      <c r="K2143" s="18" t="s">
        <v>7017</v>
      </c>
      <c r="L2143" s="16">
        <v>9785002230952</v>
      </c>
      <c r="M2143" s="18" t="s">
        <v>7018</v>
      </c>
      <c r="N2143" s="16">
        <v>672</v>
      </c>
      <c r="O2143" s="19">
        <v>0.4</v>
      </c>
      <c r="P2143" s="16">
        <v>120</v>
      </c>
      <c r="Q2143" s="16">
        <v>170</v>
      </c>
      <c r="R2143" s="16">
        <v>4</v>
      </c>
      <c r="S2143" s="18" t="s">
        <v>190</v>
      </c>
      <c r="T2143" s="18" t="s">
        <v>6670</v>
      </c>
      <c r="U2143" s="17">
        <v>4000</v>
      </c>
      <c r="V2143" s="18" t="s">
        <v>44</v>
      </c>
      <c r="W2143" s="18" t="s">
        <v>45</v>
      </c>
      <c r="X2143" s="16">
        <v>10</v>
      </c>
      <c r="Y2143" s="43" t="str">
        <f>HYPERLINK("https://api-enni.alpina.ru/FilePrivilegesApproval/190","https://api-enni.alpina.ru/FilePrivilegesApproval/190")</f>
        <v>https://api-enni.alpina.ru/FilePrivilegesApproval/190</v>
      </c>
      <c r="Z2143" s="18"/>
      <c r="AS2143" s="1">
        <f>IF($A2143&lt;&gt;0,1,0)</f>
        <v>0</v>
      </c>
      <c r="AT2143" s="1">
        <f>$A2143*$B2143</f>
        <v>0</v>
      </c>
      <c r="AU2143" s="1">
        <f>$A2143*$O2143</f>
        <v>0</v>
      </c>
      <c r="AV2143" s="1">
        <f>IF($R2143=0,0,INT($A2143/$R2143))</f>
        <v>0</v>
      </c>
      <c r="AW2143" s="1">
        <f>$A2143-$AV2143*$R2143</f>
        <v>0</v>
      </c>
    </row>
    <row r="2144" ht="21.95" customHeight="1" outlineLevel="3" s="1" customFormat="1">
      <c r="A2144" s="15"/>
      <c r="B2144" s="16">
        <v>740</v>
      </c>
      <c r="C2144" s="17">
        <v>1073</v>
      </c>
      <c r="D2144" s="16">
        <v>31717</v>
      </c>
      <c r="E2144" s="18"/>
      <c r="F2144" s="18" t="s">
        <v>7019</v>
      </c>
      <c r="G2144" s="18" t="s">
        <v>7020</v>
      </c>
      <c r="H2144" s="18" t="s">
        <v>171</v>
      </c>
      <c r="I2144" s="18"/>
      <c r="J2144" s="16">
        <v>2025</v>
      </c>
      <c r="K2144" s="18" t="s">
        <v>7021</v>
      </c>
      <c r="L2144" s="16">
        <v>9785002234103</v>
      </c>
      <c r="M2144" s="18" t="s">
        <v>7022</v>
      </c>
      <c r="N2144" s="16">
        <v>410</v>
      </c>
      <c r="O2144" s="19">
        <v>0.39</v>
      </c>
      <c r="P2144" s="16">
        <v>140</v>
      </c>
      <c r="Q2144" s="16">
        <v>210</v>
      </c>
      <c r="R2144" s="16">
        <v>10</v>
      </c>
      <c r="S2144" s="18" t="s">
        <v>90</v>
      </c>
      <c r="T2144" s="18"/>
      <c r="U2144" s="17">
        <v>2000</v>
      </c>
      <c r="V2144" s="18" t="s">
        <v>77</v>
      </c>
      <c r="W2144" s="18" t="s">
        <v>45</v>
      </c>
      <c r="X2144" s="16">
        <v>22</v>
      </c>
      <c r="Y2144" s="43" t="str">
        <f>HYPERLINK("","")</f>
      </c>
      <c r="Z2144" s="18"/>
      <c r="AS2144" s="1">
        <f>IF($A2144&lt;&gt;0,1,0)</f>
        <v>0</v>
      </c>
      <c r="AT2144" s="1">
        <f>$A2144*$B2144</f>
        <v>0</v>
      </c>
      <c r="AU2144" s="1">
        <f>$A2144*$O2144</f>
        <v>0</v>
      </c>
      <c r="AV2144" s="1">
        <f>IF($R2144=0,0,INT($A2144/$R2144))</f>
        <v>0</v>
      </c>
      <c r="AW2144" s="1">
        <f>$A2144-$AV2144*$R2144</f>
        <v>0</v>
      </c>
    </row>
    <row r="2145" ht="21.95" customHeight="1" outlineLevel="3" s="1" customFormat="1">
      <c r="A2145" s="15"/>
      <c r="B2145" s="16">
        <v>702</v>
      </c>
      <c r="C2145" s="17">
        <v>1018</v>
      </c>
      <c r="D2145" s="16">
        <v>31719</v>
      </c>
      <c r="E2145" s="18"/>
      <c r="F2145" s="18" t="s">
        <v>7023</v>
      </c>
      <c r="G2145" s="18" t="s">
        <v>7024</v>
      </c>
      <c r="H2145" s="18" t="s">
        <v>171</v>
      </c>
      <c r="I2145" s="18"/>
      <c r="J2145" s="16">
        <v>2025</v>
      </c>
      <c r="K2145" s="18" t="s">
        <v>7025</v>
      </c>
      <c r="L2145" s="16">
        <v>9785002234127</v>
      </c>
      <c r="M2145" s="18" t="s">
        <v>7026</v>
      </c>
      <c r="N2145" s="16">
        <v>192</v>
      </c>
      <c r="O2145" s="19">
        <v>0.17</v>
      </c>
      <c r="P2145" s="16">
        <v>140</v>
      </c>
      <c r="Q2145" s="16">
        <v>210</v>
      </c>
      <c r="R2145" s="16">
        <v>18</v>
      </c>
      <c r="S2145" s="18" t="s">
        <v>43</v>
      </c>
      <c r="T2145" s="18"/>
      <c r="U2145" s="17">
        <v>1500</v>
      </c>
      <c r="V2145" s="18" t="s">
        <v>44</v>
      </c>
      <c r="W2145" s="18" t="s">
        <v>45</v>
      </c>
      <c r="X2145" s="16">
        <v>22</v>
      </c>
      <c r="Y2145" s="43" t="str">
        <f>HYPERLINK("","")</f>
      </c>
      <c r="Z2145" s="18"/>
      <c r="AS2145" s="1">
        <f>IF($A2145&lt;&gt;0,1,0)</f>
        <v>0</v>
      </c>
      <c r="AT2145" s="1">
        <f>$A2145*$B2145</f>
        <v>0</v>
      </c>
      <c r="AU2145" s="1">
        <f>$A2145*$O2145</f>
        <v>0</v>
      </c>
      <c r="AV2145" s="1">
        <f>IF($R2145=0,0,INT($A2145/$R2145))</f>
        <v>0</v>
      </c>
      <c r="AW2145" s="1">
        <f>$A2145-$AV2145*$R2145</f>
        <v>0</v>
      </c>
    </row>
    <row r="2146" ht="24.95" customHeight="1" outlineLevel="3" s="1" customFormat="1">
      <c r="A2146" s="15"/>
      <c r="B2146" s="16">
        <v>590</v>
      </c>
      <c r="C2146" s="16">
        <v>885</v>
      </c>
      <c r="D2146" s="16">
        <v>23914</v>
      </c>
      <c r="E2146" s="18"/>
      <c r="F2146" s="18" t="s">
        <v>412</v>
      </c>
      <c r="G2146" s="18" t="s">
        <v>7027</v>
      </c>
      <c r="H2146" s="18" t="s">
        <v>171</v>
      </c>
      <c r="I2146" s="18"/>
      <c r="J2146" s="16">
        <v>2021</v>
      </c>
      <c r="K2146" s="18" t="s">
        <v>7028</v>
      </c>
      <c r="L2146" s="16">
        <v>9785001395164</v>
      </c>
      <c r="M2146" s="18" t="s">
        <v>7029</v>
      </c>
      <c r="N2146" s="16">
        <v>288</v>
      </c>
      <c r="O2146" s="19">
        <v>0.49</v>
      </c>
      <c r="P2146" s="16">
        <v>145</v>
      </c>
      <c r="Q2146" s="16">
        <v>216</v>
      </c>
      <c r="R2146" s="16">
        <v>12</v>
      </c>
      <c r="S2146" s="18" t="s">
        <v>43</v>
      </c>
      <c r="T2146" s="18"/>
      <c r="U2146" s="17">
        <v>20000</v>
      </c>
      <c r="V2146" s="18" t="s">
        <v>77</v>
      </c>
      <c r="W2146" s="18" t="s">
        <v>45</v>
      </c>
      <c r="X2146" s="16">
        <v>10</v>
      </c>
      <c r="Y2146" s="43" t="str">
        <f>HYPERLINK("https://api-enni.alpina.ru/FilePrivilegesApproval/149","https://api-enni.alpina.ru/FilePrivilegesApproval/149")</f>
        <v>https://api-enni.alpina.ru/FilePrivilegesApproval/149</v>
      </c>
      <c r="Z2146" s="18"/>
      <c r="AS2146" s="1">
        <f>IF($A2146&lt;&gt;0,1,0)</f>
        <v>0</v>
      </c>
      <c r="AT2146" s="1">
        <f>$A2146*$B2146</f>
        <v>0</v>
      </c>
      <c r="AU2146" s="1">
        <f>$A2146*$O2146</f>
        <v>0</v>
      </c>
      <c r="AV2146" s="1">
        <f>IF($R2146=0,0,INT($A2146/$R2146))</f>
        <v>0</v>
      </c>
      <c r="AW2146" s="1">
        <f>$A2146-$AV2146*$R2146</f>
        <v>0</v>
      </c>
    </row>
    <row r="2147" ht="21.95" customHeight="1" outlineLevel="3" s="1" customFormat="1">
      <c r="A2147" s="15"/>
      <c r="B2147" s="16">
        <v>690</v>
      </c>
      <c r="C2147" s="17">
        <v>1035</v>
      </c>
      <c r="D2147" s="16">
        <v>29556</v>
      </c>
      <c r="E2147" s="18"/>
      <c r="F2147" s="18" t="s">
        <v>7030</v>
      </c>
      <c r="G2147" s="18" t="s">
        <v>7031</v>
      </c>
      <c r="H2147" s="18" t="s">
        <v>171</v>
      </c>
      <c r="I2147" s="18"/>
      <c r="J2147" s="16">
        <v>2024</v>
      </c>
      <c r="K2147" s="18" t="s">
        <v>7032</v>
      </c>
      <c r="L2147" s="16">
        <v>9785002231560</v>
      </c>
      <c r="M2147" s="18" t="s">
        <v>7033</v>
      </c>
      <c r="N2147" s="16">
        <v>176</v>
      </c>
      <c r="O2147" s="19">
        <v>0.2</v>
      </c>
      <c r="P2147" s="16">
        <v>130</v>
      </c>
      <c r="Q2147" s="16">
        <v>210</v>
      </c>
      <c r="R2147" s="16">
        <v>16</v>
      </c>
      <c r="S2147" s="18" t="s">
        <v>90</v>
      </c>
      <c r="T2147" s="18"/>
      <c r="U2147" s="17">
        <v>3000</v>
      </c>
      <c r="V2147" s="18" t="s">
        <v>77</v>
      </c>
      <c r="W2147" s="18" t="s">
        <v>45</v>
      </c>
      <c r="X2147" s="16">
        <v>22</v>
      </c>
      <c r="Y2147" s="43" t="str">
        <f>HYPERLINK("","")</f>
      </c>
      <c r="Z2147" s="18"/>
      <c r="AS2147" s="1">
        <f>IF($A2147&lt;&gt;0,1,0)</f>
        <v>0</v>
      </c>
      <c r="AT2147" s="1">
        <f>$A2147*$B2147</f>
        <v>0</v>
      </c>
      <c r="AU2147" s="1">
        <f>$A2147*$O2147</f>
        <v>0</v>
      </c>
      <c r="AV2147" s="1">
        <f>IF($R2147=0,0,INT($A2147/$R2147))</f>
        <v>0</v>
      </c>
      <c r="AW2147" s="1">
        <f>$A2147-$AV2147*$R2147</f>
        <v>0</v>
      </c>
    </row>
    <row r="2148" ht="24.95" customHeight="1" outlineLevel="3" s="1" customFormat="1">
      <c r="A2148" s="15"/>
      <c r="B2148" s="16">
        <v>720</v>
      </c>
      <c r="C2148" s="17">
        <v>1044</v>
      </c>
      <c r="D2148" s="16">
        <v>26092</v>
      </c>
      <c r="E2148" s="18"/>
      <c r="F2148" s="18" t="s">
        <v>541</v>
      </c>
      <c r="G2148" s="18" t="s">
        <v>7034</v>
      </c>
      <c r="H2148" s="18" t="s">
        <v>171</v>
      </c>
      <c r="I2148" s="18"/>
      <c r="J2148" s="16">
        <v>2026</v>
      </c>
      <c r="K2148" s="18" t="s">
        <v>7035</v>
      </c>
      <c r="L2148" s="16">
        <v>9785001397366</v>
      </c>
      <c r="M2148" s="18" t="s">
        <v>7036</v>
      </c>
      <c r="N2148" s="16">
        <v>216</v>
      </c>
      <c r="O2148" s="19">
        <v>0.35</v>
      </c>
      <c r="P2148" s="16">
        <v>150</v>
      </c>
      <c r="Q2148" s="16">
        <v>220</v>
      </c>
      <c r="R2148" s="16">
        <v>10</v>
      </c>
      <c r="S2148" s="18" t="s">
        <v>43</v>
      </c>
      <c r="T2148" s="18"/>
      <c r="U2148" s="17">
        <v>1000</v>
      </c>
      <c r="V2148" s="18" t="s">
        <v>77</v>
      </c>
      <c r="W2148" s="18" t="s">
        <v>69</v>
      </c>
      <c r="X2148" s="16">
        <v>10</v>
      </c>
      <c r="Y2148" s="43" t="str">
        <f>HYPERLINK("https://api-enni.alpina.ru/FilePrivilegesApproval/171","https://api-enni.alpina.ru/FilePrivilegesApproval/171")</f>
        <v>https://api-enni.alpina.ru/FilePrivilegesApproval/171</v>
      </c>
      <c r="Z2148" s="18" t="s">
        <v>144</v>
      </c>
      <c r="AS2148" s="1">
        <f>IF($A2148&lt;&gt;0,1,0)</f>
        <v>0</v>
      </c>
      <c r="AT2148" s="1">
        <f>$A2148*$B2148</f>
        <v>0</v>
      </c>
      <c r="AU2148" s="1">
        <f>$A2148*$O2148</f>
        <v>0</v>
      </c>
      <c r="AV2148" s="1">
        <f>IF($R2148=0,0,INT($A2148/$R2148))</f>
        <v>0</v>
      </c>
      <c r="AW2148" s="1">
        <f>$A2148-$AV2148*$R2148</f>
        <v>0</v>
      </c>
    </row>
    <row r="2149" ht="24.95" customHeight="1" outlineLevel="3" s="1" customFormat="1">
      <c r="A2149" s="15"/>
      <c r="B2149" s="16">
        <v>490</v>
      </c>
      <c r="C2149" s="16">
        <v>760</v>
      </c>
      <c r="D2149" s="16">
        <v>27307</v>
      </c>
      <c r="E2149" s="18"/>
      <c r="F2149" s="18" t="s">
        <v>7019</v>
      </c>
      <c r="G2149" s="18" t="s">
        <v>7037</v>
      </c>
      <c r="H2149" s="18" t="s">
        <v>171</v>
      </c>
      <c r="I2149" s="18"/>
      <c r="J2149" s="16">
        <v>2023</v>
      </c>
      <c r="K2149" s="18" t="s">
        <v>7038</v>
      </c>
      <c r="L2149" s="16">
        <v>9785001399131</v>
      </c>
      <c r="M2149" s="18" t="s">
        <v>7039</v>
      </c>
      <c r="N2149" s="16">
        <v>416</v>
      </c>
      <c r="O2149" s="19">
        <v>0.35</v>
      </c>
      <c r="P2149" s="16">
        <v>130</v>
      </c>
      <c r="Q2149" s="16">
        <v>200</v>
      </c>
      <c r="R2149" s="16">
        <v>14</v>
      </c>
      <c r="S2149" s="18" t="s">
        <v>90</v>
      </c>
      <c r="T2149" s="18"/>
      <c r="U2149" s="17">
        <v>1500</v>
      </c>
      <c r="V2149" s="18" t="s">
        <v>44</v>
      </c>
      <c r="W2149" s="18" t="s">
        <v>45</v>
      </c>
      <c r="X2149" s="16">
        <v>10</v>
      </c>
      <c r="Y2149" s="43" t="str">
        <f>HYPERLINK("https://api-enni.alpina.ru/FilePrivilegesApproval/289","https://api-enni.alpina.ru/FilePrivilegesApproval/289")</f>
        <v>https://api-enni.alpina.ru/FilePrivilegesApproval/289</v>
      </c>
      <c r="Z2149" s="18"/>
      <c r="AS2149" s="1">
        <f>IF($A2149&lt;&gt;0,1,0)</f>
        <v>0</v>
      </c>
      <c r="AT2149" s="1">
        <f>$A2149*$B2149</f>
        <v>0</v>
      </c>
      <c r="AU2149" s="1">
        <f>$A2149*$O2149</f>
        <v>0</v>
      </c>
      <c r="AV2149" s="1">
        <f>IF($R2149=0,0,INT($A2149/$R2149))</f>
        <v>0</v>
      </c>
      <c r="AW2149" s="1">
        <f>$A2149-$AV2149*$R2149</f>
        <v>0</v>
      </c>
    </row>
    <row r="2150" ht="24.95" customHeight="1" outlineLevel="3" s="1" customFormat="1">
      <c r="A2150" s="15"/>
      <c r="B2150" s="16">
        <v>540</v>
      </c>
      <c r="C2150" s="16">
        <v>837</v>
      </c>
      <c r="D2150" s="16">
        <v>26089</v>
      </c>
      <c r="E2150" s="18"/>
      <c r="F2150" s="18" t="s">
        <v>7040</v>
      </c>
      <c r="G2150" s="18" t="s">
        <v>7041</v>
      </c>
      <c r="H2150" s="18" t="s">
        <v>171</v>
      </c>
      <c r="I2150" s="18"/>
      <c r="J2150" s="16">
        <v>2023</v>
      </c>
      <c r="K2150" s="18" t="s">
        <v>7042</v>
      </c>
      <c r="L2150" s="16">
        <v>9785001397335</v>
      </c>
      <c r="M2150" s="18" t="s">
        <v>7043</v>
      </c>
      <c r="N2150" s="16">
        <v>288</v>
      </c>
      <c r="O2150" s="19">
        <v>0.28</v>
      </c>
      <c r="P2150" s="16">
        <v>120</v>
      </c>
      <c r="Q2150" s="16">
        <v>180</v>
      </c>
      <c r="R2150" s="16">
        <v>16</v>
      </c>
      <c r="S2150" s="18" t="s">
        <v>190</v>
      </c>
      <c r="T2150" s="18"/>
      <c r="U2150" s="17">
        <v>1500</v>
      </c>
      <c r="V2150" s="18" t="s">
        <v>77</v>
      </c>
      <c r="W2150" s="18" t="s">
        <v>45</v>
      </c>
      <c r="X2150" s="16">
        <v>10</v>
      </c>
      <c r="Y2150" s="43" t="str">
        <f>HYPERLINK("https://api-enni.alpina.ru/FilePrivilegesApproval/185","https://api-enni.alpina.ru/FilePrivilegesApproval/185")</f>
        <v>https://api-enni.alpina.ru/FilePrivilegesApproval/185</v>
      </c>
      <c r="Z2150" s="18"/>
      <c r="AS2150" s="1">
        <f>IF($A2150&lt;&gt;0,1,0)</f>
        <v>0</v>
      </c>
      <c r="AT2150" s="1">
        <f>$A2150*$B2150</f>
        <v>0</v>
      </c>
      <c r="AU2150" s="1">
        <f>$A2150*$O2150</f>
        <v>0</v>
      </c>
      <c r="AV2150" s="1">
        <f>IF($R2150=0,0,INT($A2150/$R2150))</f>
        <v>0</v>
      </c>
      <c r="AW2150" s="1">
        <f>$A2150-$AV2150*$R2150</f>
        <v>0</v>
      </c>
    </row>
    <row r="2151" ht="21.95" customHeight="1" outlineLevel="3" s="1" customFormat="1">
      <c r="A2151" s="15"/>
      <c r="B2151" s="16">
        <v>790</v>
      </c>
      <c r="C2151" s="17">
        <v>1146</v>
      </c>
      <c r="D2151" s="16">
        <v>35421</v>
      </c>
      <c r="E2151" s="18"/>
      <c r="F2151" s="18" t="s">
        <v>7044</v>
      </c>
      <c r="G2151" s="18" t="s">
        <v>7045</v>
      </c>
      <c r="H2151" s="18" t="s">
        <v>171</v>
      </c>
      <c r="I2151" s="18"/>
      <c r="J2151" s="16">
        <v>2026</v>
      </c>
      <c r="K2151" s="18" t="s">
        <v>7046</v>
      </c>
      <c r="L2151" s="16">
        <v>9785002237708</v>
      </c>
      <c r="M2151" s="18" t="s">
        <v>7047</v>
      </c>
      <c r="N2151" s="16">
        <v>480</v>
      </c>
      <c r="O2151" s="19">
        <v>0.45</v>
      </c>
      <c r="P2151" s="16">
        <v>130</v>
      </c>
      <c r="Q2151" s="16">
        <v>210</v>
      </c>
      <c r="R2151" s="16">
        <v>10</v>
      </c>
      <c r="S2151" s="18" t="s">
        <v>90</v>
      </c>
      <c r="T2151" s="18"/>
      <c r="U2151" s="17">
        <v>2000</v>
      </c>
      <c r="V2151" s="18" t="s">
        <v>77</v>
      </c>
      <c r="W2151" s="18" t="s">
        <v>45</v>
      </c>
      <c r="X2151" s="16">
        <v>22</v>
      </c>
      <c r="Y2151" s="43" t="str">
        <f>HYPERLINK("","")</f>
      </c>
      <c r="Z2151" s="18" t="s">
        <v>1220</v>
      </c>
      <c r="AS2151" s="1">
        <f>IF($A2151&lt;&gt;0,1,0)</f>
        <v>0</v>
      </c>
      <c r="AT2151" s="1">
        <f>$A2151*$B2151</f>
        <v>0</v>
      </c>
      <c r="AU2151" s="1">
        <f>$A2151*$O2151</f>
        <v>0</v>
      </c>
      <c r="AV2151" s="1">
        <f>IF($R2151=0,0,INT($A2151/$R2151))</f>
        <v>0</v>
      </c>
      <c r="AW2151" s="1">
        <f>$A2151-$AV2151*$R2151</f>
        <v>0</v>
      </c>
    </row>
    <row r="2152" ht="24.95" customHeight="1" outlineLevel="3" s="1" customFormat="1">
      <c r="A2152" s="15"/>
      <c r="B2152" s="16">
        <v>740</v>
      </c>
      <c r="C2152" s="17">
        <v>1073</v>
      </c>
      <c r="D2152" s="16">
        <v>32934</v>
      </c>
      <c r="E2152" s="18"/>
      <c r="F2152" s="18" t="s">
        <v>6794</v>
      </c>
      <c r="G2152" s="18" t="s">
        <v>7048</v>
      </c>
      <c r="H2152" s="18" t="s">
        <v>171</v>
      </c>
      <c r="I2152" s="18"/>
      <c r="J2152" s="16">
        <v>2025</v>
      </c>
      <c r="K2152" s="18" t="s">
        <v>7049</v>
      </c>
      <c r="L2152" s="16">
        <v>9785002235308</v>
      </c>
      <c r="M2152" s="18" t="s">
        <v>7050</v>
      </c>
      <c r="N2152" s="16">
        <v>282</v>
      </c>
      <c r="O2152" s="19">
        <v>0.3</v>
      </c>
      <c r="P2152" s="16">
        <v>140</v>
      </c>
      <c r="Q2152" s="16">
        <v>210</v>
      </c>
      <c r="R2152" s="16">
        <v>10</v>
      </c>
      <c r="S2152" s="18" t="s">
        <v>90</v>
      </c>
      <c r="T2152" s="18"/>
      <c r="U2152" s="17">
        <v>2000</v>
      </c>
      <c r="V2152" s="18" t="s">
        <v>77</v>
      </c>
      <c r="W2152" s="18" t="s">
        <v>45</v>
      </c>
      <c r="X2152" s="16">
        <v>10</v>
      </c>
      <c r="Y2152" s="43" t="str">
        <f>HYPERLINK("https://api-enni.alpina.ru/FilePrivilegesApproval/895","https://api-enni.alpina.ru/FilePrivilegesApproval/895")</f>
        <v>https://api-enni.alpina.ru/FilePrivilegesApproval/895</v>
      </c>
      <c r="Z2152" s="18"/>
      <c r="AS2152" s="1">
        <f>IF($A2152&lt;&gt;0,1,0)</f>
        <v>0</v>
      </c>
      <c r="AT2152" s="1">
        <f>$A2152*$B2152</f>
        <v>0</v>
      </c>
      <c r="AU2152" s="1">
        <f>$A2152*$O2152</f>
        <v>0</v>
      </c>
      <c r="AV2152" s="1">
        <f>IF($R2152=0,0,INT($A2152/$R2152))</f>
        <v>0</v>
      </c>
      <c r="AW2152" s="1">
        <f>$A2152-$AV2152*$R2152</f>
        <v>0</v>
      </c>
    </row>
    <row r="2153" ht="21.95" customHeight="1" outlineLevel="3" s="1" customFormat="1">
      <c r="A2153" s="15"/>
      <c r="B2153" s="16">
        <v>610</v>
      </c>
      <c r="C2153" s="16">
        <v>915</v>
      </c>
      <c r="D2153" s="16">
        <v>31955</v>
      </c>
      <c r="E2153" s="18"/>
      <c r="F2153" s="18" t="s">
        <v>7051</v>
      </c>
      <c r="G2153" s="18" t="s">
        <v>7052</v>
      </c>
      <c r="H2153" s="18" t="s">
        <v>171</v>
      </c>
      <c r="I2153" s="18"/>
      <c r="J2153" s="16">
        <v>2025</v>
      </c>
      <c r="K2153" s="18" t="s">
        <v>7053</v>
      </c>
      <c r="L2153" s="16">
        <v>9785002234578</v>
      </c>
      <c r="M2153" s="18" t="s">
        <v>7054</v>
      </c>
      <c r="N2153" s="16">
        <v>206</v>
      </c>
      <c r="O2153" s="19">
        <v>0.23</v>
      </c>
      <c r="P2153" s="16">
        <v>130</v>
      </c>
      <c r="Q2153" s="16">
        <v>210</v>
      </c>
      <c r="R2153" s="16">
        <v>16</v>
      </c>
      <c r="S2153" s="18" t="s">
        <v>90</v>
      </c>
      <c r="T2153" s="18"/>
      <c r="U2153" s="17">
        <v>2000</v>
      </c>
      <c r="V2153" s="18" t="s">
        <v>77</v>
      </c>
      <c r="W2153" s="18" t="s">
        <v>45</v>
      </c>
      <c r="X2153" s="16">
        <v>22</v>
      </c>
      <c r="Y2153" s="43" t="str">
        <f>HYPERLINK("","")</f>
      </c>
      <c r="Z2153" s="18"/>
      <c r="AS2153" s="1">
        <f>IF($A2153&lt;&gt;0,1,0)</f>
        <v>0</v>
      </c>
      <c r="AT2153" s="1">
        <f>$A2153*$B2153</f>
        <v>0</v>
      </c>
      <c r="AU2153" s="1">
        <f>$A2153*$O2153</f>
        <v>0</v>
      </c>
      <c r="AV2153" s="1">
        <f>IF($R2153=0,0,INT($A2153/$R2153))</f>
        <v>0</v>
      </c>
      <c r="AW2153" s="1">
        <f>$A2153-$AV2153*$R2153</f>
        <v>0</v>
      </c>
    </row>
    <row r="2154" ht="24.95" customHeight="1" outlineLevel="3" s="1" customFormat="1">
      <c r="A2154" s="15"/>
      <c r="B2154" s="16">
        <v>540</v>
      </c>
      <c r="C2154" s="16">
        <v>837</v>
      </c>
      <c r="D2154" s="16">
        <v>26088</v>
      </c>
      <c r="E2154" s="18"/>
      <c r="F2154" s="18" t="s">
        <v>6734</v>
      </c>
      <c r="G2154" s="18" t="s">
        <v>7055</v>
      </c>
      <c r="H2154" s="18" t="s">
        <v>171</v>
      </c>
      <c r="I2154" s="18"/>
      <c r="J2154" s="16">
        <v>2025</v>
      </c>
      <c r="K2154" s="18" t="s">
        <v>7056</v>
      </c>
      <c r="L2154" s="16">
        <v>9785001397328</v>
      </c>
      <c r="M2154" s="18" t="s">
        <v>7057</v>
      </c>
      <c r="N2154" s="16">
        <v>272</v>
      </c>
      <c r="O2154" s="19">
        <v>0.37</v>
      </c>
      <c r="P2154" s="16">
        <v>140</v>
      </c>
      <c r="Q2154" s="16">
        <v>210</v>
      </c>
      <c r="R2154" s="16">
        <v>14</v>
      </c>
      <c r="S2154" s="18" t="s">
        <v>90</v>
      </c>
      <c r="T2154" s="18"/>
      <c r="U2154" s="17">
        <v>1500</v>
      </c>
      <c r="V2154" s="18" t="s">
        <v>77</v>
      </c>
      <c r="W2154" s="18" t="s">
        <v>45</v>
      </c>
      <c r="X2154" s="16">
        <v>10</v>
      </c>
      <c r="Y2154" s="43" t="str">
        <f>HYPERLINK("https://api-enni.alpina.ru/FilePrivilegesApproval/171","https://api-enni.alpina.ru/FilePrivilegesApproval/171")</f>
        <v>https://api-enni.alpina.ru/FilePrivilegesApproval/171</v>
      </c>
      <c r="Z2154" s="18"/>
      <c r="AS2154" s="1">
        <f>IF($A2154&lt;&gt;0,1,0)</f>
        <v>0</v>
      </c>
      <c r="AT2154" s="1">
        <f>$A2154*$B2154</f>
        <v>0</v>
      </c>
      <c r="AU2154" s="1">
        <f>$A2154*$O2154</f>
        <v>0</v>
      </c>
      <c r="AV2154" s="1">
        <f>IF($R2154=0,0,INT($A2154/$R2154))</f>
        <v>0</v>
      </c>
      <c r="AW2154" s="1">
        <f>$A2154-$AV2154*$R2154</f>
        <v>0</v>
      </c>
    </row>
    <row r="2155" ht="24.95" customHeight="1" outlineLevel="3" s="1" customFormat="1">
      <c r="A2155" s="15"/>
      <c r="B2155" s="16">
        <v>440</v>
      </c>
      <c r="C2155" s="16">
        <v>682</v>
      </c>
      <c r="D2155" s="16">
        <v>29584</v>
      </c>
      <c r="E2155" s="18"/>
      <c r="F2155" s="18" t="s">
        <v>6734</v>
      </c>
      <c r="G2155" s="18" t="s">
        <v>7058</v>
      </c>
      <c r="H2155" s="18" t="s">
        <v>171</v>
      </c>
      <c r="I2155" s="18"/>
      <c r="J2155" s="16">
        <v>2024</v>
      </c>
      <c r="K2155" s="18" t="s">
        <v>7059</v>
      </c>
      <c r="L2155" s="16">
        <v>9785002231607</v>
      </c>
      <c r="M2155" s="18" t="s">
        <v>7060</v>
      </c>
      <c r="N2155" s="16">
        <v>250</v>
      </c>
      <c r="O2155" s="19">
        <v>0.17</v>
      </c>
      <c r="P2155" s="16">
        <v>120</v>
      </c>
      <c r="Q2155" s="16">
        <v>170</v>
      </c>
      <c r="R2155" s="16">
        <v>6</v>
      </c>
      <c r="S2155" s="18" t="s">
        <v>190</v>
      </c>
      <c r="T2155" s="18" t="s">
        <v>6670</v>
      </c>
      <c r="U2155" s="17">
        <v>4000</v>
      </c>
      <c r="V2155" s="18" t="s">
        <v>44</v>
      </c>
      <c r="W2155" s="18" t="s">
        <v>45</v>
      </c>
      <c r="X2155" s="16">
        <v>10</v>
      </c>
      <c r="Y2155" s="43" t="str">
        <f>HYPERLINK("https://api-enni.alpina.ru/FilePrivilegesApproval/171","https://api-enni.alpina.ru/FilePrivilegesApproval/171")</f>
        <v>https://api-enni.alpina.ru/FilePrivilegesApproval/171</v>
      </c>
      <c r="Z2155" s="18"/>
      <c r="AS2155" s="1">
        <f>IF($A2155&lt;&gt;0,1,0)</f>
        <v>0</v>
      </c>
      <c r="AT2155" s="1">
        <f>$A2155*$B2155</f>
        <v>0</v>
      </c>
      <c r="AU2155" s="1">
        <f>$A2155*$O2155</f>
        <v>0</v>
      </c>
      <c r="AV2155" s="1">
        <f>IF($R2155=0,0,INT($A2155/$R2155))</f>
        <v>0</v>
      </c>
      <c r="AW2155" s="1">
        <f>$A2155-$AV2155*$R2155</f>
        <v>0</v>
      </c>
    </row>
    <row r="2156" ht="21.95" customHeight="1" outlineLevel="3" s="1" customFormat="1">
      <c r="A2156" s="15"/>
      <c r="B2156" s="16">
        <v>690</v>
      </c>
      <c r="C2156" s="17">
        <v>1035</v>
      </c>
      <c r="D2156" s="16">
        <v>30364</v>
      </c>
      <c r="E2156" s="18"/>
      <c r="F2156" s="18" t="s">
        <v>7061</v>
      </c>
      <c r="G2156" s="18" t="s">
        <v>7062</v>
      </c>
      <c r="H2156" s="18" t="s">
        <v>171</v>
      </c>
      <c r="I2156" s="18"/>
      <c r="J2156" s="16">
        <v>2024</v>
      </c>
      <c r="K2156" s="18" t="s">
        <v>7063</v>
      </c>
      <c r="L2156" s="16">
        <v>9785002232499</v>
      </c>
      <c r="M2156" s="18" t="s">
        <v>7064</v>
      </c>
      <c r="N2156" s="16">
        <v>272</v>
      </c>
      <c r="O2156" s="19">
        <v>0.28</v>
      </c>
      <c r="P2156" s="16">
        <v>140</v>
      </c>
      <c r="Q2156" s="16">
        <v>210</v>
      </c>
      <c r="R2156" s="16">
        <v>12</v>
      </c>
      <c r="S2156" s="18" t="s">
        <v>90</v>
      </c>
      <c r="T2156" s="18"/>
      <c r="U2156" s="17">
        <v>2500</v>
      </c>
      <c r="V2156" s="18" t="s">
        <v>77</v>
      </c>
      <c r="W2156" s="18" t="s">
        <v>45</v>
      </c>
      <c r="X2156" s="16">
        <v>22</v>
      </c>
      <c r="Y2156" s="43" t="str">
        <f>HYPERLINK("","")</f>
      </c>
      <c r="Z2156" s="18"/>
      <c r="AS2156" s="1">
        <f>IF($A2156&lt;&gt;0,1,0)</f>
        <v>0</v>
      </c>
      <c r="AT2156" s="1">
        <f>$A2156*$B2156</f>
        <v>0</v>
      </c>
      <c r="AU2156" s="1">
        <f>$A2156*$O2156</f>
        <v>0</v>
      </c>
      <c r="AV2156" s="1">
        <f>IF($R2156=0,0,INT($A2156/$R2156))</f>
        <v>0</v>
      </c>
      <c r="AW2156" s="1">
        <f>$A2156-$AV2156*$R2156</f>
        <v>0</v>
      </c>
    </row>
    <row r="2157" ht="24.95" customHeight="1" outlineLevel="3" s="1" customFormat="1">
      <c r="A2157" s="15"/>
      <c r="B2157" s="16">
        <v>670</v>
      </c>
      <c r="C2157" s="17">
        <v>1005</v>
      </c>
      <c r="D2157" s="16">
        <v>34376</v>
      </c>
      <c r="E2157" s="18"/>
      <c r="F2157" s="18" t="s">
        <v>7065</v>
      </c>
      <c r="G2157" s="18" t="s">
        <v>7066</v>
      </c>
      <c r="H2157" s="18" t="s">
        <v>171</v>
      </c>
      <c r="I2157" s="18"/>
      <c r="J2157" s="16">
        <v>2026</v>
      </c>
      <c r="K2157" s="18" t="s">
        <v>7067</v>
      </c>
      <c r="L2157" s="16">
        <v>9785002236626</v>
      </c>
      <c r="M2157" s="18" t="s">
        <v>7068</v>
      </c>
      <c r="N2157" s="16">
        <v>410</v>
      </c>
      <c r="O2157" s="19">
        <v>0.51</v>
      </c>
      <c r="P2157" s="16">
        <v>130</v>
      </c>
      <c r="Q2157" s="16">
        <v>210</v>
      </c>
      <c r="R2157" s="16">
        <v>10</v>
      </c>
      <c r="S2157" s="18" t="s">
        <v>90</v>
      </c>
      <c r="T2157" s="18" t="s">
        <v>7069</v>
      </c>
      <c r="U2157" s="17">
        <v>2000</v>
      </c>
      <c r="V2157" s="18" t="s">
        <v>77</v>
      </c>
      <c r="W2157" s="18" t="s">
        <v>45</v>
      </c>
      <c r="X2157" s="16">
        <v>10</v>
      </c>
      <c r="Y2157" s="43" t="str">
        <f>HYPERLINK("https://api-enni.alpina.ru/FilePrivilegesApproval/1091","https://api-enni.alpina.ru/FilePrivilegesApproval/1091")</f>
        <v>https://api-enni.alpina.ru/FilePrivilegesApproval/1091</v>
      </c>
      <c r="Z2157" s="18"/>
      <c r="AS2157" s="1">
        <f>IF($A2157&lt;&gt;0,1,0)</f>
        <v>0</v>
      </c>
      <c r="AT2157" s="1">
        <f>$A2157*$B2157</f>
        <v>0</v>
      </c>
      <c r="AU2157" s="1">
        <f>$A2157*$O2157</f>
        <v>0</v>
      </c>
      <c r="AV2157" s="1">
        <f>IF($R2157=0,0,INT($A2157/$R2157))</f>
        <v>0</v>
      </c>
      <c r="AW2157" s="1">
        <f>$A2157-$AV2157*$R2157</f>
        <v>0</v>
      </c>
    </row>
    <row r="2158" ht="24.95" customHeight="1" outlineLevel="3" s="1" customFormat="1">
      <c r="A2158" s="15"/>
      <c r="B2158" s="16">
        <v>720</v>
      </c>
      <c r="C2158" s="17">
        <v>1044</v>
      </c>
      <c r="D2158" s="16">
        <v>34266</v>
      </c>
      <c r="E2158" s="18"/>
      <c r="F2158" s="18" t="s">
        <v>7065</v>
      </c>
      <c r="G2158" s="18" t="s">
        <v>7070</v>
      </c>
      <c r="H2158" s="18" t="s">
        <v>171</v>
      </c>
      <c r="I2158" s="18"/>
      <c r="J2158" s="16">
        <v>2025</v>
      </c>
      <c r="K2158" s="18" t="s">
        <v>7071</v>
      </c>
      <c r="L2158" s="16">
        <v>9785002236480</v>
      </c>
      <c r="M2158" s="18" t="s">
        <v>7072</v>
      </c>
      <c r="N2158" s="16">
        <v>362</v>
      </c>
      <c r="O2158" s="19">
        <v>0.45</v>
      </c>
      <c r="P2158" s="16">
        <v>140</v>
      </c>
      <c r="Q2158" s="16">
        <v>210</v>
      </c>
      <c r="R2158" s="16">
        <v>12</v>
      </c>
      <c r="S2158" s="18" t="s">
        <v>90</v>
      </c>
      <c r="T2158" s="18" t="s">
        <v>7069</v>
      </c>
      <c r="U2158" s="17">
        <v>2000</v>
      </c>
      <c r="V2158" s="18" t="s">
        <v>77</v>
      </c>
      <c r="W2158" s="18" t="s">
        <v>45</v>
      </c>
      <c r="X2158" s="16">
        <v>10</v>
      </c>
      <c r="Y2158" s="43" t="str">
        <f>HYPERLINK("https://api-enni.alpina.ru/FilePrivilegesApproval/1015","https://api-enni.alpina.ru/FilePrivilegesApproval/1015")</f>
        <v>https://api-enni.alpina.ru/FilePrivilegesApproval/1015</v>
      </c>
      <c r="Z2158" s="18"/>
      <c r="AS2158" s="1">
        <f>IF($A2158&lt;&gt;0,1,0)</f>
        <v>0</v>
      </c>
      <c r="AT2158" s="1">
        <f>$A2158*$B2158</f>
        <v>0</v>
      </c>
      <c r="AU2158" s="1">
        <f>$A2158*$O2158</f>
        <v>0</v>
      </c>
      <c r="AV2158" s="1">
        <f>IF($R2158=0,0,INT($A2158/$R2158))</f>
        <v>0</v>
      </c>
      <c r="AW2158" s="1">
        <f>$A2158-$AV2158*$R2158</f>
        <v>0</v>
      </c>
    </row>
    <row r="2159" ht="24.95" customHeight="1" outlineLevel="3" s="1" customFormat="1">
      <c r="A2159" s="15"/>
      <c r="B2159" s="16">
        <v>681</v>
      </c>
      <c r="C2159" s="17">
        <v>1020</v>
      </c>
      <c r="D2159" s="16">
        <v>34885</v>
      </c>
      <c r="E2159" s="18"/>
      <c r="F2159" s="18" t="s">
        <v>7065</v>
      </c>
      <c r="G2159" s="18" t="s">
        <v>7073</v>
      </c>
      <c r="H2159" s="18" t="s">
        <v>171</v>
      </c>
      <c r="I2159" s="18"/>
      <c r="J2159" s="16">
        <v>2026</v>
      </c>
      <c r="K2159" s="18" t="s">
        <v>7074</v>
      </c>
      <c r="L2159" s="16">
        <v>9785002237104</v>
      </c>
      <c r="M2159" s="18" t="s">
        <v>7075</v>
      </c>
      <c r="N2159" s="16">
        <v>422</v>
      </c>
      <c r="O2159" s="19">
        <v>0.52</v>
      </c>
      <c r="P2159" s="16">
        <v>130</v>
      </c>
      <c r="Q2159" s="16">
        <v>790</v>
      </c>
      <c r="R2159" s="16">
        <v>10</v>
      </c>
      <c r="S2159" s="18" t="s">
        <v>90</v>
      </c>
      <c r="T2159" s="18" t="s">
        <v>7069</v>
      </c>
      <c r="U2159" s="17">
        <v>2000</v>
      </c>
      <c r="V2159" s="18" t="s">
        <v>77</v>
      </c>
      <c r="W2159" s="18" t="s">
        <v>45</v>
      </c>
      <c r="X2159" s="16">
        <v>10</v>
      </c>
      <c r="Y2159" s="43" t="str">
        <f>HYPERLINK("https://api-enni.alpina.ru/FilePrivilegesApproval/1155","https://api-enni.alpina.ru/FilePrivilegesApproval/1155")</f>
        <v>https://api-enni.alpina.ru/FilePrivilegesApproval/1155</v>
      </c>
      <c r="Z2159" s="18"/>
      <c r="AS2159" s="1">
        <f>IF($A2159&lt;&gt;0,1,0)</f>
        <v>0</v>
      </c>
      <c r="AT2159" s="1">
        <f>$A2159*$B2159</f>
        <v>0</v>
      </c>
      <c r="AU2159" s="1">
        <f>$A2159*$O2159</f>
        <v>0</v>
      </c>
      <c r="AV2159" s="1">
        <f>IF($R2159=0,0,INT($A2159/$R2159))</f>
        <v>0</v>
      </c>
      <c r="AW2159" s="1">
        <f>$A2159-$AV2159*$R2159</f>
        <v>0</v>
      </c>
    </row>
    <row r="2160" ht="24.95" customHeight="1" outlineLevel="3" s="1" customFormat="1">
      <c r="A2160" s="15"/>
      <c r="B2160" s="16">
        <v>681</v>
      </c>
      <c r="C2160" s="17">
        <v>1020</v>
      </c>
      <c r="D2160" s="16">
        <v>34830</v>
      </c>
      <c r="E2160" s="18"/>
      <c r="F2160" s="18" t="s">
        <v>7065</v>
      </c>
      <c r="G2160" s="18" t="s">
        <v>7076</v>
      </c>
      <c r="H2160" s="18" t="s">
        <v>171</v>
      </c>
      <c r="I2160" s="18"/>
      <c r="J2160" s="16">
        <v>2026</v>
      </c>
      <c r="K2160" s="18" t="s">
        <v>7077</v>
      </c>
      <c r="L2160" s="16">
        <v>9785002237036</v>
      </c>
      <c r="M2160" s="18" t="s">
        <v>7078</v>
      </c>
      <c r="N2160" s="16">
        <v>398</v>
      </c>
      <c r="O2160" s="19">
        <v>0.49</v>
      </c>
      <c r="P2160" s="16">
        <v>130</v>
      </c>
      <c r="Q2160" s="16">
        <v>210</v>
      </c>
      <c r="R2160" s="16">
        <v>10</v>
      </c>
      <c r="S2160" s="18" t="s">
        <v>90</v>
      </c>
      <c r="T2160" s="18" t="s">
        <v>7069</v>
      </c>
      <c r="U2160" s="17">
        <v>2000</v>
      </c>
      <c r="V2160" s="18" t="s">
        <v>77</v>
      </c>
      <c r="W2160" s="18" t="s">
        <v>45</v>
      </c>
      <c r="X2160" s="16">
        <v>10</v>
      </c>
      <c r="Y2160" s="43" t="str">
        <f>HYPERLINK("https://api-enni.alpina.ru/FilePrivilegesApproval/1155","https://api-enni.alpina.ru/FilePrivilegesApproval/1155")</f>
        <v>https://api-enni.alpina.ru/FilePrivilegesApproval/1155</v>
      </c>
      <c r="Z2160" s="18"/>
      <c r="AS2160" s="1">
        <f>IF($A2160&lt;&gt;0,1,0)</f>
        <v>0</v>
      </c>
      <c r="AT2160" s="1">
        <f>$A2160*$B2160</f>
        <v>0</v>
      </c>
      <c r="AU2160" s="1">
        <f>$A2160*$O2160</f>
        <v>0</v>
      </c>
      <c r="AV2160" s="1">
        <f>IF($R2160=0,0,INT($A2160/$R2160))</f>
        <v>0</v>
      </c>
      <c r="AW2160" s="1">
        <f>$A2160-$AV2160*$R2160</f>
        <v>0</v>
      </c>
    </row>
    <row r="2161" ht="24.95" customHeight="1" outlineLevel="3" s="1" customFormat="1">
      <c r="A2161" s="15"/>
      <c r="B2161" s="16">
        <v>720</v>
      </c>
      <c r="C2161" s="17">
        <v>1044</v>
      </c>
      <c r="D2161" s="16">
        <v>34315</v>
      </c>
      <c r="E2161" s="18"/>
      <c r="F2161" s="18" t="s">
        <v>7065</v>
      </c>
      <c r="G2161" s="18" t="s">
        <v>7079</v>
      </c>
      <c r="H2161" s="18" t="s">
        <v>171</v>
      </c>
      <c r="I2161" s="18"/>
      <c r="J2161" s="16">
        <v>2025</v>
      </c>
      <c r="K2161" s="18" t="s">
        <v>7080</v>
      </c>
      <c r="L2161" s="16">
        <v>9785002236541</v>
      </c>
      <c r="M2161" s="18" t="s">
        <v>7081</v>
      </c>
      <c r="N2161" s="16">
        <v>560</v>
      </c>
      <c r="O2161" s="19">
        <v>0.65</v>
      </c>
      <c r="P2161" s="16">
        <v>140</v>
      </c>
      <c r="Q2161" s="16">
        <v>210</v>
      </c>
      <c r="R2161" s="16">
        <v>8</v>
      </c>
      <c r="S2161" s="18" t="s">
        <v>90</v>
      </c>
      <c r="T2161" s="18" t="s">
        <v>7069</v>
      </c>
      <c r="U2161" s="17">
        <v>2000</v>
      </c>
      <c r="V2161" s="18" t="s">
        <v>77</v>
      </c>
      <c r="W2161" s="18" t="s">
        <v>45</v>
      </c>
      <c r="X2161" s="16">
        <v>10</v>
      </c>
      <c r="Y2161" s="43" t="str">
        <f>HYPERLINK("https://api-enni.alpina.ru/FilePrivilegesApproval/1015","https://api-enni.alpina.ru/FilePrivilegesApproval/1015")</f>
        <v>https://api-enni.alpina.ru/FilePrivilegesApproval/1015</v>
      </c>
      <c r="Z2161" s="18"/>
      <c r="AS2161" s="1">
        <f>IF($A2161&lt;&gt;0,1,0)</f>
        <v>0</v>
      </c>
      <c r="AT2161" s="1">
        <f>$A2161*$B2161</f>
        <v>0</v>
      </c>
      <c r="AU2161" s="1">
        <f>$A2161*$O2161</f>
        <v>0</v>
      </c>
      <c r="AV2161" s="1">
        <f>IF($R2161=0,0,INT($A2161/$R2161))</f>
        <v>0</v>
      </c>
      <c r="AW2161" s="1">
        <f>$A2161-$AV2161*$R2161</f>
        <v>0</v>
      </c>
    </row>
    <row r="2162" ht="24.95" customHeight="1" outlineLevel="3" s="1" customFormat="1">
      <c r="A2162" s="15"/>
      <c r="B2162" s="16">
        <v>670</v>
      </c>
      <c r="C2162" s="17">
        <v>1005</v>
      </c>
      <c r="D2162" s="16">
        <v>34529</v>
      </c>
      <c r="E2162" s="18"/>
      <c r="F2162" s="18" t="s">
        <v>7065</v>
      </c>
      <c r="G2162" s="18" t="s">
        <v>7082</v>
      </c>
      <c r="H2162" s="18" t="s">
        <v>171</v>
      </c>
      <c r="I2162" s="18"/>
      <c r="J2162" s="16">
        <v>2025</v>
      </c>
      <c r="K2162" s="18" t="s">
        <v>7083</v>
      </c>
      <c r="L2162" s="16">
        <v>9785002236770</v>
      </c>
      <c r="M2162" s="18" t="s">
        <v>7084</v>
      </c>
      <c r="N2162" s="16">
        <v>366</v>
      </c>
      <c r="O2162" s="19">
        <v>0.46</v>
      </c>
      <c r="P2162" s="16">
        <v>130</v>
      </c>
      <c r="Q2162" s="16">
        <v>210</v>
      </c>
      <c r="R2162" s="16">
        <v>12</v>
      </c>
      <c r="S2162" s="18" t="s">
        <v>90</v>
      </c>
      <c r="T2162" s="18" t="s">
        <v>7069</v>
      </c>
      <c r="U2162" s="17">
        <v>2000</v>
      </c>
      <c r="V2162" s="18" t="s">
        <v>77</v>
      </c>
      <c r="W2162" s="18" t="s">
        <v>45</v>
      </c>
      <c r="X2162" s="16">
        <v>10</v>
      </c>
      <c r="Y2162" s="43" t="str">
        <f>HYPERLINK("https://api-enni.alpina.ru/FilePrivilegesApproval/1091","https://api-enni.alpina.ru/FilePrivilegesApproval/1091")</f>
        <v>https://api-enni.alpina.ru/FilePrivilegesApproval/1091</v>
      </c>
      <c r="Z2162" s="18"/>
      <c r="AS2162" s="1">
        <f>IF($A2162&lt;&gt;0,1,0)</f>
        <v>0</v>
      </c>
      <c r="AT2162" s="1">
        <f>$A2162*$B2162</f>
        <v>0</v>
      </c>
      <c r="AU2162" s="1">
        <f>$A2162*$O2162</f>
        <v>0</v>
      </c>
      <c r="AV2162" s="1">
        <f>IF($R2162=0,0,INT($A2162/$R2162))</f>
        <v>0</v>
      </c>
      <c r="AW2162" s="1">
        <f>$A2162-$AV2162*$R2162</f>
        <v>0</v>
      </c>
    </row>
    <row r="2163" ht="21.95" customHeight="1" outlineLevel="3" s="1" customFormat="1">
      <c r="A2163" s="15"/>
      <c r="B2163" s="16">
        <v>890</v>
      </c>
      <c r="C2163" s="17">
        <v>1246</v>
      </c>
      <c r="D2163" s="16">
        <v>30186</v>
      </c>
      <c r="E2163" s="18"/>
      <c r="F2163" s="18" t="s">
        <v>6940</v>
      </c>
      <c r="G2163" s="18" t="s">
        <v>7085</v>
      </c>
      <c r="H2163" s="18" t="s">
        <v>171</v>
      </c>
      <c r="I2163" s="18"/>
      <c r="J2163" s="16">
        <v>2025</v>
      </c>
      <c r="K2163" s="18" t="s">
        <v>7086</v>
      </c>
      <c r="L2163" s="16">
        <v>9785002232321</v>
      </c>
      <c r="M2163" s="18" t="s">
        <v>7087</v>
      </c>
      <c r="N2163" s="16">
        <v>392</v>
      </c>
      <c r="O2163" s="19">
        <v>0.43</v>
      </c>
      <c r="P2163" s="16">
        <v>150</v>
      </c>
      <c r="Q2163" s="16">
        <v>220</v>
      </c>
      <c r="R2163" s="16">
        <v>8</v>
      </c>
      <c r="S2163" s="18" t="s">
        <v>43</v>
      </c>
      <c r="T2163" s="18"/>
      <c r="U2163" s="17">
        <v>2000</v>
      </c>
      <c r="V2163" s="18" t="s">
        <v>77</v>
      </c>
      <c r="W2163" s="18" t="s">
        <v>45</v>
      </c>
      <c r="X2163" s="16">
        <v>22</v>
      </c>
      <c r="Y2163" s="43" t="str">
        <f>HYPERLINK("","")</f>
      </c>
      <c r="Z2163" s="18"/>
      <c r="AS2163" s="1">
        <f>IF($A2163&lt;&gt;0,1,0)</f>
        <v>0</v>
      </c>
      <c r="AT2163" s="1">
        <f>$A2163*$B2163</f>
        <v>0</v>
      </c>
      <c r="AU2163" s="1">
        <f>$A2163*$O2163</f>
        <v>0</v>
      </c>
      <c r="AV2163" s="1">
        <f>IF($R2163=0,0,INT($A2163/$R2163))</f>
        <v>0</v>
      </c>
      <c r="AW2163" s="1">
        <f>$A2163-$AV2163*$R2163</f>
        <v>0</v>
      </c>
    </row>
    <row r="2164" ht="24.95" customHeight="1" outlineLevel="3" s="1" customFormat="1">
      <c r="A2164" s="15"/>
      <c r="B2164" s="16">
        <v>690</v>
      </c>
      <c r="C2164" s="17">
        <v>1035</v>
      </c>
      <c r="D2164" s="16">
        <v>30108</v>
      </c>
      <c r="E2164" s="18"/>
      <c r="F2164" s="18" t="s">
        <v>6693</v>
      </c>
      <c r="G2164" s="18" t="s">
        <v>7088</v>
      </c>
      <c r="H2164" s="18" t="s">
        <v>171</v>
      </c>
      <c r="I2164" s="18"/>
      <c r="J2164" s="16">
        <v>2024</v>
      </c>
      <c r="K2164" s="18" t="s">
        <v>7089</v>
      </c>
      <c r="L2164" s="16">
        <v>9785002232291</v>
      </c>
      <c r="M2164" s="18" t="s">
        <v>7090</v>
      </c>
      <c r="N2164" s="16">
        <v>296</v>
      </c>
      <c r="O2164" s="19">
        <v>0.37</v>
      </c>
      <c r="P2164" s="16">
        <v>160</v>
      </c>
      <c r="Q2164" s="16">
        <v>210</v>
      </c>
      <c r="R2164" s="16">
        <v>16</v>
      </c>
      <c r="S2164" s="18" t="s">
        <v>43</v>
      </c>
      <c r="T2164" s="18"/>
      <c r="U2164" s="17">
        <v>2500</v>
      </c>
      <c r="V2164" s="18" t="s">
        <v>44</v>
      </c>
      <c r="W2164" s="18" t="s">
        <v>45</v>
      </c>
      <c r="X2164" s="16">
        <v>10</v>
      </c>
      <c r="Y2164" s="43" t="str">
        <f>HYPERLINK("https://api-enni.alpina.ru/FilePrivilegesApproval/520","https://api-enni.alpina.ru/FilePrivilegesApproval/520")</f>
        <v>https://api-enni.alpina.ru/FilePrivilegesApproval/520</v>
      </c>
      <c r="Z2164" s="18"/>
      <c r="AS2164" s="1">
        <f>IF($A2164&lt;&gt;0,1,0)</f>
        <v>0</v>
      </c>
      <c r="AT2164" s="1">
        <f>$A2164*$B2164</f>
        <v>0</v>
      </c>
      <c r="AU2164" s="1">
        <f>$A2164*$O2164</f>
        <v>0</v>
      </c>
      <c r="AV2164" s="1">
        <f>IF($R2164=0,0,INT($A2164/$R2164))</f>
        <v>0</v>
      </c>
      <c r="AW2164" s="1">
        <f>$A2164-$AV2164*$R2164</f>
        <v>0</v>
      </c>
    </row>
    <row r="2165" ht="24.95" customHeight="1" outlineLevel="3" s="1" customFormat="1">
      <c r="A2165" s="15"/>
      <c r="B2165" s="16">
        <v>690</v>
      </c>
      <c r="C2165" s="17">
        <v>1035</v>
      </c>
      <c r="D2165" s="16">
        <v>30458</v>
      </c>
      <c r="E2165" s="18"/>
      <c r="F2165" s="18" t="s">
        <v>7091</v>
      </c>
      <c r="G2165" s="18" t="s">
        <v>7092</v>
      </c>
      <c r="H2165" s="18" t="s">
        <v>171</v>
      </c>
      <c r="I2165" s="18"/>
      <c r="J2165" s="16">
        <v>2024</v>
      </c>
      <c r="K2165" s="18" t="s">
        <v>7093</v>
      </c>
      <c r="L2165" s="16">
        <v>9785002232574</v>
      </c>
      <c r="M2165" s="18" t="s">
        <v>7094</v>
      </c>
      <c r="N2165" s="16">
        <v>400</v>
      </c>
      <c r="O2165" s="19">
        <v>0.44</v>
      </c>
      <c r="P2165" s="16">
        <v>150</v>
      </c>
      <c r="Q2165" s="16">
        <v>220</v>
      </c>
      <c r="R2165" s="16">
        <v>10</v>
      </c>
      <c r="S2165" s="18" t="s">
        <v>43</v>
      </c>
      <c r="T2165" s="18"/>
      <c r="U2165" s="17">
        <v>2000</v>
      </c>
      <c r="V2165" s="18" t="s">
        <v>77</v>
      </c>
      <c r="W2165" s="18" t="s">
        <v>69</v>
      </c>
      <c r="X2165" s="16">
        <v>10</v>
      </c>
      <c r="Y2165" s="43" t="str">
        <f>HYPERLINK("https://api-enni.alpina.ru/FilePrivilegesApproval/566","https://api-enni.alpina.ru/FilePrivilegesApproval/566")</f>
        <v>https://api-enni.alpina.ru/FilePrivilegesApproval/566</v>
      </c>
      <c r="Z2165" s="18"/>
      <c r="AS2165" s="1">
        <f>IF($A2165&lt;&gt;0,1,0)</f>
        <v>0</v>
      </c>
      <c r="AT2165" s="1">
        <f>$A2165*$B2165</f>
        <v>0</v>
      </c>
      <c r="AU2165" s="1">
        <f>$A2165*$O2165</f>
        <v>0</v>
      </c>
      <c r="AV2165" s="1">
        <f>IF($R2165=0,0,INT($A2165/$R2165))</f>
        <v>0</v>
      </c>
      <c r="AW2165" s="1">
        <f>$A2165-$AV2165*$R2165</f>
        <v>0</v>
      </c>
    </row>
    <row r="2166" ht="21.95" customHeight="1" outlineLevel="3" s="1" customFormat="1">
      <c r="A2166" s="15"/>
      <c r="B2166" s="16">
        <v>690</v>
      </c>
      <c r="C2166" s="17">
        <v>1035</v>
      </c>
      <c r="D2166" s="16">
        <v>30289</v>
      </c>
      <c r="E2166" s="18"/>
      <c r="F2166" s="18" t="s">
        <v>7095</v>
      </c>
      <c r="G2166" s="18" t="s">
        <v>7096</v>
      </c>
      <c r="H2166" s="18" t="s">
        <v>171</v>
      </c>
      <c r="I2166" s="18"/>
      <c r="J2166" s="16">
        <v>2024</v>
      </c>
      <c r="K2166" s="18" t="s">
        <v>7097</v>
      </c>
      <c r="L2166" s="16">
        <v>9785002232444</v>
      </c>
      <c r="M2166" s="18" t="s">
        <v>7098</v>
      </c>
      <c r="N2166" s="16">
        <v>408</v>
      </c>
      <c r="O2166" s="19">
        <v>0.35</v>
      </c>
      <c r="P2166" s="16">
        <v>140</v>
      </c>
      <c r="Q2166" s="16">
        <v>210</v>
      </c>
      <c r="R2166" s="16">
        <v>8</v>
      </c>
      <c r="S2166" s="18" t="s">
        <v>43</v>
      </c>
      <c r="T2166" s="18"/>
      <c r="U2166" s="17">
        <v>2500</v>
      </c>
      <c r="V2166" s="18" t="s">
        <v>44</v>
      </c>
      <c r="W2166" s="18" t="s">
        <v>45</v>
      </c>
      <c r="X2166" s="16">
        <v>22</v>
      </c>
      <c r="Y2166" s="43" t="str">
        <f>HYPERLINK("","")</f>
      </c>
      <c r="Z2166" s="18"/>
      <c r="AS2166" s="1">
        <f>IF($A2166&lt;&gt;0,1,0)</f>
        <v>0</v>
      </c>
      <c r="AT2166" s="1">
        <f>$A2166*$B2166</f>
        <v>0</v>
      </c>
      <c r="AU2166" s="1">
        <f>$A2166*$O2166</f>
        <v>0</v>
      </c>
      <c r="AV2166" s="1">
        <f>IF($R2166=0,0,INT($A2166/$R2166))</f>
        <v>0</v>
      </c>
      <c r="AW2166" s="1">
        <f>$A2166-$AV2166*$R2166</f>
        <v>0</v>
      </c>
    </row>
    <row r="2167" ht="21.95" customHeight="1" outlineLevel="3" s="1" customFormat="1">
      <c r="A2167" s="15"/>
      <c r="B2167" s="16">
        <v>640</v>
      </c>
      <c r="C2167" s="16">
        <v>960</v>
      </c>
      <c r="D2167" s="16">
        <v>34528</v>
      </c>
      <c r="E2167" s="18"/>
      <c r="F2167" s="18" t="s">
        <v>7099</v>
      </c>
      <c r="G2167" s="18" t="s">
        <v>7100</v>
      </c>
      <c r="H2167" s="18" t="s">
        <v>171</v>
      </c>
      <c r="I2167" s="18"/>
      <c r="J2167" s="16">
        <v>2025</v>
      </c>
      <c r="K2167" s="18" t="s">
        <v>7101</v>
      </c>
      <c r="L2167" s="16">
        <v>9785002236763</v>
      </c>
      <c r="M2167" s="18" t="s">
        <v>7102</v>
      </c>
      <c r="N2167" s="16">
        <v>236</v>
      </c>
      <c r="O2167" s="19">
        <v>0.26</v>
      </c>
      <c r="P2167" s="16">
        <v>130</v>
      </c>
      <c r="Q2167" s="16">
        <v>210</v>
      </c>
      <c r="R2167" s="16">
        <v>16</v>
      </c>
      <c r="S2167" s="18" t="s">
        <v>90</v>
      </c>
      <c r="T2167" s="18"/>
      <c r="U2167" s="17">
        <v>2000</v>
      </c>
      <c r="V2167" s="18" t="s">
        <v>77</v>
      </c>
      <c r="W2167" s="18" t="s">
        <v>45</v>
      </c>
      <c r="X2167" s="16">
        <v>22</v>
      </c>
      <c r="Y2167" s="43" t="str">
        <f>HYPERLINK("","")</f>
      </c>
      <c r="Z2167" s="18"/>
      <c r="AS2167" s="1">
        <f>IF($A2167&lt;&gt;0,1,0)</f>
        <v>0</v>
      </c>
      <c r="AT2167" s="1">
        <f>$A2167*$B2167</f>
        <v>0</v>
      </c>
      <c r="AU2167" s="1">
        <f>$A2167*$O2167</f>
        <v>0</v>
      </c>
      <c r="AV2167" s="1">
        <f>IF($R2167=0,0,INT($A2167/$R2167))</f>
        <v>0</v>
      </c>
      <c r="AW2167" s="1">
        <f>$A2167-$AV2167*$R2167</f>
        <v>0</v>
      </c>
    </row>
    <row r="2168" ht="24.95" customHeight="1" outlineLevel="3" s="1" customFormat="1">
      <c r="A2168" s="15"/>
      <c r="B2168" s="16">
        <v>540</v>
      </c>
      <c r="C2168" s="16">
        <v>837</v>
      </c>
      <c r="D2168" s="16">
        <v>26471</v>
      </c>
      <c r="E2168" s="18"/>
      <c r="F2168" s="18" t="s">
        <v>7103</v>
      </c>
      <c r="G2168" s="18" t="s">
        <v>7104</v>
      </c>
      <c r="H2168" s="18" t="s">
        <v>171</v>
      </c>
      <c r="I2168" s="18"/>
      <c r="J2168" s="16">
        <v>2023</v>
      </c>
      <c r="K2168" s="18" t="s">
        <v>7105</v>
      </c>
      <c r="L2168" s="16">
        <v>9785001397755</v>
      </c>
      <c r="M2168" s="18" t="s">
        <v>7106</v>
      </c>
      <c r="N2168" s="16">
        <v>360</v>
      </c>
      <c r="O2168" s="19">
        <v>0.5</v>
      </c>
      <c r="P2168" s="16">
        <v>150</v>
      </c>
      <c r="Q2168" s="16">
        <v>220</v>
      </c>
      <c r="R2168" s="16">
        <v>12</v>
      </c>
      <c r="S2168" s="18" t="s">
        <v>43</v>
      </c>
      <c r="T2168" s="18"/>
      <c r="U2168" s="17">
        <v>2000</v>
      </c>
      <c r="V2168" s="18" t="s">
        <v>77</v>
      </c>
      <c r="W2168" s="18" t="s">
        <v>45</v>
      </c>
      <c r="X2168" s="16">
        <v>10</v>
      </c>
      <c r="Y2168" s="43" t="str">
        <f>HYPERLINK("https://api-enni.alpina.ru/FilePrivilegesApproval/171","https://api-enni.alpina.ru/FilePrivilegesApproval/171")</f>
        <v>https://api-enni.alpina.ru/FilePrivilegesApproval/171</v>
      </c>
      <c r="Z2168" s="18"/>
      <c r="AS2168" s="1">
        <f>IF($A2168&lt;&gt;0,1,0)</f>
        <v>0</v>
      </c>
      <c r="AT2168" s="1">
        <f>$A2168*$B2168</f>
        <v>0</v>
      </c>
      <c r="AU2168" s="1">
        <f>$A2168*$O2168</f>
        <v>0</v>
      </c>
      <c r="AV2168" s="1">
        <f>IF($R2168=0,0,INT($A2168/$R2168))</f>
        <v>0</v>
      </c>
      <c r="AW2168" s="1">
        <f>$A2168-$AV2168*$R2168</f>
        <v>0</v>
      </c>
    </row>
    <row r="2169" ht="21.95" customHeight="1" outlineLevel="3" s="1" customFormat="1">
      <c r="A2169" s="15"/>
      <c r="B2169" s="16">
        <v>549</v>
      </c>
      <c r="C2169" s="16">
        <v>851</v>
      </c>
      <c r="D2169" s="16">
        <v>34627</v>
      </c>
      <c r="E2169" s="18"/>
      <c r="F2169" s="18" t="s">
        <v>7107</v>
      </c>
      <c r="G2169" s="18" t="s">
        <v>7108</v>
      </c>
      <c r="H2169" s="18" t="s">
        <v>171</v>
      </c>
      <c r="I2169" s="18"/>
      <c r="J2169" s="16">
        <v>2026</v>
      </c>
      <c r="K2169" s="18" t="s">
        <v>7109</v>
      </c>
      <c r="L2169" s="16">
        <v>9785002236824</v>
      </c>
      <c r="M2169" s="18" t="s">
        <v>7110</v>
      </c>
      <c r="N2169" s="16">
        <v>304</v>
      </c>
      <c r="O2169" s="19">
        <v>0.33</v>
      </c>
      <c r="P2169" s="16">
        <v>140</v>
      </c>
      <c r="Q2169" s="16">
        <v>210</v>
      </c>
      <c r="R2169" s="16">
        <v>10</v>
      </c>
      <c r="S2169" s="18" t="s">
        <v>90</v>
      </c>
      <c r="T2169" s="18"/>
      <c r="U2169" s="17">
        <v>2000</v>
      </c>
      <c r="V2169" s="18" t="s">
        <v>77</v>
      </c>
      <c r="W2169" s="18" t="s">
        <v>45</v>
      </c>
      <c r="X2169" s="16">
        <v>22</v>
      </c>
      <c r="Y2169" s="43" t="str">
        <f>HYPERLINK("","")</f>
      </c>
      <c r="Z2169" s="18"/>
      <c r="AS2169" s="1">
        <f>IF($A2169&lt;&gt;0,1,0)</f>
        <v>0</v>
      </c>
      <c r="AT2169" s="1">
        <f>$A2169*$B2169</f>
        <v>0</v>
      </c>
      <c r="AU2169" s="1">
        <f>$A2169*$O2169</f>
        <v>0</v>
      </c>
      <c r="AV2169" s="1">
        <f>IF($R2169=0,0,INT($A2169/$R2169))</f>
        <v>0</v>
      </c>
      <c r="AW2169" s="1">
        <f>$A2169-$AV2169*$R2169</f>
        <v>0</v>
      </c>
    </row>
    <row r="2170" ht="21.95" customHeight="1" outlineLevel="3" s="1" customFormat="1">
      <c r="A2170" s="15"/>
      <c r="B2170" s="16">
        <v>660</v>
      </c>
      <c r="C2170" s="16">
        <v>990</v>
      </c>
      <c r="D2170" s="16">
        <v>29552</v>
      </c>
      <c r="E2170" s="18"/>
      <c r="F2170" s="18" t="s">
        <v>7111</v>
      </c>
      <c r="G2170" s="18" t="s">
        <v>7112</v>
      </c>
      <c r="H2170" s="18" t="s">
        <v>171</v>
      </c>
      <c r="I2170" s="18"/>
      <c r="J2170" s="16">
        <v>2026</v>
      </c>
      <c r="K2170" s="18" t="s">
        <v>7113</v>
      </c>
      <c r="L2170" s="16">
        <v>9785002231522</v>
      </c>
      <c r="M2170" s="18" t="s">
        <v>7114</v>
      </c>
      <c r="N2170" s="16">
        <v>288</v>
      </c>
      <c r="O2170" s="19">
        <v>0.29</v>
      </c>
      <c r="P2170" s="16">
        <v>130</v>
      </c>
      <c r="Q2170" s="16">
        <v>210</v>
      </c>
      <c r="R2170" s="16">
        <v>10</v>
      </c>
      <c r="S2170" s="18" t="s">
        <v>90</v>
      </c>
      <c r="T2170" s="18"/>
      <c r="U2170" s="17">
        <v>1000</v>
      </c>
      <c r="V2170" s="18" t="s">
        <v>77</v>
      </c>
      <c r="W2170" s="18" t="s">
        <v>45</v>
      </c>
      <c r="X2170" s="16">
        <v>22</v>
      </c>
      <c r="Y2170" s="43" t="str">
        <f>HYPERLINK("","")</f>
      </c>
      <c r="Z2170" s="18"/>
      <c r="AS2170" s="1">
        <f>IF($A2170&lt;&gt;0,1,0)</f>
        <v>0</v>
      </c>
      <c r="AT2170" s="1">
        <f>$A2170*$B2170</f>
        <v>0</v>
      </c>
      <c r="AU2170" s="1">
        <f>$A2170*$O2170</f>
        <v>0</v>
      </c>
      <c r="AV2170" s="1">
        <f>IF($R2170=0,0,INT($A2170/$R2170))</f>
        <v>0</v>
      </c>
      <c r="AW2170" s="1">
        <f>$A2170-$AV2170*$R2170</f>
        <v>0</v>
      </c>
    </row>
    <row r="2171" ht="21.95" customHeight="1" outlineLevel="3" s="1" customFormat="1">
      <c r="A2171" s="15"/>
      <c r="B2171" s="16">
        <v>690</v>
      </c>
      <c r="C2171" s="17">
        <v>1035</v>
      </c>
      <c r="D2171" s="16">
        <v>31655</v>
      </c>
      <c r="E2171" s="18"/>
      <c r="F2171" s="18" t="s">
        <v>6778</v>
      </c>
      <c r="G2171" s="18" t="s">
        <v>7115</v>
      </c>
      <c r="H2171" s="18" t="s">
        <v>171</v>
      </c>
      <c r="I2171" s="18"/>
      <c r="J2171" s="16">
        <v>2025</v>
      </c>
      <c r="K2171" s="18" t="s">
        <v>7116</v>
      </c>
      <c r="L2171" s="16">
        <v>9785002234042</v>
      </c>
      <c r="M2171" s="18" t="s">
        <v>7117</v>
      </c>
      <c r="N2171" s="16">
        <v>318</v>
      </c>
      <c r="O2171" s="19">
        <v>0.28</v>
      </c>
      <c r="P2171" s="16">
        <v>140</v>
      </c>
      <c r="Q2171" s="16">
        <v>210</v>
      </c>
      <c r="R2171" s="16">
        <v>6</v>
      </c>
      <c r="S2171" s="18" t="s">
        <v>43</v>
      </c>
      <c r="T2171" s="18"/>
      <c r="U2171" s="17">
        <v>1000</v>
      </c>
      <c r="V2171" s="18" t="s">
        <v>44</v>
      </c>
      <c r="W2171" s="18" t="s">
        <v>45</v>
      </c>
      <c r="X2171" s="16">
        <v>22</v>
      </c>
      <c r="Y2171" s="43" t="str">
        <f>HYPERLINK("","")</f>
      </c>
      <c r="Z2171" s="18"/>
      <c r="AS2171" s="1">
        <f>IF($A2171&lt;&gt;0,1,0)</f>
        <v>0</v>
      </c>
      <c r="AT2171" s="1">
        <f>$A2171*$B2171</f>
        <v>0</v>
      </c>
      <c r="AU2171" s="1">
        <f>$A2171*$O2171</f>
        <v>0</v>
      </c>
      <c r="AV2171" s="1">
        <f>IF($R2171=0,0,INT($A2171/$R2171))</f>
        <v>0</v>
      </c>
      <c r="AW2171" s="1">
        <f>$A2171-$AV2171*$R2171</f>
        <v>0</v>
      </c>
    </row>
    <row r="2172" ht="24.95" customHeight="1" outlineLevel="3" s="1" customFormat="1">
      <c r="A2172" s="15"/>
      <c r="B2172" s="16">
        <v>490</v>
      </c>
      <c r="C2172" s="16">
        <v>760</v>
      </c>
      <c r="D2172" s="16">
        <v>28168</v>
      </c>
      <c r="E2172" s="18"/>
      <c r="F2172" s="18" t="s">
        <v>6703</v>
      </c>
      <c r="G2172" s="18" t="s">
        <v>7118</v>
      </c>
      <c r="H2172" s="18" t="s">
        <v>171</v>
      </c>
      <c r="I2172" s="18"/>
      <c r="J2172" s="16">
        <v>2024</v>
      </c>
      <c r="K2172" s="18" t="s">
        <v>7119</v>
      </c>
      <c r="L2172" s="16">
        <v>9785002230860</v>
      </c>
      <c r="M2172" s="18" t="s">
        <v>7120</v>
      </c>
      <c r="N2172" s="16">
        <v>342</v>
      </c>
      <c r="O2172" s="19">
        <v>0.35</v>
      </c>
      <c r="P2172" s="16">
        <v>130</v>
      </c>
      <c r="Q2172" s="16">
        <v>210</v>
      </c>
      <c r="R2172" s="16">
        <v>10</v>
      </c>
      <c r="S2172" s="18" t="s">
        <v>90</v>
      </c>
      <c r="T2172" s="18"/>
      <c r="U2172" s="17">
        <v>2000</v>
      </c>
      <c r="V2172" s="18" t="s">
        <v>77</v>
      </c>
      <c r="W2172" s="18" t="s">
        <v>45</v>
      </c>
      <c r="X2172" s="16">
        <v>10</v>
      </c>
      <c r="Y2172" s="43" t="str">
        <f>HYPERLINK("https://api-enni.alpina.ru/FilePrivilegesApproval/349","https://api-enni.alpina.ru/FilePrivilegesApproval/349")</f>
        <v>https://api-enni.alpina.ru/FilePrivilegesApproval/349</v>
      </c>
      <c r="Z2172" s="18"/>
      <c r="AS2172" s="1">
        <f>IF($A2172&lt;&gt;0,1,0)</f>
        <v>0</v>
      </c>
      <c r="AT2172" s="1">
        <f>$A2172*$B2172</f>
        <v>0</v>
      </c>
      <c r="AU2172" s="1">
        <f>$A2172*$O2172</f>
        <v>0</v>
      </c>
      <c r="AV2172" s="1">
        <f>IF($R2172=0,0,INT($A2172/$R2172))</f>
        <v>0</v>
      </c>
      <c r="AW2172" s="1">
        <f>$A2172-$AV2172*$R2172</f>
        <v>0</v>
      </c>
    </row>
    <row r="2173" ht="21.95" customHeight="1" outlineLevel="3" s="1" customFormat="1">
      <c r="A2173" s="15"/>
      <c r="B2173" s="16">
        <v>790</v>
      </c>
      <c r="C2173" s="17">
        <v>1146</v>
      </c>
      <c r="D2173" s="16">
        <v>36436</v>
      </c>
      <c r="E2173" s="18"/>
      <c r="F2173" s="18" t="s">
        <v>302</v>
      </c>
      <c r="G2173" s="18" t="s">
        <v>303</v>
      </c>
      <c r="H2173" s="18" t="s">
        <v>171</v>
      </c>
      <c r="I2173" s="18"/>
      <c r="J2173" s="16">
        <v>2026</v>
      </c>
      <c r="K2173" s="18" t="s">
        <v>304</v>
      </c>
      <c r="L2173" s="16">
        <v>9785002238668</v>
      </c>
      <c r="M2173" s="18" t="s">
        <v>305</v>
      </c>
      <c r="N2173" s="16">
        <v>352</v>
      </c>
      <c r="O2173" s="19">
        <v>0.36</v>
      </c>
      <c r="P2173" s="16">
        <v>130</v>
      </c>
      <c r="Q2173" s="16">
        <v>210</v>
      </c>
      <c r="R2173" s="16">
        <v>10</v>
      </c>
      <c r="S2173" s="18" t="s">
        <v>90</v>
      </c>
      <c r="T2173" s="18"/>
      <c r="U2173" s="17">
        <v>1500</v>
      </c>
      <c r="V2173" s="18" t="s">
        <v>77</v>
      </c>
      <c r="W2173" s="18" t="s">
        <v>45</v>
      </c>
      <c r="X2173" s="16">
        <v>22</v>
      </c>
      <c r="Y2173" s="43" t="str">
        <f>HYPERLINK("","")</f>
      </c>
      <c r="Z2173" s="18" t="s">
        <v>178</v>
      </c>
      <c r="AS2173" s="1">
        <f>IF($A2173&lt;&gt;0,1,0)</f>
        <v>0</v>
      </c>
      <c r="AT2173" s="1">
        <f>$A2173*$B2173</f>
        <v>0</v>
      </c>
      <c r="AU2173" s="1">
        <f>$A2173*$O2173</f>
        <v>0</v>
      </c>
      <c r="AV2173" s="1">
        <f>IF($R2173=0,0,INT($A2173/$R2173))</f>
        <v>0</v>
      </c>
      <c r="AW2173" s="1">
        <f>$A2173-$AV2173*$R2173</f>
        <v>0</v>
      </c>
    </row>
    <row r="2174" ht="24.95" customHeight="1" outlineLevel="3" s="1" customFormat="1">
      <c r="A2174" s="15"/>
      <c r="B2174" s="16">
        <v>990</v>
      </c>
      <c r="C2174" s="17">
        <v>1386</v>
      </c>
      <c r="D2174" s="16">
        <v>34829</v>
      </c>
      <c r="E2174" s="18"/>
      <c r="F2174" s="18" t="s">
        <v>7121</v>
      </c>
      <c r="G2174" s="18" t="s">
        <v>7122</v>
      </c>
      <c r="H2174" s="18" t="s">
        <v>171</v>
      </c>
      <c r="I2174" s="18"/>
      <c r="J2174" s="16">
        <v>2026</v>
      </c>
      <c r="K2174" s="18" t="s">
        <v>7123</v>
      </c>
      <c r="L2174" s="16">
        <v>9785002237029</v>
      </c>
      <c r="M2174" s="18" t="s">
        <v>7124</v>
      </c>
      <c r="N2174" s="16">
        <v>750</v>
      </c>
      <c r="O2174" s="19">
        <v>0.76</v>
      </c>
      <c r="P2174" s="16">
        <v>150</v>
      </c>
      <c r="Q2174" s="16">
        <v>220</v>
      </c>
      <c r="R2174" s="16">
        <v>6</v>
      </c>
      <c r="S2174" s="18" t="s">
        <v>43</v>
      </c>
      <c r="T2174" s="18"/>
      <c r="U2174" s="17">
        <v>4000</v>
      </c>
      <c r="V2174" s="18" t="s">
        <v>77</v>
      </c>
      <c r="W2174" s="18" t="s">
        <v>69</v>
      </c>
      <c r="X2174" s="16">
        <v>10</v>
      </c>
      <c r="Y2174" s="43" t="str">
        <f>HYPERLINK("https://api-enni.alpina.ru/FilePrivilegesApproval/1155","https://api-enni.alpina.ru/FilePrivilegesApproval/1155")</f>
        <v>https://api-enni.alpina.ru/FilePrivilegesApproval/1155</v>
      </c>
      <c r="Z2174" s="18" t="s">
        <v>1110</v>
      </c>
      <c r="AS2174" s="1">
        <f>IF($A2174&lt;&gt;0,1,0)</f>
        <v>0</v>
      </c>
      <c r="AT2174" s="1">
        <f>$A2174*$B2174</f>
        <v>0</v>
      </c>
      <c r="AU2174" s="1">
        <f>$A2174*$O2174</f>
        <v>0</v>
      </c>
      <c r="AV2174" s="1">
        <f>IF($R2174=0,0,INT($A2174/$R2174))</f>
        <v>0</v>
      </c>
      <c r="AW2174" s="1">
        <f>$A2174-$AV2174*$R2174</f>
        <v>0</v>
      </c>
    </row>
    <row r="2175" ht="21.95" customHeight="1" outlineLevel="3" s="1" customFormat="1">
      <c r="A2175" s="15"/>
      <c r="B2175" s="16">
        <v>690</v>
      </c>
      <c r="C2175" s="17">
        <v>1035</v>
      </c>
      <c r="D2175" s="16">
        <v>31399</v>
      </c>
      <c r="E2175" s="18"/>
      <c r="F2175" s="18" t="s">
        <v>7125</v>
      </c>
      <c r="G2175" s="18" t="s">
        <v>7126</v>
      </c>
      <c r="H2175" s="18" t="s">
        <v>171</v>
      </c>
      <c r="I2175" s="18"/>
      <c r="J2175" s="16">
        <v>2025</v>
      </c>
      <c r="K2175" s="18" t="s">
        <v>7127</v>
      </c>
      <c r="L2175" s="16">
        <v>9785002233830</v>
      </c>
      <c r="M2175" s="18" t="s">
        <v>7128</v>
      </c>
      <c r="N2175" s="16">
        <v>438</v>
      </c>
      <c r="O2175" s="19">
        <v>0.46</v>
      </c>
      <c r="P2175" s="16">
        <v>150</v>
      </c>
      <c r="Q2175" s="16">
        <v>220</v>
      </c>
      <c r="R2175" s="16">
        <v>8</v>
      </c>
      <c r="S2175" s="18" t="s">
        <v>43</v>
      </c>
      <c r="T2175" s="18"/>
      <c r="U2175" s="17">
        <v>1700</v>
      </c>
      <c r="V2175" s="18" t="s">
        <v>77</v>
      </c>
      <c r="W2175" s="18" t="s">
        <v>45</v>
      </c>
      <c r="X2175" s="16">
        <v>22</v>
      </c>
      <c r="Y2175" s="43" t="str">
        <f>HYPERLINK("","")</f>
      </c>
      <c r="Z2175" s="18"/>
      <c r="AS2175" s="1">
        <f>IF($A2175&lt;&gt;0,1,0)</f>
        <v>0</v>
      </c>
      <c r="AT2175" s="1">
        <f>$A2175*$B2175</f>
        <v>0</v>
      </c>
      <c r="AU2175" s="1">
        <f>$A2175*$O2175</f>
        <v>0</v>
      </c>
      <c r="AV2175" s="1">
        <f>IF($R2175=0,0,INT($A2175/$R2175))</f>
        <v>0</v>
      </c>
      <c r="AW2175" s="1">
        <f>$A2175-$AV2175*$R2175</f>
        <v>0</v>
      </c>
    </row>
    <row r="2176" ht="24.95" customHeight="1" outlineLevel="3" s="1" customFormat="1">
      <c r="A2176" s="15"/>
      <c r="B2176" s="16">
        <v>740</v>
      </c>
      <c r="C2176" s="17">
        <v>1073</v>
      </c>
      <c r="D2176" s="16">
        <v>31661</v>
      </c>
      <c r="E2176" s="18"/>
      <c r="F2176" s="18" t="s">
        <v>7129</v>
      </c>
      <c r="G2176" s="18" t="s">
        <v>7130</v>
      </c>
      <c r="H2176" s="18" t="s">
        <v>95</v>
      </c>
      <c r="I2176" s="18"/>
      <c r="J2176" s="16">
        <v>2024</v>
      </c>
      <c r="K2176" s="18" t="s">
        <v>7131</v>
      </c>
      <c r="L2176" s="16">
        <v>9785206003796</v>
      </c>
      <c r="M2176" s="18" t="s">
        <v>7132</v>
      </c>
      <c r="N2176" s="16">
        <v>520</v>
      </c>
      <c r="O2176" s="19">
        <v>0.72</v>
      </c>
      <c r="P2176" s="16">
        <v>150</v>
      </c>
      <c r="Q2176" s="16">
        <v>220</v>
      </c>
      <c r="R2176" s="16">
        <v>4</v>
      </c>
      <c r="S2176" s="18" t="s">
        <v>43</v>
      </c>
      <c r="T2176" s="18"/>
      <c r="U2176" s="17">
        <v>2005</v>
      </c>
      <c r="V2176" s="18" t="s">
        <v>77</v>
      </c>
      <c r="W2176" s="18" t="s">
        <v>69</v>
      </c>
      <c r="X2176" s="16">
        <v>10</v>
      </c>
      <c r="Y2176" s="43" t="str">
        <f>HYPERLINK("https://api-enni.alpina.ru/FilePrivilegesApproval/708","https://api-enni.alpina.ru/FilePrivilegesApproval/708")</f>
        <v>https://api-enni.alpina.ru/FilePrivilegesApproval/708</v>
      </c>
      <c r="Z2176" s="18"/>
      <c r="AS2176" s="1">
        <f>IF($A2176&lt;&gt;0,1,0)</f>
        <v>0</v>
      </c>
      <c r="AT2176" s="1">
        <f>$A2176*$B2176</f>
        <v>0</v>
      </c>
      <c r="AU2176" s="1">
        <f>$A2176*$O2176</f>
        <v>0</v>
      </c>
      <c r="AV2176" s="1">
        <f>IF($R2176=0,0,INT($A2176/$R2176))</f>
        <v>0</v>
      </c>
      <c r="AW2176" s="1">
        <f>$A2176-$AV2176*$R2176</f>
        <v>0</v>
      </c>
    </row>
    <row r="2177" ht="24.95" customHeight="1" outlineLevel="3" s="1" customFormat="1">
      <c r="A2177" s="15"/>
      <c r="B2177" s="17">
        <v>1030</v>
      </c>
      <c r="C2177" s="17">
        <v>1390</v>
      </c>
      <c r="D2177" s="16">
        <v>22770</v>
      </c>
      <c r="E2177" s="18"/>
      <c r="F2177" s="18" t="s">
        <v>412</v>
      </c>
      <c r="G2177" s="18" t="s">
        <v>7133</v>
      </c>
      <c r="H2177" s="18" t="s">
        <v>171</v>
      </c>
      <c r="I2177" s="18"/>
      <c r="J2177" s="16">
        <v>2026</v>
      </c>
      <c r="K2177" s="18" t="s">
        <v>7134</v>
      </c>
      <c r="L2177" s="16">
        <v>9785001395058</v>
      </c>
      <c r="M2177" s="18" t="s">
        <v>7135</v>
      </c>
      <c r="N2177" s="16">
        <v>336</v>
      </c>
      <c r="O2177" s="19">
        <v>0.56</v>
      </c>
      <c r="P2177" s="16">
        <v>140</v>
      </c>
      <c r="Q2177" s="16">
        <v>210</v>
      </c>
      <c r="R2177" s="16">
        <v>10</v>
      </c>
      <c r="S2177" s="18" t="s">
        <v>43</v>
      </c>
      <c r="T2177" s="18"/>
      <c r="U2177" s="17">
        <v>1000</v>
      </c>
      <c r="V2177" s="18" t="s">
        <v>77</v>
      </c>
      <c r="W2177" s="18" t="s">
        <v>45</v>
      </c>
      <c r="X2177" s="16">
        <v>10</v>
      </c>
      <c r="Y2177" s="43" t="str">
        <f>HYPERLINK("https://api-enni.alpina.ru/FilePrivilegesApproval/207","https://api-enni.alpina.ru/FilePrivilegesApproval/207")</f>
        <v>https://api-enni.alpina.ru/FilePrivilegesApproval/207</v>
      </c>
      <c r="Z2177" s="18"/>
      <c r="AS2177" s="1">
        <f>IF($A2177&lt;&gt;0,1,0)</f>
        <v>0</v>
      </c>
      <c r="AT2177" s="1">
        <f>$A2177*$B2177</f>
        <v>0</v>
      </c>
      <c r="AU2177" s="1">
        <f>$A2177*$O2177</f>
        <v>0</v>
      </c>
      <c r="AV2177" s="1">
        <f>IF($R2177=0,0,INT($A2177/$R2177))</f>
        <v>0</v>
      </c>
      <c r="AW2177" s="1">
        <f>$A2177-$AV2177*$R2177</f>
        <v>0</v>
      </c>
    </row>
    <row r="2178" ht="24.95" customHeight="1" outlineLevel="3" s="1" customFormat="1">
      <c r="A2178" s="15"/>
      <c r="B2178" s="16">
        <v>540</v>
      </c>
      <c r="C2178" s="16">
        <v>837</v>
      </c>
      <c r="D2178" s="16">
        <v>29068</v>
      </c>
      <c r="E2178" s="18"/>
      <c r="F2178" s="18" t="s">
        <v>412</v>
      </c>
      <c r="G2178" s="18" t="s">
        <v>7136</v>
      </c>
      <c r="H2178" s="18" t="s">
        <v>171</v>
      </c>
      <c r="I2178" s="18"/>
      <c r="J2178" s="16">
        <v>2024</v>
      </c>
      <c r="K2178" s="18" t="s">
        <v>7137</v>
      </c>
      <c r="L2178" s="16">
        <v>9785002230969</v>
      </c>
      <c r="M2178" s="18" t="s">
        <v>7138</v>
      </c>
      <c r="N2178" s="16">
        <v>416</v>
      </c>
      <c r="O2178" s="19">
        <v>0.24</v>
      </c>
      <c r="P2178" s="16">
        <v>120</v>
      </c>
      <c r="Q2178" s="16">
        <v>170</v>
      </c>
      <c r="R2178" s="16">
        <v>6</v>
      </c>
      <c r="S2178" s="18" t="s">
        <v>190</v>
      </c>
      <c r="T2178" s="18" t="s">
        <v>6670</v>
      </c>
      <c r="U2178" s="17">
        <v>4000</v>
      </c>
      <c r="V2178" s="18" t="s">
        <v>44</v>
      </c>
      <c r="W2178" s="18" t="s">
        <v>45</v>
      </c>
      <c r="X2178" s="16">
        <v>10</v>
      </c>
      <c r="Y2178" s="43" t="str">
        <f>HYPERLINK("https://api-enni.alpina.ru/FilePrivilegesApproval/207","https://api-enni.alpina.ru/FilePrivilegesApproval/207")</f>
        <v>https://api-enni.alpina.ru/FilePrivilegesApproval/207</v>
      </c>
      <c r="Z2178" s="18"/>
      <c r="AS2178" s="1">
        <f>IF($A2178&lt;&gt;0,1,0)</f>
        <v>0</v>
      </c>
      <c r="AT2178" s="1">
        <f>$A2178*$B2178</f>
        <v>0</v>
      </c>
      <c r="AU2178" s="1">
        <f>$A2178*$O2178</f>
        <v>0</v>
      </c>
      <c r="AV2178" s="1">
        <f>IF($R2178=0,0,INT($A2178/$R2178))</f>
        <v>0</v>
      </c>
      <c r="AW2178" s="1">
        <f>$A2178-$AV2178*$R2178</f>
        <v>0</v>
      </c>
    </row>
    <row r="2179" ht="21.95" customHeight="1" outlineLevel="3" s="1" customFormat="1">
      <c r="A2179" s="15"/>
      <c r="B2179" s="16">
        <v>600</v>
      </c>
      <c r="C2179" s="16">
        <v>900</v>
      </c>
      <c r="D2179" s="16">
        <v>34820</v>
      </c>
      <c r="E2179" s="18"/>
      <c r="F2179" s="18" t="s">
        <v>6802</v>
      </c>
      <c r="G2179" s="18" t="s">
        <v>7139</v>
      </c>
      <c r="H2179" s="18" t="s">
        <v>171</v>
      </c>
      <c r="I2179" s="18"/>
      <c r="J2179" s="16">
        <v>2026</v>
      </c>
      <c r="K2179" s="18" t="s">
        <v>7140</v>
      </c>
      <c r="L2179" s="16">
        <v>9785002236978</v>
      </c>
      <c r="M2179" s="18" t="s">
        <v>7141</v>
      </c>
      <c r="N2179" s="16">
        <v>328</v>
      </c>
      <c r="O2179" s="19">
        <v>0.35</v>
      </c>
      <c r="P2179" s="16">
        <v>140</v>
      </c>
      <c r="Q2179" s="16">
        <v>210</v>
      </c>
      <c r="R2179" s="16">
        <v>10</v>
      </c>
      <c r="S2179" s="18" t="s">
        <v>90</v>
      </c>
      <c r="T2179" s="18"/>
      <c r="U2179" s="17">
        <v>2000</v>
      </c>
      <c r="V2179" s="18" t="s">
        <v>77</v>
      </c>
      <c r="W2179" s="18" t="s">
        <v>45</v>
      </c>
      <c r="X2179" s="16">
        <v>22</v>
      </c>
      <c r="Y2179" s="43" t="str">
        <f>HYPERLINK("","")</f>
      </c>
      <c r="Z2179" s="18"/>
      <c r="AS2179" s="1">
        <f>IF($A2179&lt;&gt;0,1,0)</f>
        <v>0</v>
      </c>
      <c r="AT2179" s="1">
        <f>$A2179*$B2179</f>
        <v>0</v>
      </c>
      <c r="AU2179" s="1">
        <f>$A2179*$O2179</f>
        <v>0</v>
      </c>
      <c r="AV2179" s="1">
        <f>IF($R2179=0,0,INT($A2179/$R2179))</f>
        <v>0</v>
      </c>
      <c r="AW2179" s="1">
        <f>$A2179-$AV2179*$R2179</f>
        <v>0</v>
      </c>
    </row>
    <row r="2180" ht="24.95" customHeight="1" outlineLevel="3" s="1" customFormat="1">
      <c r="A2180" s="15"/>
      <c r="B2180" s="16">
        <v>590</v>
      </c>
      <c r="C2180" s="16">
        <v>885</v>
      </c>
      <c r="D2180" s="16">
        <v>31239</v>
      </c>
      <c r="E2180" s="18"/>
      <c r="F2180" s="18" t="s">
        <v>7142</v>
      </c>
      <c r="G2180" s="18" t="s">
        <v>7143</v>
      </c>
      <c r="H2180" s="18" t="s">
        <v>171</v>
      </c>
      <c r="I2180" s="18"/>
      <c r="J2180" s="16">
        <v>2026</v>
      </c>
      <c r="K2180" s="18" t="s">
        <v>7144</v>
      </c>
      <c r="L2180" s="16">
        <v>9785002233595</v>
      </c>
      <c r="M2180" s="18" t="s">
        <v>7145</v>
      </c>
      <c r="N2180" s="16">
        <v>238</v>
      </c>
      <c r="O2180" s="19">
        <v>0.26</v>
      </c>
      <c r="P2180" s="16">
        <v>130</v>
      </c>
      <c r="Q2180" s="16">
        <v>210</v>
      </c>
      <c r="R2180" s="16">
        <v>10</v>
      </c>
      <c r="S2180" s="18" t="s">
        <v>90</v>
      </c>
      <c r="T2180" s="18"/>
      <c r="U2180" s="17">
        <v>1000</v>
      </c>
      <c r="V2180" s="18" t="s">
        <v>77</v>
      </c>
      <c r="W2180" s="18" t="s">
        <v>69</v>
      </c>
      <c r="X2180" s="16">
        <v>10</v>
      </c>
      <c r="Y2180" s="43" t="str">
        <f>HYPERLINK("https://api-enni.alpina.ru/FilePrivilegesApproval/634","https://api-enni.alpina.ru/FilePrivilegesApproval/634")</f>
        <v>https://api-enni.alpina.ru/FilePrivilegesApproval/634</v>
      </c>
      <c r="Z2180" s="18"/>
      <c r="AS2180" s="1">
        <f>IF($A2180&lt;&gt;0,1,0)</f>
        <v>0</v>
      </c>
      <c r="AT2180" s="1">
        <f>$A2180*$B2180</f>
        <v>0</v>
      </c>
      <c r="AU2180" s="1">
        <f>$A2180*$O2180</f>
        <v>0</v>
      </c>
      <c r="AV2180" s="1">
        <f>IF($R2180=0,0,INT($A2180/$R2180))</f>
        <v>0</v>
      </c>
      <c r="AW2180" s="1">
        <f>$A2180-$AV2180*$R2180</f>
        <v>0</v>
      </c>
    </row>
    <row r="2181" ht="21.95" customHeight="1" outlineLevel="3" s="1" customFormat="1">
      <c r="A2181" s="15"/>
      <c r="B2181" s="16">
        <v>498</v>
      </c>
      <c r="C2181" s="16">
        <v>772</v>
      </c>
      <c r="D2181" s="16">
        <v>27624</v>
      </c>
      <c r="E2181" s="18"/>
      <c r="F2181" s="18" t="s">
        <v>7146</v>
      </c>
      <c r="G2181" s="18" t="s">
        <v>7147</v>
      </c>
      <c r="H2181" s="18" t="s">
        <v>171</v>
      </c>
      <c r="I2181" s="18"/>
      <c r="J2181" s="16">
        <v>2023</v>
      </c>
      <c r="K2181" s="18" t="s">
        <v>7148</v>
      </c>
      <c r="L2181" s="16">
        <v>9785001399377</v>
      </c>
      <c r="M2181" s="18" t="s">
        <v>7149</v>
      </c>
      <c r="N2181" s="16">
        <v>296</v>
      </c>
      <c r="O2181" s="19">
        <v>0.25</v>
      </c>
      <c r="P2181" s="16">
        <v>130</v>
      </c>
      <c r="Q2181" s="16">
        <v>200</v>
      </c>
      <c r="R2181" s="16">
        <v>12</v>
      </c>
      <c r="S2181" s="18" t="s">
        <v>90</v>
      </c>
      <c r="T2181" s="18"/>
      <c r="U2181" s="17">
        <v>2000</v>
      </c>
      <c r="V2181" s="18" t="s">
        <v>44</v>
      </c>
      <c r="W2181" s="18" t="s">
        <v>45</v>
      </c>
      <c r="X2181" s="16">
        <v>22</v>
      </c>
      <c r="Y2181" s="43" t="str">
        <f>HYPERLINK("","")</f>
      </c>
      <c r="Z2181" s="18"/>
      <c r="AS2181" s="1">
        <f>IF($A2181&lt;&gt;0,1,0)</f>
        <v>0</v>
      </c>
      <c r="AT2181" s="1">
        <f>$A2181*$B2181</f>
        <v>0</v>
      </c>
      <c r="AU2181" s="1">
        <f>$A2181*$O2181</f>
        <v>0</v>
      </c>
      <c r="AV2181" s="1">
        <f>IF($R2181=0,0,INT($A2181/$R2181))</f>
        <v>0</v>
      </c>
      <c r="AW2181" s="1">
        <f>$A2181-$AV2181*$R2181</f>
        <v>0</v>
      </c>
    </row>
    <row r="2182" ht="24.95" customHeight="1" outlineLevel="3" s="1" customFormat="1">
      <c r="A2182" s="15"/>
      <c r="B2182" s="16">
        <v>540</v>
      </c>
      <c r="C2182" s="16">
        <v>837</v>
      </c>
      <c r="D2182" s="16">
        <v>28763</v>
      </c>
      <c r="E2182" s="18"/>
      <c r="F2182" s="18" t="s">
        <v>7103</v>
      </c>
      <c r="G2182" s="18" t="s">
        <v>7150</v>
      </c>
      <c r="H2182" s="18" t="s">
        <v>171</v>
      </c>
      <c r="I2182" s="18"/>
      <c r="J2182" s="16">
        <v>2023</v>
      </c>
      <c r="K2182" s="18" t="s">
        <v>7151</v>
      </c>
      <c r="L2182" s="16">
        <v>9785002230532</v>
      </c>
      <c r="M2182" s="18" t="s">
        <v>7152</v>
      </c>
      <c r="N2182" s="16">
        <v>408</v>
      </c>
      <c r="O2182" s="19">
        <v>0.5</v>
      </c>
      <c r="P2182" s="16">
        <v>140</v>
      </c>
      <c r="Q2182" s="16">
        <v>210</v>
      </c>
      <c r="R2182" s="16">
        <v>10</v>
      </c>
      <c r="S2182" s="18" t="s">
        <v>43</v>
      </c>
      <c r="T2182" s="18"/>
      <c r="U2182" s="17">
        <v>1500</v>
      </c>
      <c r="V2182" s="18" t="s">
        <v>44</v>
      </c>
      <c r="W2182" s="18" t="s">
        <v>45</v>
      </c>
      <c r="X2182" s="16">
        <v>10</v>
      </c>
      <c r="Y2182" s="43" t="str">
        <f>HYPERLINK("https://api-enni.alpina.ru/FilePrivilegesApproval/145","https://api-enni.alpina.ru/FilePrivilegesApproval/145")</f>
        <v>https://api-enni.alpina.ru/FilePrivilegesApproval/145</v>
      </c>
      <c r="Z2182" s="18"/>
      <c r="AS2182" s="1">
        <f>IF($A2182&lt;&gt;0,1,0)</f>
        <v>0</v>
      </c>
      <c r="AT2182" s="1">
        <f>$A2182*$B2182</f>
        <v>0</v>
      </c>
      <c r="AU2182" s="1">
        <f>$A2182*$O2182</f>
        <v>0</v>
      </c>
      <c r="AV2182" s="1">
        <f>IF($R2182=0,0,INT($A2182/$R2182))</f>
        <v>0</v>
      </c>
      <c r="AW2182" s="1">
        <f>$A2182-$AV2182*$R2182</f>
        <v>0</v>
      </c>
    </row>
    <row r="2183" ht="24.95" customHeight="1" outlineLevel="3" s="1" customFormat="1">
      <c r="A2183" s="15"/>
      <c r="B2183" s="16">
        <v>590</v>
      </c>
      <c r="C2183" s="16">
        <v>885</v>
      </c>
      <c r="D2183" s="16">
        <v>30279</v>
      </c>
      <c r="E2183" s="18"/>
      <c r="F2183" s="18" t="s">
        <v>7111</v>
      </c>
      <c r="G2183" s="18" t="s">
        <v>7153</v>
      </c>
      <c r="H2183" s="18" t="s">
        <v>171</v>
      </c>
      <c r="I2183" s="18"/>
      <c r="J2183" s="16">
        <v>2025</v>
      </c>
      <c r="K2183" s="18" t="s">
        <v>7154</v>
      </c>
      <c r="L2183" s="16">
        <v>9785002232406</v>
      </c>
      <c r="M2183" s="18" t="s">
        <v>7155</v>
      </c>
      <c r="N2183" s="16">
        <v>188</v>
      </c>
      <c r="O2183" s="19">
        <v>0.24</v>
      </c>
      <c r="P2183" s="16">
        <v>130</v>
      </c>
      <c r="Q2183" s="16">
        <v>220</v>
      </c>
      <c r="R2183" s="16">
        <v>16</v>
      </c>
      <c r="S2183" s="18" t="s">
        <v>90</v>
      </c>
      <c r="T2183" s="18"/>
      <c r="U2183" s="17">
        <v>1500</v>
      </c>
      <c r="V2183" s="18" t="s">
        <v>77</v>
      </c>
      <c r="W2183" s="18" t="s">
        <v>45</v>
      </c>
      <c r="X2183" s="16">
        <v>22</v>
      </c>
      <c r="Y2183" s="43" t="str">
        <f>HYPERLINK("https://api-enni.alpina.ru/FilePrivilegesApproval/497","https://api-enni.alpina.ru/FilePrivilegesApproval/497")</f>
        <v>https://api-enni.alpina.ru/FilePrivilegesApproval/497</v>
      </c>
      <c r="Z2183" s="18"/>
      <c r="AS2183" s="1">
        <f>IF($A2183&lt;&gt;0,1,0)</f>
        <v>0</v>
      </c>
      <c r="AT2183" s="1">
        <f>$A2183*$B2183</f>
        <v>0</v>
      </c>
      <c r="AU2183" s="1">
        <f>$A2183*$O2183</f>
        <v>0</v>
      </c>
      <c r="AV2183" s="1">
        <f>IF($R2183=0,0,INT($A2183/$R2183))</f>
        <v>0</v>
      </c>
      <c r="AW2183" s="1">
        <f>$A2183-$AV2183*$R2183</f>
        <v>0</v>
      </c>
    </row>
    <row r="2184" ht="21.95" customHeight="1" outlineLevel="3" s="1" customFormat="1">
      <c r="A2184" s="15"/>
      <c r="B2184" s="17">
        <v>1108</v>
      </c>
      <c r="C2184" s="17">
        <v>1496</v>
      </c>
      <c r="D2184" s="16">
        <v>34522</v>
      </c>
      <c r="E2184" s="18"/>
      <c r="F2184" s="18" t="s">
        <v>6966</v>
      </c>
      <c r="G2184" s="18" t="s">
        <v>7156</v>
      </c>
      <c r="H2184" s="18" t="s">
        <v>592</v>
      </c>
      <c r="I2184" s="18"/>
      <c r="J2184" s="16">
        <v>2025</v>
      </c>
      <c r="K2184" s="18" t="s">
        <v>7157</v>
      </c>
      <c r="L2184" s="16">
        <v>9786018232244</v>
      </c>
      <c r="M2184" s="18" t="s">
        <v>7158</v>
      </c>
      <c r="N2184" s="16">
        <v>480</v>
      </c>
      <c r="O2184" s="19">
        <v>0.67</v>
      </c>
      <c r="P2184" s="16">
        <v>150</v>
      </c>
      <c r="Q2184" s="16">
        <v>220</v>
      </c>
      <c r="R2184" s="16">
        <v>5</v>
      </c>
      <c r="S2184" s="18" t="s">
        <v>43</v>
      </c>
      <c r="T2184" s="18"/>
      <c r="U2184" s="17">
        <v>1000</v>
      </c>
      <c r="V2184" s="18" t="s">
        <v>77</v>
      </c>
      <c r="W2184" s="18" t="s">
        <v>45</v>
      </c>
      <c r="X2184" s="16">
        <v>22</v>
      </c>
      <c r="Y2184" s="43" t="str">
        <f>HYPERLINK("","")</f>
      </c>
      <c r="Z2184" s="18" t="s">
        <v>251</v>
      </c>
      <c r="AS2184" s="1">
        <f>IF($A2184&lt;&gt;0,1,0)</f>
        <v>0</v>
      </c>
      <c r="AT2184" s="1">
        <f>$A2184*$B2184</f>
        <v>0</v>
      </c>
      <c r="AU2184" s="1">
        <f>$A2184*$O2184</f>
        <v>0</v>
      </c>
      <c r="AV2184" s="1">
        <f>IF($R2184=0,0,INT($A2184/$R2184))</f>
        <v>0</v>
      </c>
      <c r="AW2184" s="1">
        <f>$A2184-$AV2184*$R2184</f>
        <v>0</v>
      </c>
    </row>
    <row r="2185" ht="21.95" customHeight="1" outlineLevel="3" s="1" customFormat="1">
      <c r="A2185" s="15"/>
      <c r="B2185" s="17">
        <v>1090</v>
      </c>
      <c r="C2185" s="17">
        <v>1472</v>
      </c>
      <c r="D2185" s="16">
        <v>34824</v>
      </c>
      <c r="E2185" s="18"/>
      <c r="F2185" s="18" t="s">
        <v>382</v>
      </c>
      <c r="G2185" s="18" t="s">
        <v>856</v>
      </c>
      <c r="H2185" s="18" t="s">
        <v>171</v>
      </c>
      <c r="I2185" s="18"/>
      <c r="J2185" s="16">
        <v>2026</v>
      </c>
      <c r="K2185" s="18" t="s">
        <v>857</v>
      </c>
      <c r="L2185" s="16">
        <v>9785002237005</v>
      </c>
      <c r="M2185" s="18" t="s">
        <v>858</v>
      </c>
      <c r="N2185" s="16">
        <v>600</v>
      </c>
      <c r="O2185" s="19">
        <v>0.66</v>
      </c>
      <c r="P2185" s="16">
        <v>150</v>
      </c>
      <c r="Q2185" s="16">
        <v>220</v>
      </c>
      <c r="R2185" s="16">
        <v>5</v>
      </c>
      <c r="S2185" s="18" t="s">
        <v>43</v>
      </c>
      <c r="T2185" s="18"/>
      <c r="U2185" s="17">
        <v>1000</v>
      </c>
      <c r="V2185" s="18" t="s">
        <v>77</v>
      </c>
      <c r="W2185" s="18" t="s">
        <v>45</v>
      </c>
      <c r="X2185" s="16">
        <v>22</v>
      </c>
      <c r="Y2185" s="43" t="str">
        <f>HYPERLINK("","")</f>
      </c>
      <c r="Z2185" s="18" t="s">
        <v>246</v>
      </c>
      <c r="AS2185" s="1">
        <f>IF($A2185&lt;&gt;0,1,0)</f>
        <v>0</v>
      </c>
      <c r="AT2185" s="1">
        <f>$A2185*$B2185</f>
        <v>0</v>
      </c>
      <c r="AU2185" s="1">
        <f>$A2185*$O2185</f>
        <v>0</v>
      </c>
      <c r="AV2185" s="1">
        <f>IF($R2185=0,0,INT($A2185/$R2185))</f>
        <v>0</v>
      </c>
      <c r="AW2185" s="1">
        <f>$A2185-$AV2185*$R2185</f>
        <v>0</v>
      </c>
    </row>
    <row r="2186" ht="21.95" customHeight="1" outlineLevel="3" s="1" customFormat="1">
      <c r="A2186" s="15"/>
      <c r="B2186" s="16">
        <v>498</v>
      </c>
      <c r="C2186" s="16">
        <v>772</v>
      </c>
      <c r="D2186" s="16">
        <v>27174</v>
      </c>
      <c r="E2186" s="18"/>
      <c r="F2186" s="18" t="s">
        <v>6892</v>
      </c>
      <c r="G2186" s="18" t="s">
        <v>7159</v>
      </c>
      <c r="H2186" s="18" t="s">
        <v>171</v>
      </c>
      <c r="I2186" s="18"/>
      <c r="J2186" s="16">
        <v>2023</v>
      </c>
      <c r="K2186" s="18" t="s">
        <v>7160</v>
      </c>
      <c r="L2186" s="16">
        <v>9785001398875</v>
      </c>
      <c r="M2186" s="18" t="s">
        <v>7161</v>
      </c>
      <c r="N2186" s="16">
        <v>248</v>
      </c>
      <c r="O2186" s="19">
        <v>0.29</v>
      </c>
      <c r="P2186" s="16">
        <v>130</v>
      </c>
      <c r="Q2186" s="16">
        <v>210</v>
      </c>
      <c r="R2186" s="16">
        <v>14</v>
      </c>
      <c r="S2186" s="18" t="s">
        <v>90</v>
      </c>
      <c r="T2186" s="18"/>
      <c r="U2186" s="17">
        <v>3000</v>
      </c>
      <c r="V2186" s="18" t="s">
        <v>77</v>
      </c>
      <c r="W2186" s="18" t="s">
        <v>45</v>
      </c>
      <c r="X2186" s="16">
        <v>22</v>
      </c>
      <c r="Y2186" s="43" t="str">
        <f>HYPERLINK("","")</f>
      </c>
      <c r="Z2186" s="18"/>
      <c r="AS2186" s="1">
        <f>IF($A2186&lt;&gt;0,1,0)</f>
        <v>0</v>
      </c>
      <c r="AT2186" s="1">
        <f>$A2186*$B2186</f>
        <v>0</v>
      </c>
      <c r="AU2186" s="1">
        <f>$A2186*$O2186</f>
        <v>0</v>
      </c>
      <c r="AV2186" s="1">
        <f>IF($R2186=0,0,INT($A2186/$R2186))</f>
        <v>0</v>
      </c>
      <c r="AW2186" s="1">
        <f>$A2186-$AV2186*$R2186</f>
        <v>0</v>
      </c>
    </row>
    <row r="2187" ht="24.95" customHeight="1" outlineLevel="3" s="1" customFormat="1">
      <c r="A2187" s="15"/>
      <c r="B2187" s="16">
        <v>440</v>
      </c>
      <c r="C2187" s="16">
        <v>682</v>
      </c>
      <c r="D2187" s="16">
        <v>28928</v>
      </c>
      <c r="E2187" s="18"/>
      <c r="F2187" s="18" t="s">
        <v>6693</v>
      </c>
      <c r="G2187" s="18" t="s">
        <v>7162</v>
      </c>
      <c r="H2187" s="18" t="s">
        <v>171</v>
      </c>
      <c r="I2187" s="18"/>
      <c r="J2187" s="16">
        <v>2024</v>
      </c>
      <c r="K2187" s="18" t="s">
        <v>7163</v>
      </c>
      <c r="L2187" s="16">
        <v>9785002230792</v>
      </c>
      <c r="M2187" s="18" t="s">
        <v>7164</v>
      </c>
      <c r="N2187" s="16">
        <v>364</v>
      </c>
      <c r="O2187" s="19">
        <v>0.22</v>
      </c>
      <c r="P2187" s="16">
        <v>120</v>
      </c>
      <c r="Q2187" s="16">
        <v>170</v>
      </c>
      <c r="R2187" s="16">
        <v>18</v>
      </c>
      <c r="S2187" s="18" t="s">
        <v>190</v>
      </c>
      <c r="T2187" s="18" t="s">
        <v>6670</v>
      </c>
      <c r="U2187" s="17">
        <v>4000</v>
      </c>
      <c r="V2187" s="18" t="s">
        <v>44</v>
      </c>
      <c r="W2187" s="18" t="s">
        <v>69</v>
      </c>
      <c r="X2187" s="16">
        <v>10</v>
      </c>
      <c r="Y2187" s="43" t="str">
        <f>HYPERLINK("https://api-enni.alpina.ru/FilePrivilegesApproval/185","https://api-enni.alpina.ru/FilePrivilegesApproval/185")</f>
        <v>https://api-enni.alpina.ru/FilePrivilegesApproval/185</v>
      </c>
      <c r="Z2187" s="18"/>
      <c r="AS2187" s="1">
        <f>IF($A2187&lt;&gt;0,1,0)</f>
        <v>0</v>
      </c>
      <c r="AT2187" s="1">
        <f>$A2187*$B2187</f>
        <v>0</v>
      </c>
      <c r="AU2187" s="1">
        <f>$A2187*$O2187</f>
        <v>0</v>
      </c>
      <c r="AV2187" s="1">
        <f>IF($R2187=0,0,INT($A2187/$R2187))</f>
        <v>0</v>
      </c>
      <c r="AW2187" s="1">
        <f>$A2187-$AV2187*$R2187</f>
        <v>0</v>
      </c>
    </row>
    <row r="2188" ht="21.95" customHeight="1" outlineLevel="3" s="1" customFormat="1">
      <c r="A2188" s="15"/>
      <c r="B2188" s="16">
        <v>600</v>
      </c>
      <c r="C2188" s="16">
        <v>900</v>
      </c>
      <c r="D2188" s="16">
        <v>34842</v>
      </c>
      <c r="E2188" s="18"/>
      <c r="F2188" s="18" t="s">
        <v>7165</v>
      </c>
      <c r="G2188" s="18" t="s">
        <v>7166</v>
      </c>
      <c r="H2188" s="18" t="s">
        <v>171</v>
      </c>
      <c r="I2188" s="18"/>
      <c r="J2188" s="16">
        <v>2026</v>
      </c>
      <c r="K2188" s="18" t="s">
        <v>7167</v>
      </c>
      <c r="L2188" s="16">
        <v>9785002237050</v>
      </c>
      <c r="M2188" s="18" t="s">
        <v>7168</v>
      </c>
      <c r="N2188" s="16">
        <v>232</v>
      </c>
      <c r="O2188" s="19">
        <v>0.2</v>
      </c>
      <c r="P2188" s="16">
        <v>140</v>
      </c>
      <c r="Q2188" s="16">
        <v>210</v>
      </c>
      <c r="R2188" s="16">
        <v>16</v>
      </c>
      <c r="S2188" s="18" t="s">
        <v>43</v>
      </c>
      <c r="T2188" s="18"/>
      <c r="U2188" s="17">
        <v>2000</v>
      </c>
      <c r="V2188" s="18" t="s">
        <v>44</v>
      </c>
      <c r="W2188" s="18" t="s">
        <v>45</v>
      </c>
      <c r="X2188" s="16">
        <v>22</v>
      </c>
      <c r="Y2188" s="43" t="str">
        <f>HYPERLINK("","")</f>
      </c>
      <c r="Z2188" s="18"/>
      <c r="AS2188" s="1">
        <f>IF($A2188&lt;&gt;0,1,0)</f>
        <v>0</v>
      </c>
      <c r="AT2188" s="1">
        <f>$A2188*$B2188</f>
        <v>0</v>
      </c>
      <c r="AU2188" s="1">
        <f>$A2188*$O2188</f>
        <v>0</v>
      </c>
      <c r="AV2188" s="1">
        <f>IF($R2188=0,0,INT($A2188/$R2188))</f>
        <v>0</v>
      </c>
      <c r="AW2188" s="1">
        <f>$A2188-$AV2188*$R2188</f>
        <v>0</v>
      </c>
    </row>
    <row r="2189" ht="21.95" customHeight="1" outlineLevel="3" s="1" customFormat="1">
      <c r="A2189" s="15"/>
      <c r="B2189" s="16">
        <v>630</v>
      </c>
      <c r="C2189" s="16">
        <v>945</v>
      </c>
      <c r="D2189" s="16">
        <v>32895</v>
      </c>
      <c r="E2189" s="18"/>
      <c r="F2189" s="18" t="s">
        <v>7169</v>
      </c>
      <c r="G2189" s="18" t="s">
        <v>7170</v>
      </c>
      <c r="H2189" s="18" t="s">
        <v>171</v>
      </c>
      <c r="I2189" s="18"/>
      <c r="J2189" s="16">
        <v>2025</v>
      </c>
      <c r="K2189" s="18" t="s">
        <v>7171</v>
      </c>
      <c r="L2189" s="16">
        <v>9785002235230</v>
      </c>
      <c r="M2189" s="18" t="s">
        <v>7172</v>
      </c>
      <c r="N2189" s="16">
        <v>300</v>
      </c>
      <c r="O2189" s="19">
        <v>0.29</v>
      </c>
      <c r="P2189" s="16">
        <v>140</v>
      </c>
      <c r="Q2189" s="16">
        <v>210</v>
      </c>
      <c r="R2189" s="16">
        <v>12</v>
      </c>
      <c r="S2189" s="18" t="s">
        <v>43</v>
      </c>
      <c r="T2189" s="18"/>
      <c r="U2189" s="17">
        <v>2000</v>
      </c>
      <c r="V2189" s="18" t="s">
        <v>44</v>
      </c>
      <c r="W2189" s="18" t="s">
        <v>45</v>
      </c>
      <c r="X2189" s="16">
        <v>22</v>
      </c>
      <c r="Y2189" s="43" t="str">
        <f>HYPERLINK("","")</f>
      </c>
      <c r="Z2189" s="18"/>
      <c r="AS2189" s="1">
        <f>IF($A2189&lt;&gt;0,1,0)</f>
        <v>0</v>
      </c>
      <c r="AT2189" s="1">
        <f>$A2189*$B2189</f>
        <v>0</v>
      </c>
      <c r="AU2189" s="1">
        <f>$A2189*$O2189</f>
        <v>0</v>
      </c>
      <c r="AV2189" s="1">
        <f>IF($R2189=0,0,INT($A2189/$R2189))</f>
        <v>0</v>
      </c>
      <c r="AW2189" s="1">
        <f>$A2189-$AV2189*$R2189</f>
        <v>0</v>
      </c>
    </row>
    <row r="2190" ht="21.95" customHeight="1" outlineLevel="3" s="1" customFormat="1">
      <c r="A2190" s="15"/>
      <c r="B2190" s="16">
        <v>740</v>
      </c>
      <c r="C2190" s="17">
        <v>1073</v>
      </c>
      <c r="D2190" s="16">
        <v>36076</v>
      </c>
      <c r="E2190" s="18"/>
      <c r="F2190" s="18" t="s">
        <v>6675</v>
      </c>
      <c r="G2190" s="18" t="s">
        <v>7173</v>
      </c>
      <c r="H2190" s="18" t="s">
        <v>171</v>
      </c>
      <c r="I2190" s="18"/>
      <c r="J2190" s="16">
        <v>2026</v>
      </c>
      <c r="K2190" s="18" t="s">
        <v>7174</v>
      </c>
      <c r="L2190" s="16">
        <v>9785002238262</v>
      </c>
      <c r="M2190" s="18" t="s">
        <v>7175</v>
      </c>
      <c r="N2190" s="16">
        <v>302</v>
      </c>
      <c r="O2190" s="19">
        <v>0.45</v>
      </c>
      <c r="P2190" s="16">
        <v>130</v>
      </c>
      <c r="Q2190" s="16">
        <v>210</v>
      </c>
      <c r="R2190" s="16">
        <v>10</v>
      </c>
      <c r="S2190" s="18" t="s">
        <v>90</v>
      </c>
      <c r="T2190" s="18"/>
      <c r="U2190" s="17">
        <v>2000</v>
      </c>
      <c r="V2190" s="18" t="s">
        <v>77</v>
      </c>
      <c r="W2190" s="18" t="s">
        <v>45</v>
      </c>
      <c r="X2190" s="16">
        <v>22</v>
      </c>
      <c r="Y2190" s="43" t="str">
        <f>HYPERLINK("","")</f>
      </c>
      <c r="Z2190" s="18" t="s">
        <v>753</v>
      </c>
      <c r="AS2190" s="1">
        <f>IF($A2190&lt;&gt;0,1,0)</f>
        <v>0</v>
      </c>
      <c r="AT2190" s="1">
        <f>$A2190*$B2190</f>
        <v>0</v>
      </c>
      <c r="AU2190" s="1">
        <f>$A2190*$O2190</f>
        <v>0</v>
      </c>
      <c r="AV2190" s="1">
        <f>IF($R2190=0,0,INT($A2190/$R2190))</f>
        <v>0</v>
      </c>
      <c r="AW2190" s="1">
        <f>$A2190-$AV2190*$R2190</f>
        <v>0</v>
      </c>
    </row>
    <row r="2191" ht="24.95" customHeight="1" outlineLevel="3" s="1" customFormat="1">
      <c r="A2191" s="15"/>
      <c r="B2191" s="16">
        <v>640</v>
      </c>
      <c r="C2191" s="16">
        <v>960</v>
      </c>
      <c r="D2191" s="16">
        <v>26090</v>
      </c>
      <c r="E2191" s="18"/>
      <c r="F2191" s="18" t="s">
        <v>6703</v>
      </c>
      <c r="G2191" s="18" t="s">
        <v>7176</v>
      </c>
      <c r="H2191" s="18" t="s">
        <v>171</v>
      </c>
      <c r="I2191" s="18"/>
      <c r="J2191" s="16">
        <v>2022</v>
      </c>
      <c r="K2191" s="18" t="s">
        <v>7177</v>
      </c>
      <c r="L2191" s="16">
        <v>9785001397359</v>
      </c>
      <c r="M2191" s="18" t="s">
        <v>7178</v>
      </c>
      <c r="N2191" s="16">
        <v>368</v>
      </c>
      <c r="O2191" s="19">
        <v>0.48</v>
      </c>
      <c r="P2191" s="16">
        <v>130</v>
      </c>
      <c r="Q2191" s="16">
        <v>206</v>
      </c>
      <c r="R2191" s="16">
        <v>12</v>
      </c>
      <c r="S2191" s="18" t="s">
        <v>90</v>
      </c>
      <c r="T2191" s="18"/>
      <c r="U2191" s="17">
        <v>2000</v>
      </c>
      <c r="V2191" s="18" t="s">
        <v>77</v>
      </c>
      <c r="W2191" s="18" t="s">
        <v>45</v>
      </c>
      <c r="X2191" s="16">
        <v>10</v>
      </c>
      <c r="Y2191" s="43" t="str">
        <f>HYPERLINK("https://api-enni.alpina.ru/FilePrivilegesApproval/171","https://api-enni.alpina.ru/FilePrivilegesApproval/171")</f>
        <v>https://api-enni.alpina.ru/FilePrivilegesApproval/171</v>
      </c>
      <c r="Z2191" s="18"/>
      <c r="AS2191" s="1">
        <f>IF($A2191&lt;&gt;0,1,0)</f>
        <v>0</v>
      </c>
      <c r="AT2191" s="1">
        <f>$A2191*$B2191</f>
        <v>0</v>
      </c>
      <c r="AU2191" s="1">
        <f>$A2191*$O2191</f>
        <v>0</v>
      </c>
      <c r="AV2191" s="1">
        <f>IF($R2191=0,0,INT($A2191/$R2191))</f>
        <v>0</v>
      </c>
      <c r="AW2191" s="1">
        <f>$A2191-$AV2191*$R2191</f>
        <v>0</v>
      </c>
    </row>
    <row r="2192" ht="21.95" customHeight="1" outlineLevel="3" s="1" customFormat="1">
      <c r="A2192" s="15"/>
      <c r="B2192" s="16">
        <v>640</v>
      </c>
      <c r="C2192" s="16">
        <v>960</v>
      </c>
      <c r="D2192" s="16">
        <v>33578</v>
      </c>
      <c r="E2192" s="18"/>
      <c r="F2192" s="18" t="s">
        <v>7179</v>
      </c>
      <c r="G2192" s="18" t="s">
        <v>7180</v>
      </c>
      <c r="H2192" s="18" t="s">
        <v>171</v>
      </c>
      <c r="I2192" s="18"/>
      <c r="J2192" s="16">
        <v>2025</v>
      </c>
      <c r="K2192" s="18" t="s">
        <v>7181</v>
      </c>
      <c r="L2192" s="16">
        <v>9785002235674</v>
      </c>
      <c r="M2192" s="18" t="s">
        <v>7182</v>
      </c>
      <c r="N2192" s="16">
        <v>240</v>
      </c>
      <c r="O2192" s="19">
        <v>0.26</v>
      </c>
      <c r="P2192" s="16">
        <v>140</v>
      </c>
      <c r="Q2192" s="16">
        <v>210</v>
      </c>
      <c r="R2192" s="16">
        <v>12</v>
      </c>
      <c r="S2192" s="18" t="s">
        <v>90</v>
      </c>
      <c r="T2192" s="18"/>
      <c r="U2192" s="17">
        <v>2000</v>
      </c>
      <c r="V2192" s="18" t="s">
        <v>77</v>
      </c>
      <c r="W2192" s="18" t="s">
        <v>45</v>
      </c>
      <c r="X2192" s="16">
        <v>22</v>
      </c>
      <c r="Y2192" s="43" t="str">
        <f>HYPERLINK("","")</f>
      </c>
      <c r="Z2192" s="18"/>
      <c r="AS2192" s="1">
        <f>IF($A2192&lt;&gt;0,1,0)</f>
        <v>0</v>
      </c>
      <c r="AT2192" s="1">
        <f>$A2192*$B2192</f>
        <v>0</v>
      </c>
      <c r="AU2192" s="1">
        <f>$A2192*$O2192</f>
        <v>0</v>
      </c>
      <c r="AV2192" s="1">
        <f>IF($R2192=0,0,INT($A2192/$R2192))</f>
        <v>0</v>
      </c>
      <c r="AW2192" s="1">
        <f>$A2192-$AV2192*$R2192</f>
        <v>0</v>
      </c>
    </row>
    <row r="2193" ht="24.95" customHeight="1" outlineLevel="3" s="1" customFormat="1">
      <c r="A2193" s="15"/>
      <c r="B2193" s="16">
        <v>640</v>
      </c>
      <c r="C2193" s="16">
        <v>960</v>
      </c>
      <c r="D2193" s="16">
        <v>29553</v>
      </c>
      <c r="E2193" s="18"/>
      <c r="F2193" s="18" t="s">
        <v>7183</v>
      </c>
      <c r="G2193" s="18" t="s">
        <v>7184</v>
      </c>
      <c r="H2193" s="18" t="s">
        <v>171</v>
      </c>
      <c r="I2193" s="18"/>
      <c r="J2193" s="16">
        <v>2026</v>
      </c>
      <c r="K2193" s="18" t="s">
        <v>7185</v>
      </c>
      <c r="L2193" s="16">
        <v>9785002231539</v>
      </c>
      <c r="M2193" s="18" t="s">
        <v>7186</v>
      </c>
      <c r="N2193" s="16">
        <v>200</v>
      </c>
      <c r="O2193" s="19">
        <v>0.19</v>
      </c>
      <c r="P2193" s="16">
        <v>140</v>
      </c>
      <c r="Q2193" s="16">
        <v>210</v>
      </c>
      <c r="R2193" s="16">
        <v>20</v>
      </c>
      <c r="S2193" s="18" t="s">
        <v>43</v>
      </c>
      <c r="T2193" s="18"/>
      <c r="U2193" s="17">
        <v>1000</v>
      </c>
      <c r="V2193" s="18" t="s">
        <v>44</v>
      </c>
      <c r="W2193" s="18" t="s">
        <v>45</v>
      </c>
      <c r="X2193" s="16">
        <v>22</v>
      </c>
      <c r="Y2193" s="43" t="str">
        <f>HYPERLINK("https://api-enni.alpina.ru/FilePrivilegesApproval/432","https://api-enni.alpina.ru/FilePrivilegesApproval/432")</f>
        <v>https://api-enni.alpina.ru/FilePrivilegesApproval/432</v>
      </c>
      <c r="Z2193" s="18" t="s">
        <v>717</v>
      </c>
      <c r="AS2193" s="1">
        <f>IF($A2193&lt;&gt;0,1,0)</f>
        <v>0</v>
      </c>
      <c r="AT2193" s="1">
        <f>$A2193*$B2193</f>
        <v>0</v>
      </c>
      <c r="AU2193" s="1">
        <f>$A2193*$O2193</f>
        <v>0</v>
      </c>
      <c r="AV2193" s="1">
        <f>IF($R2193=0,0,INT($A2193/$R2193))</f>
        <v>0</v>
      </c>
      <c r="AW2193" s="1">
        <f>$A2193-$AV2193*$R2193</f>
        <v>0</v>
      </c>
    </row>
    <row r="2194" ht="24.95" customHeight="1" outlineLevel="3" s="1" customFormat="1">
      <c r="A2194" s="15"/>
      <c r="B2194" s="16">
        <v>346</v>
      </c>
      <c r="C2194" s="16">
        <v>554</v>
      </c>
      <c r="D2194" s="16">
        <v>28653</v>
      </c>
      <c r="E2194" s="18"/>
      <c r="F2194" s="18" t="s">
        <v>6713</v>
      </c>
      <c r="G2194" s="18" t="s">
        <v>7187</v>
      </c>
      <c r="H2194" s="18" t="s">
        <v>171</v>
      </c>
      <c r="I2194" s="18"/>
      <c r="J2194" s="16">
        <v>2024</v>
      </c>
      <c r="K2194" s="18" t="s">
        <v>7188</v>
      </c>
      <c r="L2194" s="16">
        <v>9785002230433</v>
      </c>
      <c r="M2194" s="18" t="s">
        <v>7189</v>
      </c>
      <c r="N2194" s="16">
        <v>192</v>
      </c>
      <c r="O2194" s="19">
        <v>0.12</v>
      </c>
      <c r="P2194" s="16">
        <v>120</v>
      </c>
      <c r="Q2194" s="16">
        <v>170</v>
      </c>
      <c r="R2194" s="16">
        <v>8</v>
      </c>
      <c r="S2194" s="18" t="s">
        <v>190</v>
      </c>
      <c r="T2194" s="18" t="s">
        <v>6717</v>
      </c>
      <c r="U2194" s="17">
        <v>4000</v>
      </c>
      <c r="V2194" s="18" t="s">
        <v>44</v>
      </c>
      <c r="W2194" s="18" t="s">
        <v>45</v>
      </c>
      <c r="X2194" s="16">
        <v>22</v>
      </c>
      <c r="Y2194" s="43" t="str">
        <f>HYPERLINK("https://api-enni.alpina.ru/FilePrivilegesApproval/359","https://api-enni.alpina.ru/FilePrivilegesApproval/359")</f>
        <v>https://api-enni.alpina.ru/FilePrivilegesApproval/359</v>
      </c>
      <c r="Z2194" s="18"/>
      <c r="AS2194" s="1">
        <f>IF($A2194&lt;&gt;0,1,0)</f>
        <v>0</v>
      </c>
      <c r="AT2194" s="1">
        <f>$A2194*$B2194</f>
        <v>0</v>
      </c>
      <c r="AU2194" s="1">
        <f>$A2194*$O2194</f>
        <v>0</v>
      </c>
      <c r="AV2194" s="1">
        <f>IF($R2194=0,0,INT($A2194/$R2194))</f>
        <v>0</v>
      </c>
      <c r="AW2194" s="1">
        <f>$A2194-$AV2194*$R2194</f>
        <v>0</v>
      </c>
    </row>
    <row r="2195" ht="24.95" customHeight="1" outlineLevel="3" s="1" customFormat="1">
      <c r="A2195" s="15"/>
      <c r="B2195" s="16">
        <v>795</v>
      </c>
      <c r="C2195" s="17">
        <v>1153</v>
      </c>
      <c r="D2195" s="16">
        <v>34848</v>
      </c>
      <c r="E2195" s="18"/>
      <c r="F2195" s="18" t="s">
        <v>7190</v>
      </c>
      <c r="G2195" s="18" t="s">
        <v>7191</v>
      </c>
      <c r="H2195" s="18" t="s">
        <v>171</v>
      </c>
      <c r="I2195" s="18"/>
      <c r="J2195" s="16">
        <v>2026</v>
      </c>
      <c r="K2195" s="18" t="s">
        <v>7192</v>
      </c>
      <c r="L2195" s="16">
        <v>9785002237067</v>
      </c>
      <c r="M2195" s="18" t="s">
        <v>7193</v>
      </c>
      <c r="N2195" s="16">
        <v>572</v>
      </c>
      <c r="O2195" s="19">
        <v>0.62</v>
      </c>
      <c r="P2195" s="16">
        <v>150</v>
      </c>
      <c r="Q2195" s="16">
        <v>220</v>
      </c>
      <c r="R2195" s="16">
        <v>8</v>
      </c>
      <c r="S2195" s="18" t="s">
        <v>43</v>
      </c>
      <c r="T2195" s="18"/>
      <c r="U2195" s="17">
        <v>2000</v>
      </c>
      <c r="V2195" s="18" t="s">
        <v>77</v>
      </c>
      <c r="W2195" s="18" t="s">
        <v>45</v>
      </c>
      <c r="X2195" s="16">
        <v>10</v>
      </c>
      <c r="Y2195" s="43" t="str">
        <f>HYPERLINK("https://api-enni.alpina.ru/FilePrivilegesApproval/1173","https://api-enni.alpina.ru/FilePrivilegesApproval/1173")</f>
        <v>https://api-enni.alpina.ru/FilePrivilegesApproval/1173</v>
      </c>
      <c r="Z2195" s="18"/>
      <c r="AS2195" s="1">
        <f>IF($A2195&lt;&gt;0,1,0)</f>
        <v>0</v>
      </c>
      <c r="AT2195" s="1">
        <f>$A2195*$B2195</f>
        <v>0</v>
      </c>
      <c r="AU2195" s="1">
        <f>$A2195*$O2195</f>
        <v>0</v>
      </c>
      <c r="AV2195" s="1">
        <f>IF($R2195=0,0,INT($A2195/$R2195))</f>
        <v>0</v>
      </c>
      <c r="AW2195" s="1">
        <f>$A2195-$AV2195*$R2195</f>
        <v>0</v>
      </c>
    </row>
    <row r="2196" ht="21.95" customHeight="1" outlineLevel="3" s="1" customFormat="1">
      <c r="A2196" s="15"/>
      <c r="B2196" s="16">
        <v>773</v>
      </c>
      <c r="C2196" s="17">
        <v>1121</v>
      </c>
      <c r="D2196" s="16">
        <v>31912</v>
      </c>
      <c r="E2196" s="18"/>
      <c r="F2196" s="18" t="s">
        <v>951</v>
      </c>
      <c r="G2196" s="18" t="s">
        <v>7194</v>
      </c>
      <c r="H2196" s="18" t="s">
        <v>171</v>
      </c>
      <c r="I2196" s="18"/>
      <c r="J2196" s="16">
        <v>2026</v>
      </c>
      <c r="K2196" s="18" t="s">
        <v>7195</v>
      </c>
      <c r="L2196" s="16">
        <v>9785002234431</v>
      </c>
      <c r="M2196" s="18" t="s">
        <v>7196</v>
      </c>
      <c r="N2196" s="16">
        <v>492</v>
      </c>
      <c r="O2196" s="19">
        <v>0.55</v>
      </c>
      <c r="P2196" s="16">
        <v>150</v>
      </c>
      <c r="Q2196" s="16">
        <v>220</v>
      </c>
      <c r="R2196" s="16">
        <v>10</v>
      </c>
      <c r="S2196" s="18" t="s">
        <v>43</v>
      </c>
      <c r="T2196" s="18"/>
      <c r="U2196" s="17">
        <v>3000</v>
      </c>
      <c r="V2196" s="18" t="s">
        <v>77</v>
      </c>
      <c r="W2196" s="18" t="s">
        <v>45</v>
      </c>
      <c r="X2196" s="16">
        <v>22</v>
      </c>
      <c r="Y2196" s="43" t="str">
        <f>HYPERLINK("","")</f>
      </c>
      <c r="Z2196" s="18"/>
      <c r="AS2196" s="1">
        <f>IF($A2196&lt;&gt;0,1,0)</f>
        <v>0</v>
      </c>
      <c r="AT2196" s="1">
        <f>$A2196*$B2196</f>
        <v>0</v>
      </c>
      <c r="AU2196" s="1">
        <f>$A2196*$O2196</f>
        <v>0</v>
      </c>
      <c r="AV2196" s="1">
        <f>IF($R2196=0,0,INT($A2196/$R2196))</f>
        <v>0</v>
      </c>
      <c r="AW2196" s="1">
        <f>$A2196-$AV2196*$R2196</f>
        <v>0</v>
      </c>
    </row>
    <row r="2197" ht="21.95" customHeight="1" outlineLevel="3" s="1" customFormat="1">
      <c r="A2197" s="15"/>
      <c r="B2197" s="16">
        <v>702</v>
      </c>
      <c r="C2197" s="17">
        <v>1018</v>
      </c>
      <c r="D2197" s="16">
        <v>31087</v>
      </c>
      <c r="E2197" s="18"/>
      <c r="F2197" s="18" t="s">
        <v>7197</v>
      </c>
      <c r="G2197" s="18" t="s">
        <v>7198</v>
      </c>
      <c r="H2197" s="18" t="s">
        <v>171</v>
      </c>
      <c r="I2197" s="18"/>
      <c r="J2197" s="16">
        <v>2025</v>
      </c>
      <c r="K2197" s="18" t="s">
        <v>7199</v>
      </c>
      <c r="L2197" s="16">
        <v>9785002233281</v>
      </c>
      <c r="M2197" s="18" t="s">
        <v>7200</v>
      </c>
      <c r="N2197" s="16">
        <v>444</v>
      </c>
      <c r="O2197" s="19">
        <v>0.35</v>
      </c>
      <c r="P2197" s="16">
        <v>140</v>
      </c>
      <c r="Q2197" s="16">
        <v>200</v>
      </c>
      <c r="R2197" s="16">
        <v>12</v>
      </c>
      <c r="S2197" s="18" t="s">
        <v>43</v>
      </c>
      <c r="T2197" s="18"/>
      <c r="U2197" s="17">
        <v>2000</v>
      </c>
      <c r="V2197" s="18" t="s">
        <v>44</v>
      </c>
      <c r="W2197" s="18" t="s">
        <v>45</v>
      </c>
      <c r="X2197" s="16">
        <v>22</v>
      </c>
      <c r="Y2197" s="43" t="str">
        <f>HYPERLINK("","")</f>
      </c>
      <c r="Z2197" s="18"/>
      <c r="AS2197" s="1">
        <f>IF($A2197&lt;&gt;0,1,0)</f>
        <v>0</v>
      </c>
      <c r="AT2197" s="1">
        <f>$A2197*$B2197</f>
        <v>0</v>
      </c>
      <c r="AU2197" s="1">
        <f>$A2197*$O2197</f>
        <v>0</v>
      </c>
      <c r="AV2197" s="1">
        <f>IF($R2197=0,0,INT($A2197/$R2197))</f>
        <v>0</v>
      </c>
      <c r="AW2197" s="1">
        <f>$A2197-$AV2197*$R2197</f>
        <v>0</v>
      </c>
    </row>
    <row r="2198" ht="21.95" customHeight="1" outlineLevel="3" s="1" customFormat="1">
      <c r="A2198" s="15"/>
      <c r="B2198" s="16">
        <v>702</v>
      </c>
      <c r="C2198" s="17">
        <v>1018</v>
      </c>
      <c r="D2198" s="16">
        <v>34026</v>
      </c>
      <c r="E2198" s="18"/>
      <c r="F2198" s="18" t="s">
        <v>6718</v>
      </c>
      <c r="G2198" s="18" t="s">
        <v>7201</v>
      </c>
      <c r="H2198" s="18" t="s">
        <v>171</v>
      </c>
      <c r="I2198" s="18"/>
      <c r="J2198" s="16">
        <v>2026</v>
      </c>
      <c r="K2198" s="18" t="s">
        <v>7202</v>
      </c>
      <c r="L2198" s="16">
        <v>9785002236190</v>
      </c>
      <c r="M2198" s="18" t="s">
        <v>7203</v>
      </c>
      <c r="N2198" s="16">
        <v>548</v>
      </c>
      <c r="O2198" s="19">
        <v>0.59</v>
      </c>
      <c r="P2198" s="16">
        <v>150</v>
      </c>
      <c r="Q2198" s="16">
        <v>220</v>
      </c>
      <c r="R2198" s="16">
        <v>10</v>
      </c>
      <c r="S2198" s="18" t="s">
        <v>43</v>
      </c>
      <c r="T2198" s="18"/>
      <c r="U2198" s="17">
        <v>2000</v>
      </c>
      <c r="V2198" s="18" t="s">
        <v>77</v>
      </c>
      <c r="W2198" s="18" t="s">
        <v>45</v>
      </c>
      <c r="X2198" s="16">
        <v>22</v>
      </c>
      <c r="Y2198" s="43" t="str">
        <f>HYPERLINK("","")</f>
      </c>
      <c r="Z2198" s="18"/>
      <c r="AS2198" s="1">
        <f>IF($A2198&lt;&gt;0,1,0)</f>
        <v>0</v>
      </c>
      <c r="AT2198" s="1">
        <f>$A2198*$B2198</f>
        <v>0</v>
      </c>
      <c r="AU2198" s="1">
        <f>$A2198*$O2198</f>
        <v>0</v>
      </c>
      <c r="AV2198" s="1">
        <f>IF($R2198=0,0,INT($A2198/$R2198))</f>
        <v>0</v>
      </c>
      <c r="AW2198" s="1">
        <f>$A2198-$AV2198*$R2198</f>
        <v>0</v>
      </c>
    </row>
    <row r="2199" ht="24.95" customHeight="1" outlineLevel="3" s="1" customFormat="1">
      <c r="A2199" s="15"/>
      <c r="B2199" s="16">
        <v>590</v>
      </c>
      <c r="C2199" s="16">
        <v>885</v>
      </c>
      <c r="D2199" s="16">
        <v>26094</v>
      </c>
      <c r="E2199" s="18"/>
      <c r="F2199" s="18" t="s">
        <v>492</v>
      </c>
      <c r="G2199" s="18" t="s">
        <v>7204</v>
      </c>
      <c r="H2199" s="18" t="s">
        <v>171</v>
      </c>
      <c r="I2199" s="18"/>
      <c r="J2199" s="16">
        <v>2022</v>
      </c>
      <c r="K2199" s="18" t="s">
        <v>7205</v>
      </c>
      <c r="L2199" s="16">
        <v>9785001397380</v>
      </c>
      <c r="M2199" s="18" t="s">
        <v>7206</v>
      </c>
      <c r="N2199" s="16">
        <v>336</v>
      </c>
      <c r="O2199" s="19">
        <v>0.4</v>
      </c>
      <c r="P2199" s="16">
        <v>146</v>
      </c>
      <c r="Q2199" s="16">
        <v>216</v>
      </c>
      <c r="R2199" s="16">
        <v>14</v>
      </c>
      <c r="S2199" s="18" t="s">
        <v>90</v>
      </c>
      <c r="T2199" s="18"/>
      <c r="U2199" s="17">
        <v>1500</v>
      </c>
      <c r="V2199" s="18" t="s">
        <v>77</v>
      </c>
      <c r="W2199" s="18" t="s">
        <v>45</v>
      </c>
      <c r="X2199" s="16">
        <v>10</v>
      </c>
      <c r="Y2199" s="43" t="str">
        <f>HYPERLINK("https://api-enni.alpina.ru/FilePrivilegesApproval/171","https://api-enni.alpina.ru/FilePrivilegesApproval/171")</f>
        <v>https://api-enni.alpina.ru/FilePrivilegesApproval/171</v>
      </c>
      <c r="Z2199" s="18"/>
      <c r="AS2199" s="1">
        <f>IF($A2199&lt;&gt;0,1,0)</f>
        <v>0</v>
      </c>
      <c r="AT2199" s="1">
        <f>$A2199*$B2199</f>
        <v>0</v>
      </c>
      <c r="AU2199" s="1">
        <f>$A2199*$O2199</f>
        <v>0</v>
      </c>
      <c r="AV2199" s="1">
        <f>IF($R2199=0,0,INT($A2199/$R2199))</f>
        <v>0</v>
      </c>
      <c r="AW2199" s="1">
        <f>$A2199-$AV2199*$R2199</f>
        <v>0</v>
      </c>
    </row>
    <row r="2200" ht="21.95" customHeight="1" outlineLevel="3" s="1" customFormat="1">
      <c r="A2200" s="15"/>
      <c r="B2200" s="16">
        <v>840</v>
      </c>
      <c r="C2200" s="17">
        <v>1218</v>
      </c>
      <c r="D2200" s="16">
        <v>35797</v>
      </c>
      <c r="E2200" s="18"/>
      <c r="F2200" s="18" t="s">
        <v>382</v>
      </c>
      <c r="G2200" s="18" t="s">
        <v>7207</v>
      </c>
      <c r="H2200" s="18" t="s">
        <v>171</v>
      </c>
      <c r="I2200" s="18"/>
      <c r="J2200" s="16">
        <v>2026</v>
      </c>
      <c r="K2200" s="18" t="s">
        <v>7208</v>
      </c>
      <c r="L2200" s="16">
        <v>9785002237982</v>
      </c>
      <c r="M2200" s="18" t="s">
        <v>7209</v>
      </c>
      <c r="N2200" s="16">
        <v>308</v>
      </c>
      <c r="O2200" s="19">
        <v>0.39</v>
      </c>
      <c r="P2200" s="16">
        <v>150</v>
      </c>
      <c r="Q2200" s="16">
        <v>220</v>
      </c>
      <c r="R2200" s="16">
        <v>10</v>
      </c>
      <c r="S2200" s="18" t="s">
        <v>43</v>
      </c>
      <c r="T2200" s="18"/>
      <c r="U2200" s="17">
        <v>2000</v>
      </c>
      <c r="V2200" s="18" t="s">
        <v>77</v>
      </c>
      <c r="W2200" s="18" t="s">
        <v>45</v>
      </c>
      <c r="X2200" s="16">
        <v>22</v>
      </c>
      <c r="Y2200" s="43" t="str">
        <f>HYPERLINK("","")</f>
      </c>
      <c r="Z2200" s="18" t="s">
        <v>777</v>
      </c>
      <c r="AS2200" s="1">
        <f>IF($A2200&lt;&gt;0,1,0)</f>
        <v>0</v>
      </c>
      <c r="AT2200" s="1">
        <f>$A2200*$B2200</f>
        <v>0</v>
      </c>
      <c r="AU2200" s="1">
        <f>$A2200*$O2200</f>
        <v>0</v>
      </c>
      <c r="AV2200" s="1">
        <f>IF($R2200=0,0,INT($A2200/$R2200))</f>
        <v>0</v>
      </c>
      <c r="AW2200" s="1">
        <f>$A2200-$AV2200*$R2200</f>
        <v>0</v>
      </c>
    </row>
    <row r="2201" ht="24.95" customHeight="1" outlineLevel="3" s="1" customFormat="1">
      <c r="A2201" s="15"/>
      <c r="B2201" s="17">
        <v>2176</v>
      </c>
      <c r="C2201" s="17">
        <v>2829</v>
      </c>
      <c r="D2201" s="16">
        <v>30617</v>
      </c>
      <c r="E2201" s="18"/>
      <c r="F2201" s="18" t="s">
        <v>7210</v>
      </c>
      <c r="G2201" s="18" t="s">
        <v>7211</v>
      </c>
      <c r="H2201" s="18" t="s">
        <v>95</v>
      </c>
      <c r="I2201" s="18"/>
      <c r="J2201" s="16">
        <v>2024</v>
      </c>
      <c r="K2201" s="18" t="s">
        <v>7212</v>
      </c>
      <c r="L2201" s="16">
        <v>9785206003314</v>
      </c>
      <c r="M2201" s="18" t="s">
        <v>7213</v>
      </c>
      <c r="N2201" s="16">
        <v>624</v>
      </c>
      <c r="O2201" s="19">
        <v>1.06</v>
      </c>
      <c r="P2201" s="16">
        <v>150</v>
      </c>
      <c r="Q2201" s="16">
        <v>220</v>
      </c>
      <c r="R2201" s="16">
        <v>20</v>
      </c>
      <c r="S2201" s="18" t="s">
        <v>43</v>
      </c>
      <c r="T2201" s="18"/>
      <c r="U2201" s="17">
        <v>3005</v>
      </c>
      <c r="V2201" s="18" t="s">
        <v>77</v>
      </c>
      <c r="W2201" s="18" t="s">
        <v>45</v>
      </c>
      <c r="X2201" s="16">
        <v>22</v>
      </c>
      <c r="Y2201" s="43" t="str">
        <f>HYPERLINK("https://api-enni.alpina.ru/FilePrivilegesApproval/708","https://api-enni.alpina.ru/FilePrivilegesApproval/708")</f>
        <v>https://api-enni.alpina.ru/FilePrivilegesApproval/708</v>
      </c>
      <c r="Z2201" s="18"/>
      <c r="AS2201" s="1">
        <f>IF($A2201&lt;&gt;0,1,0)</f>
        <v>0</v>
      </c>
      <c r="AT2201" s="1">
        <f>$A2201*$B2201</f>
        <v>0</v>
      </c>
      <c r="AU2201" s="1">
        <f>$A2201*$O2201</f>
        <v>0</v>
      </c>
      <c r="AV2201" s="1">
        <f>IF($R2201=0,0,INT($A2201/$R2201))</f>
        <v>0</v>
      </c>
      <c r="AW2201" s="1">
        <f>$A2201-$AV2201*$R2201</f>
        <v>0</v>
      </c>
    </row>
    <row r="2202" ht="24.95" customHeight="1" outlineLevel="3" s="1" customFormat="1">
      <c r="A2202" s="15"/>
      <c r="B2202" s="16">
        <v>340</v>
      </c>
      <c r="C2202" s="16">
        <v>544</v>
      </c>
      <c r="D2202" s="16">
        <v>28162</v>
      </c>
      <c r="E2202" s="18"/>
      <c r="F2202" s="18" t="s">
        <v>6713</v>
      </c>
      <c r="G2202" s="18" t="s">
        <v>7214</v>
      </c>
      <c r="H2202" s="18" t="s">
        <v>171</v>
      </c>
      <c r="I2202" s="18"/>
      <c r="J2202" s="16">
        <v>2024</v>
      </c>
      <c r="K2202" s="18" t="s">
        <v>7215</v>
      </c>
      <c r="L2202" s="16">
        <v>9785002230716</v>
      </c>
      <c r="M2202" s="18" t="s">
        <v>7216</v>
      </c>
      <c r="N2202" s="16">
        <v>192</v>
      </c>
      <c r="O2202" s="19">
        <v>0.13</v>
      </c>
      <c r="P2202" s="16">
        <v>120</v>
      </c>
      <c r="Q2202" s="16">
        <v>170</v>
      </c>
      <c r="R2202" s="16">
        <v>20</v>
      </c>
      <c r="S2202" s="18" t="s">
        <v>190</v>
      </c>
      <c r="T2202" s="18" t="s">
        <v>6717</v>
      </c>
      <c r="U2202" s="17">
        <v>2000</v>
      </c>
      <c r="V2202" s="18" t="s">
        <v>44</v>
      </c>
      <c r="W2202" s="18" t="s">
        <v>45</v>
      </c>
      <c r="X2202" s="16">
        <v>10</v>
      </c>
      <c r="Y2202" s="43" t="str">
        <f>HYPERLINK("https://api-enni.alpina.ru/FilePrivilegesApproval/324","https://api-enni.alpina.ru/FilePrivilegesApproval/324")</f>
        <v>https://api-enni.alpina.ru/FilePrivilegesApproval/324</v>
      </c>
      <c r="Z2202" s="18"/>
      <c r="AS2202" s="1">
        <f>IF($A2202&lt;&gt;0,1,0)</f>
        <v>0</v>
      </c>
      <c r="AT2202" s="1">
        <f>$A2202*$B2202</f>
        <v>0</v>
      </c>
      <c r="AU2202" s="1">
        <f>$A2202*$O2202</f>
        <v>0</v>
      </c>
      <c r="AV2202" s="1">
        <f>IF($R2202=0,0,INT($A2202/$R2202))</f>
        <v>0</v>
      </c>
      <c r="AW2202" s="1">
        <f>$A2202-$AV2202*$R2202</f>
        <v>0</v>
      </c>
    </row>
    <row r="2203" ht="21.95" customHeight="1" outlineLevel="3" s="1" customFormat="1">
      <c r="A2203" s="15"/>
      <c r="B2203" s="16">
        <v>569</v>
      </c>
      <c r="C2203" s="16">
        <v>854</v>
      </c>
      <c r="D2203" s="16">
        <v>33771</v>
      </c>
      <c r="E2203" s="18"/>
      <c r="F2203" s="18" t="s">
        <v>7111</v>
      </c>
      <c r="G2203" s="18" t="s">
        <v>7217</v>
      </c>
      <c r="H2203" s="18" t="s">
        <v>171</v>
      </c>
      <c r="I2203" s="18"/>
      <c r="J2203" s="16">
        <v>2025</v>
      </c>
      <c r="K2203" s="18" t="s">
        <v>7218</v>
      </c>
      <c r="L2203" s="16">
        <v>9785002235919</v>
      </c>
      <c r="M2203" s="18" t="s">
        <v>7219</v>
      </c>
      <c r="N2203" s="16">
        <v>248</v>
      </c>
      <c r="O2203" s="19">
        <v>0.27</v>
      </c>
      <c r="P2203" s="16">
        <v>140</v>
      </c>
      <c r="Q2203" s="16">
        <v>210</v>
      </c>
      <c r="R2203" s="16">
        <v>16</v>
      </c>
      <c r="S2203" s="18" t="s">
        <v>90</v>
      </c>
      <c r="T2203" s="18"/>
      <c r="U2203" s="17">
        <v>2000</v>
      </c>
      <c r="V2203" s="18" t="s">
        <v>77</v>
      </c>
      <c r="W2203" s="18" t="s">
        <v>45</v>
      </c>
      <c r="X2203" s="16">
        <v>22</v>
      </c>
      <c r="Y2203" s="43" t="str">
        <f>HYPERLINK("","")</f>
      </c>
      <c r="Z2203" s="18"/>
      <c r="AS2203" s="1">
        <f>IF($A2203&lt;&gt;0,1,0)</f>
        <v>0</v>
      </c>
      <c r="AT2203" s="1">
        <f>$A2203*$B2203</f>
        <v>0</v>
      </c>
      <c r="AU2203" s="1">
        <f>$A2203*$O2203</f>
        <v>0</v>
      </c>
      <c r="AV2203" s="1">
        <f>IF($R2203=0,0,INT($A2203/$R2203))</f>
        <v>0</v>
      </c>
      <c r="AW2203" s="1">
        <f>$A2203-$AV2203*$R2203</f>
        <v>0</v>
      </c>
    </row>
    <row r="2204" ht="21.95" customHeight="1" outlineLevel="3" s="1" customFormat="1">
      <c r="A2204" s="15"/>
      <c r="B2204" s="16">
        <v>600</v>
      </c>
      <c r="C2204" s="16">
        <v>900</v>
      </c>
      <c r="D2204" s="16">
        <v>31911</v>
      </c>
      <c r="E2204" s="18"/>
      <c r="F2204" s="18" t="s">
        <v>7220</v>
      </c>
      <c r="G2204" s="18" t="s">
        <v>7221</v>
      </c>
      <c r="H2204" s="18" t="s">
        <v>171</v>
      </c>
      <c r="I2204" s="18"/>
      <c r="J2204" s="16">
        <v>2025</v>
      </c>
      <c r="K2204" s="18" t="s">
        <v>7222</v>
      </c>
      <c r="L2204" s="16">
        <v>9785002234424</v>
      </c>
      <c r="M2204" s="18" t="s">
        <v>7223</v>
      </c>
      <c r="N2204" s="16">
        <v>224</v>
      </c>
      <c r="O2204" s="19">
        <v>0.25</v>
      </c>
      <c r="P2204" s="16">
        <v>130</v>
      </c>
      <c r="Q2204" s="16">
        <v>210</v>
      </c>
      <c r="R2204" s="16">
        <v>16</v>
      </c>
      <c r="S2204" s="18" t="s">
        <v>90</v>
      </c>
      <c r="T2204" s="18"/>
      <c r="U2204" s="17">
        <v>1500</v>
      </c>
      <c r="V2204" s="18" t="s">
        <v>77</v>
      </c>
      <c r="W2204" s="18" t="s">
        <v>45</v>
      </c>
      <c r="X2204" s="16">
        <v>22</v>
      </c>
      <c r="Y2204" s="43" t="str">
        <f>HYPERLINK("","")</f>
      </c>
      <c r="Z2204" s="18"/>
      <c r="AS2204" s="1">
        <f>IF($A2204&lt;&gt;0,1,0)</f>
        <v>0</v>
      </c>
      <c r="AT2204" s="1">
        <f>$A2204*$B2204</f>
        <v>0</v>
      </c>
      <c r="AU2204" s="1">
        <f>$A2204*$O2204</f>
        <v>0</v>
      </c>
      <c r="AV2204" s="1">
        <f>IF($R2204=0,0,INT($A2204/$R2204))</f>
        <v>0</v>
      </c>
      <c r="AW2204" s="1">
        <f>$A2204-$AV2204*$R2204</f>
        <v>0</v>
      </c>
    </row>
    <row r="2205" ht="24.95" customHeight="1" outlineLevel="3" s="1" customFormat="1">
      <c r="A2205" s="15"/>
      <c r="B2205" s="16">
        <v>490</v>
      </c>
      <c r="C2205" s="16">
        <v>760</v>
      </c>
      <c r="D2205" s="16">
        <v>27971</v>
      </c>
      <c r="E2205" s="18"/>
      <c r="F2205" s="18" t="s">
        <v>7224</v>
      </c>
      <c r="G2205" s="18" t="s">
        <v>7225</v>
      </c>
      <c r="H2205" s="18" t="s">
        <v>171</v>
      </c>
      <c r="I2205" s="18"/>
      <c r="J2205" s="16">
        <v>2023</v>
      </c>
      <c r="K2205" s="18" t="s">
        <v>7226</v>
      </c>
      <c r="L2205" s="16">
        <v>9785001399810</v>
      </c>
      <c r="M2205" s="18" t="s">
        <v>7227</v>
      </c>
      <c r="N2205" s="16">
        <v>464</v>
      </c>
      <c r="O2205" s="19">
        <v>0.36</v>
      </c>
      <c r="P2205" s="16">
        <v>130</v>
      </c>
      <c r="Q2205" s="16">
        <v>200</v>
      </c>
      <c r="R2205" s="16">
        <v>12</v>
      </c>
      <c r="S2205" s="18" t="s">
        <v>90</v>
      </c>
      <c r="T2205" s="18"/>
      <c r="U2205" s="17">
        <v>2000</v>
      </c>
      <c r="V2205" s="18" t="s">
        <v>44</v>
      </c>
      <c r="W2205" s="18" t="s">
        <v>45</v>
      </c>
      <c r="X2205" s="16">
        <v>10</v>
      </c>
      <c r="Y2205" s="43" t="str">
        <f>HYPERLINK("https://api-enni.alpina.ru/FilePrivilegesApproval/305","https://api-enni.alpina.ru/FilePrivilegesApproval/305")</f>
        <v>https://api-enni.alpina.ru/FilePrivilegesApproval/305</v>
      </c>
      <c r="Z2205" s="18"/>
      <c r="AS2205" s="1">
        <f>IF($A2205&lt;&gt;0,1,0)</f>
        <v>0</v>
      </c>
      <c r="AT2205" s="1">
        <f>$A2205*$B2205</f>
        <v>0</v>
      </c>
      <c r="AU2205" s="1">
        <f>$A2205*$O2205</f>
        <v>0</v>
      </c>
      <c r="AV2205" s="1">
        <f>IF($R2205=0,0,INT($A2205/$R2205))</f>
        <v>0</v>
      </c>
      <c r="AW2205" s="1">
        <f>$A2205-$AV2205*$R2205</f>
        <v>0</v>
      </c>
    </row>
    <row r="2206" ht="24.95" customHeight="1" outlineLevel="3" s="1" customFormat="1">
      <c r="A2206" s="15"/>
      <c r="B2206" s="16">
        <v>890</v>
      </c>
      <c r="C2206" s="17">
        <v>1246</v>
      </c>
      <c r="D2206" s="16">
        <v>34022</v>
      </c>
      <c r="E2206" s="18"/>
      <c r="F2206" s="18" t="s">
        <v>412</v>
      </c>
      <c r="G2206" s="18" t="s">
        <v>7228</v>
      </c>
      <c r="H2206" s="18" t="s">
        <v>171</v>
      </c>
      <c r="I2206" s="18"/>
      <c r="J2206" s="16">
        <v>2025</v>
      </c>
      <c r="K2206" s="18" t="s">
        <v>7229</v>
      </c>
      <c r="L2206" s="16">
        <v>9785002236176</v>
      </c>
      <c r="M2206" s="18" t="s">
        <v>7230</v>
      </c>
      <c r="N2206" s="16">
        <v>346</v>
      </c>
      <c r="O2206" s="19">
        <v>0.4</v>
      </c>
      <c r="P2206" s="16">
        <v>150</v>
      </c>
      <c r="Q2206" s="16">
        <v>220</v>
      </c>
      <c r="R2206" s="16">
        <v>10</v>
      </c>
      <c r="S2206" s="18" t="s">
        <v>43</v>
      </c>
      <c r="T2206" s="18"/>
      <c r="U2206" s="17">
        <v>3000</v>
      </c>
      <c r="V2206" s="18" t="s">
        <v>77</v>
      </c>
      <c r="W2206" s="18" t="s">
        <v>69</v>
      </c>
      <c r="X2206" s="16">
        <v>10</v>
      </c>
      <c r="Y2206" s="43" t="str">
        <f>HYPERLINK("https://api-enni.alpina.ru/FilePrivilegesApproval/888","https://api-enni.alpina.ru/FilePrivilegesApproval/888")</f>
        <v>https://api-enni.alpina.ru/FilePrivilegesApproval/888</v>
      </c>
      <c r="Z2206" s="18"/>
      <c r="AS2206" s="1">
        <f>IF($A2206&lt;&gt;0,1,0)</f>
        <v>0</v>
      </c>
      <c r="AT2206" s="1">
        <f>$A2206*$B2206</f>
        <v>0</v>
      </c>
      <c r="AU2206" s="1">
        <f>$A2206*$O2206</f>
        <v>0</v>
      </c>
      <c r="AV2206" s="1">
        <f>IF($R2206=0,0,INT($A2206/$R2206))</f>
        <v>0</v>
      </c>
      <c r="AW2206" s="1">
        <f>$A2206-$AV2206*$R2206</f>
        <v>0</v>
      </c>
    </row>
    <row r="2207" ht="21.95" customHeight="1" outlineLevel="3" s="1" customFormat="1">
      <c r="A2207" s="15"/>
      <c r="B2207" s="16">
        <v>690</v>
      </c>
      <c r="C2207" s="17">
        <v>1035</v>
      </c>
      <c r="D2207" s="16">
        <v>31188</v>
      </c>
      <c r="E2207" s="18"/>
      <c r="F2207" s="18" t="s">
        <v>7231</v>
      </c>
      <c r="G2207" s="18" t="s">
        <v>7232</v>
      </c>
      <c r="H2207" s="18" t="s">
        <v>171</v>
      </c>
      <c r="I2207" s="18"/>
      <c r="J2207" s="16">
        <v>2025</v>
      </c>
      <c r="K2207" s="18" t="s">
        <v>7233</v>
      </c>
      <c r="L2207" s="16">
        <v>9785002233502</v>
      </c>
      <c r="M2207" s="18" t="s">
        <v>7234</v>
      </c>
      <c r="N2207" s="16">
        <v>298</v>
      </c>
      <c r="O2207" s="19">
        <v>0.31</v>
      </c>
      <c r="P2207" s="16">
        <v>140</v>
      </c>
      <c r="Q2207" s="16">
        <v>210</v>
      </c>
      <c r="R2207" s="16">
        <v>10</v>
      </c>
      <c r="S2207" s="18" t="s">
        <v>90</v>
      </c>
      <c r="T2207" s="18"/>
      <c r="U2207" s="17">
        <v>1500</v>
      </c>
      <c r="V2207" s="18" t="s">
        <v>77</v>
      </c>
      <c r="W2207" s="18" t="s">
        <v>45</v>
      </c>
      <c r="X2207" s="16">
        <v>22</v>
      </c>
      <c r="Y2207" s="43" t="str">
        <f>HYPERLINK("","")</f>
      </c>
      <c r="Z2207" s="18"/>
      <c r="AS2207" s="1">
        <f>IF($A2207&lt;&gt;0,1,0)</f>
        <v>0</v>
      </c>
      <c r="AT2207" s="1">
        <f>$A2207*$B2207</f>
        <v>0</v>
      </c>
      <c r="AU2207" s="1">
        <f>$A2207*$O2207</f>
        <v>0</v>
      </c>
      <c r="AV2207" s="1">
        <f>IF($R2207=0,0,INT($A2207/$R2207))</f>
        <v>0</v>
      </c>
      <c r="AW2207" s="1">
        <f>$A2207-$AV2207*$R2207</f>
        <v>0</v>
      </c>
    </row>
    <row r="2208" ht="24.95" customHeight="1" outlineLevel="3" s="1" customFormat="1">
      <c r="A2208" s="15"/>
      <c r="B2208" s="16">
        <v>490</v>
      </c>
      <c r="C2208" s="16">
        <v>760</v>
      </c>
      <c r="D2208" s="16">
        <v>24223</v>
      </c>
      <c r="E2208" s="18"/>
      <c r="F2208" s="18" t="s">
        <v>951</v>
      </c>
      <c r="G2208" s="18" t="s">
        <v>7235</v>
      </c>
      <c r="H2208" s="18" t="s">
        <v>171</v>
      </c>
      <c r="I2208" s="18"/>
      <c r="J2208" s="16">
        <v>2023</v>
      </c>
      <c r="K2208" s="18" t="s">
        <v>7236</v>
      </c>
      <c r="L2208" s="16">
        <v>9785001395676</v>
      </c>
      <c r="M2208" s="18" t="s">
        <v>7237</v>
      </c>
      <c r="N2208" s="16">
        <v>280</v>
      </c>
      <c r="O2208" s="19">
        <v>0.33</v>
      </c>
      <c r="P2208" s="16">
        <v>130</v>
      </c>
      <c r="Q2208" s="16">
        <v>210</v>
      </c>
      <c r="R2208" s="16">
        <v>14</v>
      </c>
      <c r="S2208" s="18" t="s">
        <v>90</v>
      </c>
      <c r="T2208" s="18"/>
      <c r="U2208" s="17">
        <v>3000</v>
      </c>
      <c r="V2208" s="18" t="s">
        <v>77</v>
      </c>
      <c r="W2208" s="18" t="s">
        <v>91</v>
      </c>
      <c r="X2208" s="16">
        <v>10</v>
      </c>
      <c r="Y2208" s="43" t="str">
        <f>HYPERLINK("https://api-enni.alpina.ru/FilePrivilegesApproval/147","https://api-enni.alpina.ru/FilePrivilegesApproval/147")</f>
        <v>https://api-enni.alpina.ru/FilePrivilegesApproval/147</v>
      </c>
      <c r="Z2208" s="18"/>
      <c r="AS2208" s="1">
        <f>IF($A2208&lt;&gt;0,1,0)</f>
        <v>0</v>
      </c>
      <c r="AT2208" s="1">
        <f>$A2208*$B2208</f>
        <v>0</v>
      </c>
      <c r="AU2208" s="1">
        <f>$A2208*$O2208</f>
        <v>0</v>
      </c>
      <c r="AV2208" s="1">
        <f>IF($R2208=0,0,INT($A2208/$R2208))</f>
        <v>0</v>
      </c>
      <c r="AW2208" s="1">
        <f>$A2208-$AV2208*$R2208</f>
        <v>0</v>
      </c>
    </row>
    <row r="2209" ht="24.95" customHeight="1" outlineLevel="3" s="1" customFormat="1">
      <c r="A2209" s="15"/>
      <c r="B2209" s="16">
        <v>390</v>
      </c>
      <c r="C2209" s="16">
        <v>624</v>
      </c>
      <c r="D2209" s="16">
        <v>28308</v>
      </c>
      <c r="E2209" s="18"/>
      <c r="F2209" s="18" t="s">
        <v>951</v>
      </c>
      <c r="G2209" s="18" t="s">
        <v>7238</v>
      </c>
      <c r="H2209" s="18" t="s">
        <v>171</v>
      </c>
      <c r="I2209" s="18"/>
      <c r="J2209" s="16">
        <v>2026</v>
      </c>
      <c r="K2209" s="18" t="s">
        <v>7239</v>
      </c>
      <c r="L2209" s="16">
        <v>9785002230082</v>
      </c>
      <c r="M2209" s="18" t="s">
        <v>7240</v>
      </c>
      <c r="N2209" s="16">
        <v>224</v>
      </c>
      <c r="O2209" s="19">
        <v>0.15</v>
      </c>
      <c r="P2209" s="16">
        <v>120</v>
      </c>
      <c r="Q2209" s="16">
        <v>170</v>
      </c>
      <c r="R2209" s="16">
        <v>8</v>
      </c>
      <c r="S2209" s="18" t="s">
        <v>190</v>
      </c>
      <c r="T2209" s="18" t="s">
        <v>6670</v>
      </c>
      <c r="U2209" s="17">
        <v>3000</v>
      </c>
      <c r="V2209" s="18" t="s">
        <v>44</v>
      </c>
      <c r="W2209" s="18" t="s">
        <v>91</v>
      </c>
      <c r="X2209" s="16">
        <v>10</v>
      </c>
      <c r="Y2209" s="43" t="str">
        <f>HYPERLINK("https://api-enni.alpina.ru/FilePrivilegesApproval/147","https://api-enni.alpina.ru/FilePrivilegesApproval/147")</f>
        <v>https://api-enni.alpina.ru/FilePrivilegesApproval/147</v>
      </c>
      <c r="Z2209" s="18"/>
      <c r="AS2209" s="1">
        <f>IF($A2209&lt;&gt;0,1,0)</f>
        <v>0</v>
      </c>
      <c r="AT2209" s="1">
        <f>$A2209*$B2209</f>
        <v>0</v>
      </c>
      <c r="AU2209" s="1">
        <f>$A2209*$O2209</f>
        <v>0</v>
      </c>
      <c r="AV2209" s="1">
        <f>IF($R2209=0,0,INT($A2209/$R2209))</f>
        <v>0</v>
      </c>
      <c r="AW2209" s="1">
        <f>$A2209-$AV2209*$R2209</f>
        <v>0</v>
      </c>
    </row>
    <row r="2210" ht="24.95" customHeight="1" outlineLevel="3" s="1" customFormat="1">
      <c r="A2210" s="15"/>
      <c r="B2210" s="17">
        <v>2690</v>
      </c>
      <c r="C2210" s="17">
        <v>3497</v>
      </c>
      <c r="D2210" s="16">
        <v>25362</v>
      </c>
      <c r="E2210" s="18"/>
      <c r="F2210" s="18" t="s">
        <v>412</v>
      </c>
      <c r="G2210" s="18" t="s">
        <v>7241</v>
      </c>
      <c r="H2210" s="18" t="s">
        <v>171</v>
      </c>
      <c r="I2210" s="18"/>
      <c r="J2210" s="16">
        <v>2026</v>
      </c>
      <c r="K2210" s="18" t="s">
        <v>7242</v>
      </c>
      <c r="L2210" s="16">
        <v>9785001397700</v>
      </c>
      <c r="M2210" s="18" t="s">
        <v>7243</v>
      </c>
      <c r="N2210" s="17">
        <v>1415</v>
      </c>
      <c r="O2210" s="19">
        <v>1.47</v>
      </c>
      <c r="P2210" s="16">
        <v>150</v>
      </c>
      <c r="Q2210" s="16">
        <v>220</v>
      </c>
      <c r="R2210" s="16">
        <v>4</v>
      </c>
      <c r="S2210" s="18" t="s">
        <v>43</v>
      </c>
      <c r="T2210" s="18"/>
      <c r="U2210" s="17">
        <v>2000</v>
      </c>
      <c r="V2210" s="18" t="s">
        <v>77</v>
      </c>
      <c r="W2210" s="18" t="s">
        <v>45</v>
      </c>
      <c r="X2210" s="16">
        <v>10</v>
      </c>
      <c r="Y2210" s="43" t="str">
        <f>HYPERLINK("https://api-enni.alpina.ru/FilePrivilegesApproval/179","https://api-enni.alpina.ru/FilePrivilegesApproval/179")</f>
        <v>https://api-enni.alpina.ru/FilePrivilegesApproval/179</v>
      </c>
      <c r="Z2210" s="18" t="s">
        <v>777</v>
      </c>
      <c r="AS2210" s="1">
        <f>IF($A2210&lt;&gt;0,1,0)</f>
        <v>0</v>
      </c>
      <c r="AT2210" s="1">
        <f>$A2210*$B2210</f>
        <v>0</v>
      </c>
      <c r="AU2210" s="1">
        <f>$A2210*$O2210</f>
        <v>0</v>
      </c>
      <c r="AV2210" s="1">
        <f>IF($R2210=0,0,INT($A2210/$R2210))</f>
        <v>0</v>
      </c>
      <c r="AW2210" s="1">
        <f>$A2210-$AV2210*$R2210</f>
        <v>0</v>
      </c>
    </row>
    <row r="2211" ht="24.95" customHeight="1" outlineLevel="3" s="1" customFormat="1">
      <c r="A2211" s="15"/>
      <c r="B2211" s="17">
        <v>1190</v>
      </c>
      <c r="C2211" s="17">
        <v>1607</v>
      </c>
      <c r="D2211" s="16">
        <v>29070</v>
      </c>
      <c r="E2211" s="18"/>
      <c r="F2211" s="18" t="s">
        <v>412</v>
      </c>
      <c r="G2211" s="18" t="s">
        <v>7244</v>
      </c>
      <c r="H2211" s="18" t="s">
        <v>171</v>
      </c>
      <c r="I2211" s="18"/>
      <c r="J2211" s="16">
        <v>2025</v>
      </c>
      <c r="K2211" s="18" t="s">
        <v>7245</v>
      </c>
      <c r="L2211" s="16">
        <v>9785002230976</v>
      </c>
      <c r="M2211" s="18" t="s">
        <v>7246</v>
      </c>
      <c r="N2211" s="17">
        <v>1728</v>
      </c>
      <c r="O2211" s="19">
        <v>1.02</v>
      </c>
      <c r="P2211" s="16">
        <v>120</v>
      </c>
      <c r="Q2211" s="16">
        <v>170</v>
      </c>
      <c r="R2211" s="16">
        <v>2</v>
      </c>
      <c r="S2211" s="18" t="s">
        <v>190</v>
      </c>
      <c r="T2211" s="18" t="s">
        <v>6670</v>
      </c>
      <c r="U2211" s="17">
        <v>4000</v>
      </c>
      <c r="V2211" s="18" t="s">
        <v>44</v>
      </c>
      <c r="W2211" s="18" t="s">
        <v>45</v>
      </c>
      <c r="X2211" s="16">
        <v>10</v>
      </c>
      <c r="Y2211" s="43" t="str">
        <f>HYPERLINK("https://api-enni.alpina.ru/FilePrivilegesApproval/179","https://api-enni.alpina.ru/FilePrivilegesApproval/179")</f>
        <v>https://api-enni.alpina.ru/FilePrivilegesApproval/179</v>
      </c>
      <c r="Z2211" s="18"/>
      <c r="AS2211" s="1">
        <f>IF($A2211&lt;&gt;0,1,0)</f>
        <v>0</v>
      </c>
      <c r="AT2211" s="1">
        <f>$A2211*$B2211</f>
        <v>0</v>
      </c>
      <c r="AU2211" s="1">
        <f>$A2211*$O2211</f>
        <v>0</v>
      </c>
      <c r="AV2211" s="1">
        <f>IF($R2211=0,0,INT($A2211/$R2211))</f>
        <v>0</v>
      </c>
      <c r="AW2211" s="1">
        <f>$A2211-$AV2211*$R2211</f>
        <v>0</v>
      </c>
    </row>
    <row r="2212" ht="21.95" customHeight="1" outlineLevel="3" s="1" customFormat="1">
      <c r="A2212" s="15"/>
      <c r="B2212" s="16">
        <v>740</v>
      </c>
      <c r="C2212" s="17">
        <v>1073</v>
      </c>
      <c r="D2212" s="16">
        <v>35796</v>
      </c>
      <c r="E2212" s="18"/>
      <c r="F2212" s="18" t="s">
        <v>382</v>
      </c>
      <c r="G2212" s="18" t="s">
        <v>383</v>
      </c>
      <c r="H2212" s="18" t="s">
        <v>171</v>
      </c>
      <c r="I2212" s="18"/>
      <c r="J2212" s="16">
        <v>2026</v>
      </c>
      <c r="K2212" s="18" t="s">
        <v>384</v>
      </c>
      <c r="L2212" s="16">
        <v>9785002237975</v>
      </c>
      <c r="M2212" s="18" t="s">
        <v>385</v>
      </c>
      <c r="N2212" s="16">
        <v>192</v>
      </c>
      <c r="O2212" s="19">
        <v>0.28</v>
      </c>
      <c r="P2212" s="16">
        <v>150</v>
      </c>
      <c r="Q2212" s="16">
        <v>220</v>
      </c>
      <c r="R2212" s="16">
        <v>16</v>
      </c>
      <c r="S2212" s="18" t="s">
        <v>43</v>
      </c>
      <c r="T2212" s="18"/>
      <c r="U2212" s="17">
        <v>2000</v>
      </c>
      <c r="V2212" s="18" t="s">
        <v>77</v>
      </c>
      <c r="W2212" s="18" t="s">
        <v>45</v>
      </c>
      <c r="X2212" s="16">
        <v>22</v>
      </c>
      <c r="Y2212" s="43" t="str">
        <f>HYPERLINK("","")</f>
      </c>
      <c r="Z2212" s="18" t="s">
        <v>108</v>
      </c>
      <c r="AS2212" s="1">
        <f>IF($A2212&lt;&gt;0,1,0)</f>
        <v>0</v>
      </c>
      <c r="AT2212" s="1">
        <f>$A2212*$B2212</f>
        <v>0</v>
      </c>
      <c r="AU2212" s="1">
        <f>$A2212*$O2212</f>
        <v>0</v>
      </c>
      <c r="AV2212" s="1">
        <f>IF($R2212=0,0,INT($A2212/$R2212))</f>
        <v>0</v>
      </c>
      <c r="AW2212" s="1">
        <f>$A2212-$AV2212*$R2212</f>
        <v>0</v>
      </c>
    </row>
    <row r="2213" ht="24.95" customHeight="1" outlineLevel="3" s="1" customFormat="1">
      <c r="A2213" s="15"/>
      <c r="B2213" s="16">
        <v>740</v>
      </c>
      <c r="C2213" s="17">
        <v>1073</v>
      </c>
      <c r="D2213" s="16">
        <v>24362</v>
      </c>
      <c r="E2213" s="18"/>
      <c r="F2213" s="18" t="s">
        <v>6882</v>
      </c>
      <c r="G2213" s="18" t="s">
        <v>7247</v>
      </c>
      <c r="H2213" s="18" t="s">
        <v>171</v>
      </c>
      <c r="I2213" s="18"/>
      <c r="J2213" s="16">
        <v>2022</v>
      </c>
      <c r="K2213" s="18" t="s">
        <v>7248</v>
      </c>
      <c r="L2213" s="16">
        <v>9785001395805</v>
      </c>
      <c r="M2213" s="18" t="s">
        <v>7249</v>
      </c>
      <c r="N2213" s="16">
        <v>432</v>
      </c>
      <c r="O2213" s="19">
        <v>0.5</v>
      </c>
      <c r="P2213" s="16">
        <v>146</v>
      </c>
      <c r="Q2213" s="16">
        <v>216</v>
      </c>
      <c r="R2213" s="16">
        <v>8</v>
      </c>
      <c r="S2213" s="18" t="s">
        <v>43</v>
      </c>
      <c r="T2213" s="18"/>
      <c r="U2213" s="17">
        <v>2500</v>
      </c>
      <c r="V2213" s="18" t="s">
        <v>77</v>
      </c>
      <c r="W2213" s="18" t="s">
        <v>45</v>
      </c>
      <c r="X2213" s="16">
        <v>10</v>
      </c>
      <c r="Y2213" s="43" t="str">
        <f>HYPERLINK("https://api-enni.alpina.ru/FilePrivilegesApproval/179","https://api-enni.alpina.ru/FilePrivilegesApproval/179")</f>
        <v>https://api-enni.alpina.ru/FilePrivilegesApproval/179</v>
      </c>
      <c r="Z2213" s="18"/>
      <c r="AS2213" s="1">
        <f>IF($A2213&lt;&gt;0,1,0)</f>
        <v>0</v>
      </c>
      <c r="AT2213" s="1">
        <f>$A2213*$B2213</f>
        <v>0</v>
      </c>
      <c r="AU2213" s="1">
        <f>$A2213*$O2213</f>
        <v>0</v>
      </c>
      <c r="AV2213" s="1">
        <f>IF($R2213=0,0,INT($A2213/$R2213))</f>
        <v>0</v>
      </c>
      <c r="AW2213" s="1">
        <f>$A2213-$AV2213*$R2213</f>
        <v>0</v>
      </c>
    </row>
    <row r="2214" ht="24.95" customHeight="1" outlineLevel="3" s="1" customFormat="1">
      <c r="A2214" s="15"/>
      <c r="B2214" s="16">
        <v>590</v>
      </c>
      <c r="C2214" s="16">
        <v>885</v>
      </c>
      <c r="D2214" s="16">
        <v>33852</v>
      </c>
      <c r="E2214" s="18"/>
      <c r="F2214" s="18" t="s">
        <v>7250</v>
      </c>
      <c r="G2214" s="18" t="s">
        <v>7251</v>
      </c>
      <c r="H2214" s="18" t="s">
        <v>171</v>
      </c>
      <c r="I2214" s="18"/>
      <c r="J2214" s="16">
        <v>2025</v>
      </c>
      <c r="K2214" s="18" t="s">
        <v>7252</v>
      </c>
      <c r="L2214" s="16">
        <v>9785002235964</v>
      </c>
      <c r="M2214" s="18" t="s">
        <v>7253</v>
      </c>
      <c r="N2214" s="16">
        <v>176</v>
      </c>
      <c r="O2214" s="19">
        <v>0.27</v>
      </c>
      <c r="P2214" s="16">
        <v>150</v>
      </c>
      <c r="Q2214" s="16">
        <v>230</v>
      </c>
      <c r="R2214" s="16">
        <v>20</v>
      </c>
      <c r="S2214" s="18" t="s">
        <v>123</v>
      </c>
      <c r="T2214" s="18"/>
      <c r="U2214" s="17">
        <v>3000</v>
      </c>
      <c r="V2214" s="18" t="s">
        <v>44</v>
      </c>
      <c r="W2214" s="18" t="s">
        <v>45</v>
      </c>
      <c r="X2214" s="16">
        <v>22</v>
      </c>
      <c r="Y2214" s="43" t="str">
        <f>HYPERLINK("","")</f>
      </c>
      <c r="Z2214" s="18"/>
      <c r="AS2214" s="1">
        <f>IF($A2214&lt;&gt;0,1,0)</f>
        <v>0</v>
      </c>
      <c r="AT2214" s="1">
        <f>$A2214*$B2214</f>
        <v>0</v>
      </c>
      <c r="AU2214" s="1">
        <f>$A2214*$O2214</f>
        <v>0</v>
      </c>
      <c r="AV2214" s="1">
        <f>IF($R2214=0,0,INT($A2214/$R2214))</f>
        <v>0</v>
      </c>
      <c r="AW2214" s="1">
        <f>$A2214-$AV2214*$R2214</f>
        <v>0</v>
      </c>
    </row>
    <row r="2215" ht="21.95" customHeight="1" outlineLevel="3" s="1" customFormat="1">
      <c r="A2215" s="15"/>
      <c r="B2215" s="16">
        <v>732</v>
      </c>
      <c r="C2215" s="17">
        <v>1061</v>
      </c>
      <c r="D2215" s="16">
        <v>28650</v>
      </c>
      <c r="E2215" s="18"/>
      <c r="F2215" s="18" t="s">
        <v>7254</v>
      </c>
      <c r="G2215" s="18" t="s">
        <v>7255</v>
      </c>
      <c r="H2215" s="18" t="s">
        <v>171</v>
      </c>
      <c r="I2215" s="18"/>
      <c r="J2215" s="16">
        <v>2024</v>
      </c>
      <c r="K2215" s="18" t="s">
        <v>7256</v>
      </c>
      <c r="L2215" s="16">
        <v>9785002230402</v>
      </c>
      <c r="M2215" s="18" t="s">
        <v>7257</v>
      </c>
      <c r="N2215" s="16">
        <v>432</v>
      </c>
      <c r="O2215" s="19">
        <v>0.46</v>
      </c>
      <c r="P2215" s="16">
        <v>150</v>
      </c>
      <c r="Q2215" s="16">
        <v>220</v>
      </c>
      <c r="R2215" s="16">
        <v>8</v>
      </c>
      <c r="S2215" s="18" t="s">
        <v>43</v>
      </c>
      <c r="T2215" s="18"/>
      <c r="U2215" s="17">
        <v>2000</v>
      </c>
      <c r="V2215" s="18" t="s">
        <v>77</v>
      </c>
      <c r="W2215" s="18" t="s">
        <v>45</v>
      </c>
      <c r="X2215" s="16">
        <v>22</v>
      </c>
      <c r="Y2215" s="43" t="str">
        <f>HYPERLINK("","")</f>
      </c>
      <c r="Z2215" s="18"/>
      <c r="AS2215" s="1">
        <f>IF($A2215&lt;&gt;0,1,0)</f>
        <v>0</v>
      </c>
      <c r="AT2215" s="1">
        <f>$A2215*$B2215</f>
        <v>0</v>
      </c>
      <c r="AU2215" s="1">
        <f>$A2215*$O2215</f>
        <v>0</v>
      </c>
      <c r="AV2215" s="1">
        <f>IF($R2215=0,0,INT($A2215/$R2215))</f>
        <v>0</v>
      </c>
      <c r="AW2215" s="1">
        <f>$A2215-$AV2215*$R2215</f>
        <v>0</v>
      </c>
    </row>
    <row r="2216" ht="24.95" customHeight="1" outlineLevel="3" s="1" customFormat="1">
      <c r="A2216" s="15"/>
      <c r="B2216" s="16">
        <v>340</v>
      </c>
      <c r="C2216" s="16">
        <v>544</v>
      </c>
      <c r="D2216" s="16">
        <v>28170</v>
      </c>
      <c r="E2216" s="18"/>
      <c r="F2216" s="18" t="s">
        <v>6713</v>
      </c>
      <c r="G2216" s="18" t="s">
        <v>7258</v>
      </c>
      <c r="H2216" s="18" t="s">
        <v>171</v>
      </c>
      <c r="I2216" s="18"/>
      <c r="J2216" s="16">
        <v>2024</v>
      </c>
      <c r="K2216" s="18" t="s">
        <v>7259</v>
      </c>
      <c r="L2216" s="16">
        <v>9785916713589</v>
      </c>
      <c r="M2216" s="18" t="s">
        <v>7260</v>
      </c>
      <c r="N2216" s="16">
        <v>384</v>
      </c>
      <c r="O2216" s="19">
        <v>0.24</v>
      </c>
      <c r="P2216" s="16">
        <v>120</v>
      </c>
      <c r="Q2216" s="16">
        <v>170</v>
      </c>
      <c r="R2216" s="16">
        <v>4</v>
      </c>
      <c r="S2216" s="18" t="s">
        <v>190</v>
      </c>
      <c r="T2216" s="18" t="s">
        <v>6717</v>
      </c>
      <c r="U2216" s="17">
        <v>4000</v>
      </c>
      <c r="V2216" s="18" t="s">
        <v>44</v>
      </c>
      <c r="W2216" s="18" t="s">
        <v>45</v>
      </c>
      <c r="X2216" s="16">
        <v>10</v>
      </c>
      <c r="Y2216" s="43" t="str">
        <f>HYPERLINK("https://api-enni.alpina.ru/FilePrivilegesApproval/364","https://api-enni.alpina.ru/FilePrivilegesApproval/364")</f>
        <v>https://api-enni.alpina.ru/FilePrivilegesApproval/364</v>
      </c>
      <c r="Z2216" s="18"/>
      <c r="AS2216" s="1">
        <f>IF($A2216&lt;&gt;0,1,0)</f>
        <v>0</v>
      </c>
      <c r="AT2216" s="1">
        <f>$A2216*$B2216</f>
        <v>0</v>
      </c>
      <c r="AU2216" s="1">
        <f>$A2216*$O2216</f>
        <v>0</v>
      </c>
      <c r="AV2216" s="1">
        <f>IF($R2216=0,0,INT($A2216/$R2216))</f>
        <v>0</v>
      </c>
      <c r="AW2216" s="1">
        <f>$A2216-$AV2216*$R2216</f>
        <v>0</v>
      </c>
    </row>
    <row r="2217" ht="21.95" customHeight="1" outlineLevel="3" s="1" customFormat="1">
      <c r="A2217" s="15"/>
      <c r="B2217" s="16">
        <v>640</v>
      </c>
      <c r="C2217" s="16">
        <v>960</v>
      </c>
      <c r="D2217" s="16">
        <v>28986</v>
      </c>
      <c r="E2217" s="18"/>
      <c r="F2217" s="18" t="s">
        <v>7006</v>
      </c>
      <c r="G2217" s="18" t="s">
        <v>7261</v>
      </c>
      <c r="H2217" s="18" t="s">
        <v>171</v>
      </c>
      <c r="I2217" s="18"/>
      <c r="J2217" s="16">
        <v>2024</v>
      </c>
      <c r="K2217" s="18" t="s">
        <v>7262</v>
      </c>
      <c r="L2217" s="16">
        <v>9785002231003</v>
      </c>
      <c r="M2217" s="18" t="s">
        <v>7263</v>
      </c>
      <c r="N2217" s="16">
        <v>304</v>
      </c>
      <c r="O2217" s="19">
        <v>0.23</v>
      </c>
      <c r="P2217" s="16">
        <v>130</v>
      </c>
      <c r="Q2217" s="16">
        <v>200</v>
      </c>
      <c r="R2217" s="16">
        <v>12</v>
      </c>
      <c r="S2217" s="18" t="s">
        <v>90</v>
      </c>
      <c r="T2217" s="18"/>
      <c r="U2217" s="17">
        <v>2000</v>
      </c>
      <c r="V2217" s="18" t="s">
        <v>44</v>
      </c>
      <c r="W2217" s="18" t="s">
        <v>45</v>
      </c>
      <c r="X2217" s="16">
        <v>22</v>
      </c>
      <c r="Y2217" s="43" t="str">
        <f>HYPERLINK("","")</f>
      </c>
      <c r="Z2217" s="18"/>
      <c r="AS2217" s="1">
        <f>IF($A2217&lt;&gt;0,1,0)</f>
        <v>0</v>
      </c>
      <c r="AT2217" s="1">
        <f>$A2217*$B2217</f>
        <v>0</v>
      </c>
      <c r="AU2217" s="1">
        <f>$A2217*$O2217</f>
        <v>0</v>
      </c>
      <c r="AV2217" s="1">
        <f>IF($R2217=0,0,INT($A2217/$R2217))</f>
        <v>0</v>
      </c>
      <c r="AW2217" s="1">
        <f>$A2217-$AV2217*$R2217</f>
        <v>0</v>
      </c>
    </row>
    <row r="2218" ht="24.95" customHeight="1" outlineLevel="3" s="1" customFormat="1">
      <c r="A2218" s="15"/>
      <c r="B2218" s="16">
        <v>690</v>
      </c>
      <c r="C2218" s="17">
        <v>1035</v>
      </c>
      <c r="D2218" s="16">
        <v>30404</v>
      </c>
      <c r="E2218" s="18"/>
      <c r="F2218" s="18" t="s">
        <v>6742</v>
      </c>
      <c r="G2218" s="18" t="s">
        <v>7264</v>
      </c>
      <c r="H2218" s="18" t="s">
        <v>171</v>
      </c>
      <c r="I2218" s="18"/>
      <c r="J2218" s="16">
        <v>2024</v>
      </c>
      <c r="K2218" s="18" t="s">
        <v>7265</v>
      </c>
      <c r="L2218" s="16">
        <v>9785002232529</v>
      </c>
      <c r="M2218" s="18" t="s">
        <v>7266</v>
      </c>
      <c r="N2218" s="16">
        <v>254</v>
      </c>
      <c r="O2218" s="19">
        <v>0.27</v>
      </c>
      <c r="P2218" s="16">
        <v>130</v>
      </c>
      <c r="Q2218" s="16">
        <v>210</v>
      </c>
      <c r="R2218" s="16">
        <v>14</v>
      </c>
      <c r="S2218" s="18" t="s">
        <v>90</v>
      </c>
      <c r="T2218" s="18"/>
      <c r="U2218" s="17">
        <v>2000</v>
      </c>
      <c r="V2218" s="18" t="s">
        <v>77</v>
      </c>
      <c r="W2218" s="18" t="s">
        <v>45</v>
      </c>
      <c r="X2218" s="16">
        <v>10</v>
      </c>
      <c r="Y2218" s="43" t="str">
        <f>HYPERLINK("https://api-enni.alpina.ru/FilePrivilegesApproval/575","https://api-enni.alpina.ru/FilePrivilegesApproval/575")</f>
        <v>https://api-enni.alpina.ru/FilePrivilegesApproval/575</v>
      </c>
      <c r="Z2218" s="18"/>
      <c r="AS2218" s="1">
        <f>IF($A2218&lt;&gt;0,1,0)</f>
        <v>0</v>
      </c>
      <c r="AT2218" s="1">
        <f>$A2218*$B2218</f>
        <v>0</v>
      </c>
      <c r="AU2218" s="1">
        <f>$A2218*$O2218</f>
        <v>0</v>
      </c>
      <c r="AV2218" s="1">
        <f>IF($R2218=0,0,INT($A2218/$R2218))</f>
        <v>0</v>
      </c>
      <c r="AW2218" s="1">
        <f>$A2218-$AV2218*$R2218</f>
        <v>0</v>
      </c>
    </row>
    <row r="2219" ht="21.95" customHeight="1" outlineLevel="3" s="1" customFormat="1">
      <c r="A2219" s="15"/>
      <c r="B2219" s="16">
        <v>640</v>
      </c>
      <c r="C2219" s="16">
        <v>960</v>
      </c>
      <c r="D2219" s="16">
        <v>34944</v>
      </c>
      <c r="E2219" s="18"/>
      <c r="F2219" s="18" t="s">
        <v>7267</v>
      </c>
      <c r="G2219" s="18" t="s">
        <v>7268</v>
      </c>
      <c r="H2219" s="18" t="s">
        <v>171</v>
      </c>
      <c r="I2219" s="18"/>
      <c r="J2219" s="16">
        <v>2026</v>
      </c>
      <c r="K2219" s="18" t="s">
        <v>7269</v>
      </c>
      <c r="L2219" s="16">
        <v>9785002237159</v>
      </c>
      <c r="M2219" s="18" t="s">
        <v>7270</v>
      </c>
      <c r="N2219" s="16">
        <v>358</v>
      </c>
      <c r="O2219" s="19">
        <v>0.47</v>
      </c>
      <c r="P2219" s="16">
        <v>130</v>
      </c>
      <c r="Q2219" s="16">
        <v>210</v>
      </c>
      <c r="R2219" s="16">
        <v>8</v>
      </c>
      <c r="S2219" s="18" t="s">
        <v>90</v>
      </c>
      <c r="T2219" s="18"/>
      <c r="U2219" s="17">
        <v>2000</v>
      </c>
      <c r="V2219" s="18" t="s">
        <v>77</v>
      </c>
      <c r="W2219" s="18" t="s">
        <v>45</v>
      </c>
      <c r="X2219" s="16">
        <v>22</v>
      </c>
      <c r="Y2219" s="43" t="str">
        <f>HYPERLINK("","")</f>
      </c>
      <c r="Z2219" s="18"/>
      <c r="AS2219" s="1">
        <f>IF($A2219&lt;&gt;0,1,0)</f>
        <v>0</v>
      </c>
      <c r="AT2219" s="1">
        <f>$A2219*$B2219</f>
        <v>0</v>
      </c>
      <c r="AU2219" s="1">
        <f>$A2219*$O2219</f>
        <v>0</v>
      </c>
      <c r="AV2219" s="1">
        <f>IF($R2219=0,0,INT($A2219/$R2219))</f>
        <v>0</v>
      </c>
      <c r="AW2219" s="1">
        <f>$A2219-$AV2219*$R2219</f>
        <v>0</v>
      </c>
    </row>
    <row r="2220" ht="21.95" customHeight="1" outlineLevel="3" s="1" customFormat="1">
      <c r="A2220" s="15"/>
      <c r="B2220" s="17">
        <v>1010</v>
      </c>
      <c r="C2220" s="17">
        <v>1364</v>
      </c>
      <c r="D2220" s="16">
        <v>24940</v>
      </c>
      <c r="E2220" s="18"/>
      <c r="F2220" s="18" t="s">
        <v>951</v>
      </c>
      <c r="G2220" s="18" t="s">
        <v>952</v>
      </c>
      <c r="H2220" s="18" t="s">
        <v>171</v>
      </c>
      <c r="I2220" s="18"/>
      <c r="J2220" s="16">
        <v>2026</v>
      </c>
      <c r="K2220" s="18" t="s">
        <v>953</v>
      </c>
      <c r="L2220" s="16">
        <v>9785001396222</v>
      </c>
      <c r="M2220" s="18" t="s">
        <v>954</v>
      </c>
      <c r="N2220" s="16">
        <v>440</v>
      </c>
      <c r="O2220" s="19">
        <v>0.6</v>
      </c>
      <c r="P2220" s="16">
        <v>150</v>
      </c>
      <c r="Q2220" s="16">
        <v>220</v>
      </c>
      <c r="R2220" s="16">
        <v>8</v>
      </c>
      <c r="S2220" s="18" t="s">
        <v>43</v>
      </c>
      <c r="T2220" s="18"/>
      <c r="U2220" s="17">
        <v>1000</v>
      </c>
      <c r="V2220" s="18" t="s">
        <v>77</v>
      </c>
      <c r="W2220" s="18" t="s">
        <v>45</v>
      </c>
      <c r="X2220" s="16">
        <v>22</v>
      </c>
      <c r="Y2220" s="43" t="str">
        <f>HYPERLINK("","")</f>
      </c>
      <c r="Z2220" s="18" t="s">
        <v>144</v>
      </c>
      <c r="AS2220" s="1">
        <f>IF($A2220&lt;&gt;0,1,0)</f>
        <v>0</v>
      </c>
      <c r="AT2220" s="1">
        <f>$A2220*$B2220</f>
        <v>0</v>
      </c>
      <c r="AU2220" s="1">
        <f>$A2220*$O2220</f>
        <v>0</v>
      </c>
      <c r="AV2220" s="1">
        <f>IF($R2220=0,0,INT($A2220/$R2220))</f>
        <v>0</v>
      </c>
      <c r="AW2220" s="1">
        <f>$A2220-$AV2220*$R2220</f>
        <v>0</v>
      </c>
    </row>
    <row r="2221" ht="21.95" customHeight="1" outlineLevel="3" s="1" customFormat="1">
      <c r="A2221" s="15"/>
      <c r="B2221" s="16">
        <v>346</v>
      </c>
      <c r="C2221" s="16">
        <v>554</v>
      </c>
      <c r="D2221" s="16">
        <v>28283</v>
      </c>
      <c r="E2221" s="18"/>
      <c r="F2221" s="18" t="s">
        <v>951</v>
      </c>
      <c r="G2221" s="18" t="s">
        <v>7271</v>
      </c>
      <c r="H2221" s="18" t="s">
        <v>171</v>
      </c>
      <c r="I2221" s="18"/>
      <c r="J2221" s="16">
        <v>2023</v>
      </c>
      <c r="K2221" s="18" t="s">
        <v>7272</v>
      </c>
      <c r="L2221" s="16">
        <v>9785002230006</v>
      </c>
      <c r="M2221" s="18" t="s">
        <v>7273</v>
      </c>
      <c r="N2221" s="16">
        <v>512</v>
      </c>
      <c r="O2221" s="19">
        <v>0.3</v>
      </c>
      <c r="P2221" s="16">
        <v>120</v>
      </c>
      <c r="Q2221" s="16">
        <v>170</v>
      </c>
      <c r="R2221" s="16">
        <v>6</v>
      </c>
      <c r="S2221" s="18" t="s">
        <v>190</v>
      </c>
      <c r="T2221" s="18" t="s">
        <v>6670</v>
      </c>
      <c r="U2221" s="17">
        <v>4000</v>
      </c>
      <c r="V2221" s="18" t="s">
        <v>44</v>
      </c>
      <c r="W2221" s="18" t="s">
        <v>45</v>
      </c>
      <c r="X2221" s="16">
        <v>22</v>
      </c>
      <c r="Y2221" s="43" t="str">
        <f>HYPERLINK("","")</f>
      </c>
      <c r="Z2221" s="18"/>
      <c r="AS2221" s="1">
        <f>IF($A2221&lt;&gt;0,1,0)</f>
        <v>0</v>
      </c>
      <c r="AT2221" s="1">
        <f>$A2221*$B2221</f>
        <v>0</v>
      </c>
      <c r="AU2221" s="1">
        <f>$A2221*$O2221</f>
        <v>0</v>
      </c>
      <c r="AV2221" s="1">
        <f>IF($R2221=0,0,INT($A2221/$R2221))</f>
        <v>0</v>
      </c>
      <c r="AW2221" s="1">
        <f>$A2221-$AV2221*$R2221</f>
        <v>0</v>
      </c>
    </row>
    <row r="2222" ht="24.95" customHeight="1" outlineLevel="3" s="1" customFormat="1">
      <c r="A2222" s="15"/>
      <c r="B2222" s="16">
        <v>790</v>
      </c>
      <c r="C2222" s="17">
        <v>1146</v>
      </c>
      <c r="D2222" s="16">
        <v>29555</v>
      </c>
      <c r="E2222" s="18"/>
      <c r="F2222" s="18" t="s">
        <v>203</v>
      </c>
      <c r="G2222" s="18" t="s">
        <v>7274</v>
      </c>
      <c r="H2222" s="18" t="s">
        <v>171</v>
      </c>
      <c r="I2222" s="18"/>
      <c r="J2222" s="16">
        <v>2024</v>
      </c>
      <c r="K2222" s="18" t="s">
        <v>7275</v>
      </c>
      <c r="L2222" s="16">
        <v>9785002231553</v>
      </c>
      <c r="M2222" s="18" t="s">
        <v>7276</v>
      </c>
      <c r="N2222" s="16">
        <v>484</v>
      </c>
      <c r="O2222" s="19">
        <v>0.7</v>
      </c>
      <c r="P2222" s="16">
        <v>150</v>
      </c>
      <c r="Q2222" s="16">
        <v>220</v>
      </c>
      <c r="R2222" s="16">
        <v>5</v>
      </c>
      <c r="S2222" s="18" t="s">
        <v>43</v>
      </c>
      <c r="T2222" s="18"/>
      <c r="U2222" s="17">
        <v>2500</v>
      </c>
      <c r="V2222" s="18" t="s">
        <v>77</v>
      </c>
      <c r="W2222" s="18" t="s">
        <v>45</v>
      </c>
      <c r="X2222" s="16">
        <v>10</v>
      </c>
      <c r="Y2222" s="43" t="str">
        <f>HYPERLINK("https://api-enni.alpina.ru/FilePrivilegesApproval/520","https://api-enni.alpina.ru/FilePrivilegesApproval/520")</f>
        <v>https://api-enni.alpina.ru/FilePrivilegesApproval/520</v>
      </c>
      <c r="Z2222" s="18"/>
      <c r="AS2222" s="1">
        <f>IF($A2222&lt;&gt;0,1,0)</f>
        <v>0</v>
      </c>
      <c r="AT2222" s="1">
        <f>$A2222*$B2222</f>
        <v>0</v>
      </c>
      <c r="AU2222" s="1">
        <f>$A2222*$O2222</f>
        <v>0</v>
      </c>
      <c r="AV2222" s="1">
        <f>IF($R2222=0,0,INT($A2222/$R2222))</f>
        <v>0</v>
      </c>
      <c r="AW2222" s="1">
        <f>$A2222-$AV2222*$R2222</f>
        <v>0</v>
      </c>
    </row>
    <row r="2223" ht="24.95" customHeight="1" outlineLevel="3" s="1" customFormat="1">
      <c r="A2223" s="15"/>
      <c r="B2223" s="16">
        <v>690</v>
      </c>
      <c r="C2223" s="17">
        <v>1035</v>
      </c>
      <c r="D2223" s="16">
        <v>32099</v>
      </c>
      <c r="E2223" s="18"/>
      <c r="F2223" s="18" t="s">
        <v>7277</v>
      </c>
      <c r="G2223" s="18" t="s">
        <v>7278</v>
      </c>
      <c r="H2223" s="18" t="s">
        <v>171</v>
      </c>
      <c r="I2223" s="18"/>
      <c r="J2223" s="16">
        <v>2025</v>
      </c>
      <c r="K2223" s="18" t="s">
        <v>7279</v>
      </c>
      <c r="L2223" s="16">
        <v>9785002234776</v>
      </c>
      <c r="M2223" s="18" t="s">
        <v>7280</v>
      </c>
      <c r="N2223" s="16">
        <v>284</v>
      </c>
      <c r="O2223" s="19">
        <v>0.29</v>
      </c>
      <c r="P2223" s="16">
        <v>140</v>
      </c>
      <c r="Q2223" s="16">
        <v>210</v>
      </c>
      <c r="R2223" s="16">
        <v>12</v>
      </c>
      <c r="S2223" s="18" t="s">
        <v>90</v>
      </c>
      <c r="T2223" s="18"/>
      <c r="U2223" s="17">
        <v>2000</v>
      </c>
      <c r="V2223" s="18" t="s">
        <v>77</v>
      </c>
      <c r="W2223" s="18" t="s">
        <v>45</v>
      </c>
      <c r="X2223" s="16">
        <v>10</v>
      </c>
      <c r="Y2223" s="43" t="str">
        <f>HYPERLINK("https://api-enni.alpina.ru/FilePrivilegesApproval/869","https://api-enni.alpina.ru/FilePrivilegesApproval/869")</f>
        <v>https://api-enni.alpina.ru/FilePrivilegesApproval/869</v>
      </c>
      <c r="Z2223" s="18"/>
      <c r="AS2223" s="1">
        <f>IF($A2223&lt;&gt;0,1,0)</f>
        <v>0</v>
      </c>
      <c r="AT2223" s="1">
        <f>$A2223*$B2223</f>
        <v>0</v>
      </c>
      <c r="AU2223" s="1">
        <f>$A2223*$O2223</f>
        <v>0</v>
      </c>
      <c r="AV2223" s="1">
        <f>IF($R2223=0,0,INT($A2223/$R2223))</f>
        <v>0</v>
      </c>
      <c r="AW2223" s="1">
        <f>$A2223-$AV2223*$R2223</f>
        <v>0</v>
      </c>
    </row>
    <row r="2224" ht="24.95" customHeight="1" outlineLevel="3" s="1" customFormat="1">
      <c r="A2224" s="15"/>
      <c r="B2224" s="16">
        <v>725</v>
      </c>
      <c r="C2224" s="17">
        <v>1051</v>
      </c>
      <c r="D2224" s="16">
        <v>36597</v>
      </c>
      <c r="E2224" s="18"/>
      <c r="F2224" s="18" t="s">
        <v>7281</v>
      </c>
      <c r="G2224" s="18" t="s">
        <v>7282</v>
      </c>
      <c r="H2224" s="18" t="s">
        <v>171</v>
      </c>
      <c r="I2224" s="18"/>
      <c r="J2224" s="16">
        <v>2026</v>
      </c>
      <c r="K2224" s="18" t="s">
        <v>7283</v>
      </c>
      <c r="L2224" s="16">
        <v>9785002238880</v>
      </c>
      <c r="M2224" s="18" t="s">
        <v>7284</v>
      </c>
      <c r="N2224" s="16">
        <v>256</v>
      </c>
      <c r="O2224" s="19">
        <v>0.2</v>
      </c>
      <c r="P2224" s="16">
        <v>130</v>
      </c>
      <c r="Q2224" s="16">
        <v>200</v>
      </c>
      <c r="R2224" s="16">
        <v>20</v>
      </c>
      <c r="S2224" s="18" t="s">
        <v>90</v>
      </c>
      <c r="T2224" s="18"/>
      <c r="U2224" s="17">
        <v>10000</v>
      </c>
      <c r="V2224" s="18" t="s">
        <v>44</v>
      </c>
      <c r="W2224" s="18" t="s">
        <v>69</v>
      </c>
      <c r="X2224" s="16">
        <v>10</v>
      </c>
      <c r="Y2224" s="43" t="str">
        <f>HYPERLINK("https://api-enni.alpina.ru/FilePrivilegesApproval/1173","https://api-enni.alpina.ru/FilePrivilegesApproval/1173")</f>
        <v>https://api-enni.alpina.ru/FilePrivilegesApproval/1173</v>
      </c>
      <c r="Z2224" s="18"/>
      <c r="AS2224" s="1">
        <f>IF($A2224&lt;&gt;0,1,0)</f>
        <v>0</v>
      </c>
      <c r="AT2224" s="1">
        <f>$A2224*$B2224</f>
        <v>0</v>
      </c>
      <c r="AU2224" s="1">
        <f>$A2224*$O2224</f>
        <v>0</v>
      </c>
      <c r="AV2224" s="1">
        <f>IF($R2224=0,0,INT($A2224/$R2224))</f>
        <v>0</v>
      </c>
      <c r="AW2224" s="1">
        <f>$A2224-$AV2224*$R2224</f>
        <v>0</v>
      </c>
    </row>
    <row r="2225" ht="21.95" customHeight="1" outlineLevel="3" s="1" customFormat="1">
      <c r="A2225" s="15"/>
      <c r="B2225" s="16">
        <v>740</v>
      </c>
      <c r="C2225" s="17">
        <v>1073</v>
      </c>
      <c r="D2225" s="16">
        <v>28072</v>
      </c>
      <c r="E2225" s="18"/>
      <c r="F2225" s="18" t="s">
        <v>7103</v>
      </c>
      <c r="G2225" s="18" t="s">
        <v>7285</v>
      </c>
      <c r="H2225" s="18" t="s">
        <v>171</v>
      </c>
      <c r="I2225" s="18"/>
      <c r="J2225" s="16">
        <v>2024</v>
      </c>
      <c r="K2225" s="18" t="s">
        <v>7286</v>
      </c>
      <c r="L2225" s="16">
        <v>9785001399919</v>
      </c>
      <c r="M2225" s="18" t="s">
        <v>7287</v>
      </c>
      <c r="N2225" s="16">
        <v>440</v>
      </c>
      <c r="O2225" s="19">
        <v>0.48</v>
      </c>
      <c r="P2225" s="16">
        <v>150</v>
      </c>
      <c r="Q2225" s="16">
        <v>220</v>
      </c>
      <c r="R2225" s="16">
        <v>8</v>
      </c>
      <c r="S2225" s="18" t="s">
        <v>43</v>
      </c>
      <c r="T2225" s="18"/>
      <c r="U2225" s="17">
        <v>2500</v>
      </c>
      <c r="V2225" s="18" t="s">
        <v>77</v>
      </c>
      <c r="W2225" s="18" t="s">
        <v>45</v>
      </c>
      <c r="X2225" s="16">
        <v>22</v>
      </c>
      <c r="Y2225" s="43" t="str">
        <f>HYPERLINK("","")</f>
      </c>
      <c r="Z2225" s="18"/>
      <c r="AS2225" s="1">
        <f>IF($A2225&lt;&gt;0,1,0)</f>
        <v>0</v>
      </c>
      <c r="AT2225" s="1">
        <f>$A2225*$B2225</f>
        <v>0</v>
      </c>
      <c r="AU2225" s="1">
        <f>$A2225*$O2225</f>
        <v>0</v>
      </c>
      <c r="AV2225" s="1">
        <f>IF($R2225=0,0,INT($A2225/$R2225))</f>
        <v>0</v>
      </c>
      <c r="AW2225" s="1">
        <f>$A2225-$AV2225*$R2225</f>
        <v>0</v>
      </c>
    </row>
    <row r="2226" ht="21.95" customHeight="1" outlineLevel="3" s="1" customFormat="1">
      <c r="A2226" s="15"/>
      <c r="B2226" s="16">
        <v>905</v>
      </c>
      <c r="C2226" s="17">
        <v>1267</v>
      </c>
      <c r="D2226" s="16">
        <v>35473</v>
      </c>
      <c r="E2226" s="18"/>
      <c r="F2226" s="18" t="s">
        <v>6241</v>
      </c>
      <c r="G2226" s="18" t="s">
        <v>7288</v>
      </c>
      <c r="H2226" s="18" t="s">
        <v>171</v>
      </c>
      <c r="I2226" s="18"/>
      <c r="J2226" s="16">
        <v>2026</v>
      </c>
      <c r="K2226" s="18" t="s">
        <v>7289</v>
      </c>
      <c r="L2226" s="16">
        <v>9785002237869</v>
      </c>
      <c r="M2226" s="18" t="s">
        <v>7290</v>
      </c>
      <c r="N2226" s="16">
        <v>526</v>
      </c>
      <c r="O2226" s="19">
        <v>0.49</v>
      </c>
      <c r="P2226" s="16">
        <v>140</v>
      </c>
      <c r="Q2226" s="16">
        <v>210</v>
      </c>
      <c r="R2226" s="16">
        <v>6</v>
      </c>
      <c r="S2226" s="18" t="s">
        <v>43</v>
      </c>
      <c r="T2226" s="18"/>
      <c r="U2226" s="17">
        <v>2000</v>
      </c>
      <c r="V2226" s="18" t="s">
        <v>44</v>
      </c>
      <c r="W2226" s="18" t="s">
        <v>45</v>
      </c>
      <c r="X2226" s="16">
        <v>22</v>
      </c>
      <c r="Y2226" s="43" t="str">
        <f>HYPERLINK("","")</f>
      </c>
      <c r="Z2226" s="18"/>
      <c r="AS2226" s="1">
        <f>IF($A2226&lt;&gt;0,1,0)</f>
        <v>0</v>
      </c>
      <c r="AT2226" s="1">
        <f>$A2226*$B2226</f>
        <v>0</v>
      </c>
      <c r="AU2226" s="1">
        <f>$A2226*$O2226</f>
        <v>0</v>
      </c>
      <c r="AV2226" s="1">
        <f>IF($R2226=0,0,INT($A2226/$R2226))</f>
        <v>0</v>
      </c>
      <c r="AW2226" s="1">
        <f>$A2226-$AV2226*$R2226</f>
        <v>0</v>
      </c>
    </row>
    <row r="2227" ht="24.95" customHeight="1" outlineLevel="3" s="1" customFormat="1">
      <c r="A2227" s="15"/>
      <c r="B2227" s="16">
        <v>540</v>
      </c>
      <c r="C2227" s="16">
        <v>837</v>
      </c>
      <c r="D2227" s="16">
        <v>24236</v>
      </c>
      <c r="E2227" s="18"/>
      <c r="F2227" s="18" t="s">
        <v>6926</v>
      </c>
      <c r="G2227" s="18" t="s">
        <v>7291</v>
      </c>
      <c r="H2227" s="18" t="s">
        <v>171</v>
      </c>
      <c r="I2227" s="18"/>
      <c r="J2227" s="16">
        <v>2022</v>
      </c>
      <c r="K2227" s="18" t="s">
        <v>7292</v>
      </c>
      <c r="L2227" s="16">
        <v>9785001395690</v>
      </c>
      <c r="M2227" s="18" t="s">
        <v>7293</v>
      </c>
      <c r="N2227" s="16">
        <v>244</v>
      </c>
      <c r="O2227" s="19">
        <v>0.3</v>
      </c>
      <c r="P2227" s="16">
        <v>130</v>
      </c>
      <c r="Q2227" s="16">
        <v>206</v>
      </c>
      <c r="R2227" s="16">
        <v>16</v>
      </c>
      <c r="S2227" s="18" t="s">
        <v>90</v>
      </c>
      <c r="T2227" s="18"/>
      <c r="U2227" s="17">
        <v>5000</v>
      </c>
      <c r="V2227" s="18" t="s">
        <v>77</v>
      </c>
      <c r="W2227" s="18" t="s">
        <v>69</v>
      </c>
      <c r="X2227" s="16">
        <v>10</v>
      </c>
      <c r="Y2227" s="43" t="str">
        <f>HYPERLINK("https://api-enni.alpina.ru/FilePrivilegesApproval/127","https://api-enni.alpina.ru/FilePrivilegesApproval/127")</f>
        <v>https://api-enni.alpina.ru/FilePrivilegesApproval/127</v>
      </c>
      <c r="Z2227" s="18"/>
      <c r="AS2227" s="1">
        <f>IF($A2227&lt;&gt;0,1,0)</f>
        <v>0</v>
      </c>
      <c r="AT2227" s="1">
        <f>$A2227*$B2227</f>
        <v>0</v>
      </c>
      <c r="AU2227" s="1">
        <f>$A2227*$O2227</f>
        <v>0</v>
      </c>
      <c r="AV2227" s="1">
        <f>IF($R2227=0,0,INT($A2227/$R2227))</f>
        <v>0</v>
      </c>
      <c r="AW2227" s="1">
        <f>$A2227-$AV2227*$R2227</f>
        <v>0</v>
      </c>
    </row>
    <row r="2228" ht="24.95" customHeight="1" outlineLevel="3" s="1" customFormat="1">
      <c r="A2228" s="15"/>
      <c r="B2228" s="16">
        <v>290</v>
      </c>
      <c r="C2228" s="16">
        <v>464</v>
      </c>
      <c r="D2228" s="16">
        <v>27389</v>
      </c>
      <c r="E2228" s="18"/>
      <c r="F2228" s="18" t="s">
        <v>6926</v>
      </c>
      <c r="G2228" s="18" t="s">
        <v>7294</v>
      </c>
      <c r="H2228" s="18" t="s">
        <v>171</v>
      </c>
      <c r="I2228" s="18"/>
      <c r="J2228" s="16">
        <v>2023</v>
      </c>
      <c r="K2228" s="18" t="s">
        <v>7295</v>
      </c>
      <c r="L2228" s="16">
        <v>9785001399285</v>
      </c>
      <c r="M2228" s="18" t="s">
        <v>7296</v>
      </c>
      <c r="N2228" s="16">
        <v>288</v>
      </c>
      <c r="O2228" s="19">
        <v>0.2</v>
      </c>
      <c r="P2228" s="16">
        <v>120</v>
      </c>
      <c r="Q2228" s="16">
        <v>170</v>
      </c>
      <c r="R2228" s="16">
        <v>8</v>
      </c>
      <c r="S2228" s="18" t="s">
        <v>190</v>
      </c>
      <c r="T2228" s="18" t="s">
        <v>6670</v>
      </c>
      <c r="U2228" s="17">
        <v>4000</v>
      </c>
      <c r="V2228" s="18" t="s">
        <v>44</v>
      </c>
      <c r="W2228" s="18" t="s">
        <v>69</v>
      </c>
      <c r="X2228" s="16">
        <v>10</v>
      </c>
      <c r="Y2228" s="43" t="str">
        <f>HYPERLINK("https://api-enni.alpina.ru/FilePrivilegesApproval/127","https://api-enni.alpina.ru/FilePrivilegesApproval/127")</f>
        <v>https://api-enni.alpina.ru/FilePrivilegesApproval/127</v>
      </c>
      <c r="Z2228" s="18"/>
      <c r="AS2228" s="1">
        <f>IF($A2228&lt;&gt;0,1,0)</f>
        <v>0</v>
      </c>
      <c r="AT2228" s="1">
        <f>$A2228*$B2228</f>
        <v>0</v>
      </c>
      <c r="AU2228" s="1">
        <f>$A2228*$O2228</f>
        <v>0</v>
      </c>
      <c r="AV2228" s="1">
        <f>IF($R2228=0,0,INT($A2228/$R2228))</f>
        <v>0</v>
      </c>
      <c r="AW2228" s="1">
        <f>$A2228-$AV2228*$R2228</f>
        <v>0</v>
      </c>
    </row>
    <row r="2229" ht="21.95" customHeight="1" outlineLevel="3" s="1" customFormat="1">
      <c r="A2229" s="15"/>
      <c r="B2229" s="16">
        <v>690</v>
      </c>
      <c r="C2229" s="17">
        <v>1035</v>
      </c>
      <c r="D2229" s="16">
        <v>35737</v>
      </c>
      <c r="E2229" s="18"/>
      <c r="F2229" s="18" t="s">
        <v>4374</v>
      </c>
      <c r="G2229" s="18" t="s">
        <v>7297</v>
      </c>
      <c r="H2229" s="18" t="s">
        <v>171</v>
      </c>
      <c r="I2229" s="18"/>
      <c r="J2229" s="16">
        <v>2026</v>
      </c>
      <c r="K2229" s="18" t="s">
        <v>7298</v>
      </c>
      <c r="L2229" s="16">
        <v>9785002237920</v>
      </c>
      <c r="M2229" s="18" t="s">
        <v>7299</v>
      </c>
      <c r="N2229" s="16">
        <v>240</v>
      </c>
      <c r="O2229" s="19">
        <v>0.28</v>
      </c>
      <c r="P2229" s="16">
        <v>140</v>
      </c>
      <c r="Q2229" s="16">
        <v>210</v>
      </c>
      <c r="R2229" s="16">
        <v>16</v>
      </c>
      <c r="S2229" s="18" t="s">
        <v>90</v>
      </c>
      <c r="T2229" s="18"/>
      <c r="U2229" s="17">
        <v>1500</v>
      </c>
      <c r="V2229" s="18" t="s">
        <v>77</v>
      </c>
      <c r="W2229" s="18" t="s">
        <v>45</v>
      </c>
      <c r="X2229" s="16">
        <v>22</v>
      </c>
      <c r="Y2229" s="43" t="str">
        <f>HYPERLINK("","")</f>
      </c>
      <c r="Z2229" s="18" t="s">
        <v>777</v>
      </c>
      <c r="AS2229" s="1">
        <f>IF($A2229&lt;&gt;0,1,0)</f>
        <v>0</v>
      </c>
      <c r="AT2229" s="1">
        <f>$A2229*$B2229</f>
        <v>0</v>
      </c>
      <c r="AU2229" s="1">
        <f>$A2229*$O2229</f>
        <v>0</v>
      </c>
      <c r="AV2229" s="1">
        <f>IF($R2229=0,0,INT($A2229/$R2229))</f>
        <v>0</v>
      </c>
      <c r="AW2229" s="1">
        <f>$A2229-$AV2229*$R2229</f>
        <v>0</v>
      </c>
    </row>
    <row r="2230" ht="24.95" customHeight="1" outlineLevel="3" s="1" customFormat="1">
      <c r="A2230" s="15"/>
      <c r="B2230" s="16">
        <v>640</v>
      </c>
      <c r="C2230" s="16">
        <v>960</v>
      </c>
      <c r="D2230" s="16">
        <v>31565</v>
      </c>
      <c r="E2230" s="18"/>
      <c r="F2230" s="18" t="s">
        <v>7107</v>
      </c>
      <c r="G2230" s="18" t="s">
        <v>7300</v>
      </c>
      <c r="H2230" s="18" t="s">
        <v>171</v>
      </c>
      <c r="I2230" s="18"/>
      <c r="J2230" s="16">
        <v>2025</v>
      </c>
      <c r="K2230" s="18" t="s">
        <v>7301</v>
      </c>
      <c r="L2230" s="16">
        <v>9785002233977</v>
      </c>
      <c r="M2230" s="18" t="s">
        <v>7302</v>
      </c>
      <c r="N2230" s="16">
        <v>208</v>
      </c>
      <c r="O2230" s="19">
        <v>0.23</v>
      </c>
      <c r="P2230" s="16">
        <v>130</v>
      </c>
      <c r="Q2230" s="16">
        <v>210</v>
      </c>
      <c r="R2230" s="16">
        <v>14</v>
      </c>
      <c r="S2230" s="18" t="s">
        <v>90</v>
      </c>
      <c r="T2230" s="18"/>
      <c r="U2230" s="17">
        <v>2000</v>
      </c>
      <c r="V2230" s="18" t="s">
        <v>77</v>
      </c>
      <c r="W2230" s="18" t="s">
        <v>69</v>
      </c>
      <c r="X2230" s="16">
        <v>10</v>
      </c>
      <c r="Y2230" s="43" t="str">
        <f>HYPERLINK("https://api-enni.alpina.ru/FilePrivilegesApproval/741","https://api-enni.alpina.ru/FilePrivilegesApproval/741")</f>
        <v>https://api-enni.alpina.ru/FilePrivilegesApproval/741</v>
      </c>
      <c r="Z2230" s="18"/>
      <c r="AS2230" s="1">
        <f>IF($A2230&lt;&gt;0,1,0)</f>
        <v>0</v>
      </c>
      <c r="AT2230" s="1">
        <f>$A2230*$B2230</f>
        <v>0</v>
      </c>
      <c r="AU2230" s="1">
        <f>$A2230*$O2230</f>
        <v>0</v>
      </c>
      <c r="AV2230" s="1">
        <f>IF($R2230=0,0,INT($A2230/$R2230))</f>
        <v>0</v>
      </c>
      <c r="AW2230" s="1">
        <f>$A2230-$AV2230*$R2230</f>
        <v>0</v>
      </c>
    </row>
    <row r="2231" ht="21.95" customHeight="1" outlineLevel="3" s="1" customFormat="1">
      <c r="A2231" s="15"/>
      <c r="B2231" s="16">
        <v>690</v>
      </c>
      <c r="C2231" s="17">
        <v>1035</v>
      </c>
      <c r="D2231" s="16">
        <v>31215</v>
      </c>
      <c r="E2231" s="18"/>
      <c r="F2231" s="18" t="s">
        <v>6768</v>
      </c>
      <c r="G2231" s="18" t="s">
        <v>7303</v>
      </c>
      <c r="H2231" s="18" t="s">
        <v>171</v>
      </c>
      <c r="I2231" s="18"/>
      <c r="J2231" s="16">
        <v>2024</v>
      </c>
      <c r="K2231" s="18" t="s">
        <v>7304</v>
      </c>
      <c r="L2231" s="16">
        <v>9785002233540</v>
      </c>
      <c r="M2231" s="18" t="s">
        <v>7305</v>
      </c>
      <c r="N2231" s="16">
        <v>280</v>
      </c>
      <c r="O2231" s="19">
        <v>0.29</v>
      </c>
      <c r="P2231" s="16">
        <v>130</v>
      </c>
      <c r="Q2231" s="16">
        <v>210</v>
      </c>
      <c r="R2231" s="16">
        <v>12</v>
      </c>
      <c r="S2231" s="18" t="s">
        <v>90</v>
      </c>
      <c r="T2231" s="18"/>
      <c r="U2231" s="17">
        <v>2000</v>
      </c>
      <c r="V2231" s="18" t="s">
        <v>77</v>
      </c>
      <c r="W2231" s="18" t="s">
        <v>45</v>
      </c>
      <c r="X2231" s="16">
        <v>22</v>
      </c>
      <c r="Y2231" s="43" t="str">
        <f>HYPERLINK("","")</f>
      </c>
      <c r="Z2231" s="18"/>
      <c r="AS2231" s="1">
        <f>IF($A2231&lt;&gt;0,1,0)</f>
        <v>0</v>
      </c>
      <c r="AT2231" s="1">
        <f>$A2231*$B2231</f>
        <v>0</v>
      </c>
      <c r="AU2231" s="1">
        <f>$A2231*$O2231</f>
        <v>0</v>
      </c>
      <c r="AV2231" s="1">
        <f>IF($R2231=0,0,INT($A2231/$R2231))</f>
        <v>0</v>
      </c>
      <c r="AW2231" s="1">
        <f>$A2231-$AV2231*$R2231</f>
        <v>0</v>
      </c>
    </row>
    <row r="2232" ht="24.95" customHeight="1" outlineLevel="3" s="1" customFormat="1">
      <c r="A2232" s="15"/>
      <c r="B2232" s="16">
        <v>790</v>
      </c>
      <c r="C2232" s="17">
        <v>1146</v>
      </c>
      <c r="D2232" s="16">
        <v>23629</v>
      </c>
      <c r="E2232" s="18"/>
      <c r="F2232" s="18" t="s">
        <v>6703</v>
      </c>
      <c r="G2232" s="18" t="s">
        <v>7306</v>
      </c>
      <c r="H2232" s="18" t="s">
        <v>171</v>
      </c>
      <c r="I2232" s="18"/>
      <c r="J2232" s="16">
        <v>2026</v>
      </c>
      <c r="K2232" s="18" t="s">
        <v>7307</v>
      </c>
      <c r="L2232" s="16">
        <v>9785001395195</v>
      </c>
      <c r="M2232" s="18" t="s">
        <v>7308</v>
      </c>
      <c r="N2232" s="16">
        <v>280</v>
      </c>
      <c r="O2232" s="19">
        <v>0.33</v>
      </c>
      <c r="P2232" s="16">
        <v>140</v>
      </c>
      <c r="Q2232" s="16">
        <v>210</v>
      </c>
      <c r="R2232" s="16">
        <v>14</v>
      </c>
      <c r="S2232" s="18" t="s">
        <v>90</v>
      </c>
      <c r="T2232" s="18"/>
      <c r="U2232" s="17">
        <v>2000</v>
      </c>
      <c r="V2232" s="18" t="s">
        <v>77</v>
      </c>
      <c r="W2232" s="18" t="s">
        <v>45</v>
      </c>
      <c r="X2232" s="16">
        <v>10</v>
      </c>
      <c r="Y2232" s="43" t="str">
        <f>HYPERLINK("https://api-enni.alpina.ru/FilePrivilegesApproval/146","https://api-enni.alpina.ru/FilePrivilegesApproval/146")</f>
        <v>https://api-enni.alpina.ru/FilePrivilegesApproval/146</v>
      </c>
      <c r="Z2232" s="18"/>
      <c r="AS2232" s="1">
        <f>IF($A2232&lt;&gt;0,1,0)</f>
        <v>0</v>
      </c>
      <c r="AT2232" s="1">
        <f>$A2232*$B2232</f>
        <v>0</v>
      </c>
      <c r="AU2232" s="1">
        <f>$A2232*$O2232</f>
        <v>0</v>
      </c>
      <c r="AV2232" s="1">
        <f>IF($R2232=0,0,INT($A2232/$R2232))</f>
        <v>0</v>
      </c>
      <c r="AW2232" s="1">
        <f>$A2232-$AV2232*$R2232</f>
        <v>0</v>
      </c>
    </row>
    <row r="2233" ht="24.95" customHeight="1" outlineLevel="3" s="1" customFormat="1">
      <c r="A2233" s="15"/>
      <c r="B2233" s="16">
        <v>440</v>
      </c>
      <c r="C2233" s="16">
        <v>682</v>
      </c>
      <c r="D2233" s="16">
        <v>27391</v>
      </c>
      <c r="E2233" s="18"/>
      <c r="F2233" s="18" t="s">
        <v>6703</v>
      </c>
      <c r="G2233" s="18" t="s">
        <v>7309</v>
      </c>
      <c r="H2233" s="18" t="s">
        <v>171</v>
      </c>
      <c r="I2233" s="18"/>
      <c r="J2233" s="16">
        <v>2026</v>
      </c>
      <c r="K2233" s="18" t="s">
        <v>7310</v>
      </c>
      <c r="L2233" s="16">
        <v>9785001399292</v>
      </c>
      <c r="M2233" s="18" t="s">
        <v>7311</v>
      </c>
      <c r="N2233" s="16">
        <v>256</v>
      </c>
      <c r="O2233" s="19">
        <v>0.17</v>
      </c>
      <c r="P2233" s="16">
        <v>120</v>
      </c>
      <c r="Q2233" s="16">
        <v>170</v>
      </c>
      <c r="R2233" s="16">
        <v>16</v>
      </c>
      <c r="S2233" s="18" t="s">
        <v>190</v>
      </c>
      <c r="T2233" s="18" t="s">
        <v>6670</v>
      </c>
      <c r="U2233" s="17">
        <v>3000</v>
      </c>
      <c r="V2233" s="18" t="s">
        <v>44</v>
      </c>
      <c r="W2233" s="18" t="s">
        <v>45</v>
      </c>
      <c r="X2233" s="16">
        <v>10</v>
      </c>
      <c r="Y2233" s="43" t="str">
        <f>HYPERLINK("https://api-enni.alpina.ru/FilePrivilegesApproval/150","https://api-enni.alpina.ru/FilePrivilegesApproval/150")</f>
        <v>https://api-enni.alpina.ru/FilePrivilegesApproval/150</v>
      </c>
      <c r="Z2233" s="18" t="s">
        <v>835</v>
      </c>
      <c r="AS2233" s="1">
        <f>IF($A2233&lt;&gt;0,1,0)</f>
        <v>0</v>
      </c>
      <c r="AT2233" s="1">
        <f>$A2233*$B2233</f>
        <v>0</v>
      </c>
      <c r="AU2233" s="1">
        <f>$A2233*$O2233</f>
        <v>0</v>
      </c>
      <c r="AV2233" s="1">
        <f>IF($R2233=0,0,INT($A2233/$R2233))</f>
        <v>0</v>
      </c>
      <c r="AW2233" s="1">
        <f>$A2233-$AV2233*$R2233</f>
        <v>0</v>
      </c>
    </row>
    <row r="2234" ht="24.95" customHeight="1" outlineLevel="3" s="1" customFormat="1">
      <c r="A2234" s="15"/>
      <c r="B2234" s="16">
        <v>440</v>
      </c>
      <c r="C2234" s="16">
        <v>682</v>
      </c>
      <c r="D2234" s="16">
        <v>26572</v>
      </c>
      <c r="E2234" s="18"/>
      <c r="F2234" s="18" t="s">
        <v>7312</v>
      </c>
      <c r="G2234" s="18" t="s">
        <v>7313</v>
      </c>
      <c r="H2234" s="18" t="s">
        <v>171</v>
      </c>
      <c r="I2234" s="18"/>
      <c r="J2234" s="16">
        <v>2023</v>
      </c>
      <c r="K2234" s="18" t="s">
        <v>7314</v>
      </c>
      <c r="L2234" s="16">
        <v>9785001397915</v>
      </c>
      <c r="M2234" s="18" t="s">
        <v>7315</v>
      </c>
      <c r="N2234" s="16">
        <v>176</v>
      </c>
      <c r="O2234" s="19">
        <v>0.15</v>
      </c>
      <c r="P2234" s="16">
        <v>130</v>
      </c>
      <c r="Q2234" s="16">
        <v>200</v>
      </c>
      <c r="R2234" s="16">
        <v>20</v>
      </c>
      <c r="S2234" s="18" t="s">
        <v>90</v>
      </c>
      <c r="T2234" s="18"/>
      <c r="U2234" s="17">
        <v>1500</v>
      </c>
      <c r="V2234" s="18" t="s">
        <v>44</v>
      </c>
      <c r="W2234" s="18" t="s">
        <v>45</v>
      </c>
      <c r="X2234" s="16">
        <v>10</v>
      </c>
      <c r="Y2234" s="43" t="str">
        <f>HYPERLINK("https://api-enni.alpina.ru/FilePrivilegesApproval/171","https://api-enni.alpina.ru/FilePrivilegesApproval/171")</f>
        <v>https://api-enni.alpina.ru/FilePrivilegesApproval/171</v>
      </c>
      <c r="Z2234" s="18"/>
      <c r="AS2234" s="1">
        <f>IF($A2234&lt;&gt;0,1,0)</f>
        <v>0</v>
      </c>
      <c r="AT2234" s="1">
        <f>$A2234*$B2234</f>
        <v>0</v>
      </c>
      <c r="AU2234" s="1">
        <f>$A2234*$O2234</f>
        <v>0</v>
      </c>
      <c r="AV2234" s="1">
        <f>IF($R2234=0,0,INT($A2234/$R2234))</f>
        <v>0</v>
      </c>
      <c r="AW2234" s="1">
        <f>$A2234-$AV2234*$R2234</f>
        <v>0</v>
      </c>
    </row>
    <row r="2235" ht="24.95" customHeight="1" outlineLevel="3" s="1" customFormat="1">
      <c r="A2235" s="15"/>
      <c r="B2235" s="16">
        <v>725</v>
      </c>
      <c r="C2235" s="17">
        <v>1051</v>
      </c>
      <c r="D2235" s="16">
        <v>36082</v>
      </c>
      <c r="E2235" s="18"/>
      <c r="F2235" s="18" t="s">
        <v>6757</v>
      </c>
      <c r="G2235" s="18" t="s">
        <v>7316</v>
      </c>
      <c r="H2235" s="18" t="s">
        <v>171</v>
      </c>
      <c r="I2235" s="18"/>
      <c r="J2235" s="16">
        <v>2026</v>
      </c>
      <c r="K2235" s="18" t="s">
        <v>7317</v>
      </c>
      <c r="L2235" s="16">
        <v>9785002238279</v>
      </c>
      <c r="M2235" s="18" t="s">
        <v>7318</v>
      </c>
      <c r="N2235" s="16">
        <v>380</v>
      </c>
      <c r="O2235" s="19">
        <v>0.38</v>
      </c>
      <c r="P2235" s="16">
        <v>130</v>
      </c>
      <c r="Q2235" s="16">
        <v>210</v>
      </c>
      <c r="R2235" s="16">
        <v>8</v>
      </c>
      <c r="S2235" s="18" t="s">
        <v>90</v>
      </c>
      <c r="T2235" s="18"/>
      <c r="U2235" s="17">
        <v>2000</v>
      </c>
      <c r="V2235" s="18" t="s">
        <v>77</v>
      </c>
      <c r="W2235" s="18" t="s">
        <v>69</v>
      </c>
      <c r="X2235" s="16">
        <v>10</v>
      </c>
      <c r="Y2235" s="43" t="str">
        <f>HYPERLINK("https://api-enni.alpina.ru/FilePrivilegesApproval/1104","https://api-enni.alpina.ru/FilePrivilegesApproval/1104")</f>
        <v>https://api-enni.alpina.ru/FilePrivilegesApproval/1104</v>
      </c>
      <c r="Z2235" s="18" t="s">
        <v>777</v>
      </c>
      <c r="AS2235" s="1">
        <f>IF($A2235&lt;&gt;0,1,0)</f>
        <v>0</v>
      </c>
      <c r="AT2235" s="1">
        <f>$A2235*$B2235</f>
        <v>0</v>
      </c>
      <c r="AU2235" s="1">
        <f>$A2235*$O2235</f>
        <v>0</v>
      </c>
      <c r="AV2235" s="1">
        <f>IF($R2235=0,0,INT($A2235/$R2235))</f>
        <v>0</v>
      </c>
      <c r="AW2235" s="1">
        <f>$A2235-$AV2235*$R2235</f>
        <v>0</v>
      </c>
    </row>
    <row r="2236" ht="21.95" customHeight="1" outlineLevel="3" s="1" customFormat="1">
      <c r="A2236" s="15"/>
      <c r="B2236" s="16">
        <v>803</v>
      </c>
      <c r="C2236" s="17">
        <v>1164</v>
      </c>
      <c r="D2236" s="16">
        <v>32624</v>
      </c>
      <c r="E2236" s="18"/>
      <c r="F2236" s="18" t="s">
        <v>7319</v>
      </c>
      <c r="G2236" s="18" t="s">
        <v>7320</v>
      </c>
      <c r="H2236" s="18" t="s">
        <v>171</v>
      </c>
      <c r="I2236" s="18"/>
      <c r="J2236" s="16">
        <v>2025</v>
      </c>
      <c r="K2236" s="18" t="s">
        <v>7321</v>
      </c>
      <c r="L2236" s="16">
        <v>9785916719208</v>
      </c>
      <c r="M2236" s="18" t="s">
        <v>7322</v>
      </c>
      <c r="N2236" s="16">
        <v>516</v>
      </c>
      <c r="O2236" s="19">
        <v>0.44</v>
      </c>
      <c r="P2236" s="16">
        <v>140</v>
      </c>
      <c r="Q2236" s="16">
        <v>200</v>
      </c>
      <c r="R2236" s="16">
        <v>10</v>
      </c>
      <c r="S2236" s="18" t="s">
        <v>43</v>
      </c>
      <c r="T2236" s="18"/>
      <c r="U2236" s="17">
        <v>1500</v>
      </c>
      <c r="V2236" s="18" t="s">
        <v>44</v>
      </c>
      <c r="W2236" s="18" t="s">
        <v>45</v>
      </c>
      <c r="X2236" s="16">
        <v>22</v>
      </c>
      <c r="Y2236" s="43" t="str">
        <f>HYPERLINK("","")</f>
      </c>
      <c r="Z2236" s="18"/>
      <c r="AS2236" s="1">
        <f>IF($A2236&lt;&gt;0,1,0)</f>
        <v>0</v>
      </c>
      <c r="AT2236" s="1">
        <f>$A2236*$B2236</f>
        <v>0</v>
      </c>
      <c r="AU2236" s="1">
        <f>$A2236*$O2236</f>
        <v>0</v>
      </c>
      <c r="AV2236" s="1">
        <f>IF($R2236=0,0,INT($A2236/$R2236))</f>
        <v>0</v>
      </c>
      <c r="AW2236" s="1">
        <f>$A2236-$AV2236*$R2236</f>
        <v>0</v>
      </c>
    </row>
    <row r="2237" ht="11.1" customHeight="1" outlineLevel="2">
      <c r="A2237" s="41" t="s">
        <v>7323</v>
      </c>
      <c r="B2237" s="41"/>
      <c r="C2237" s="41"/>
      <c r="D2237" s="41"/>
      <c r="E2237" s="41"/>
      <c r="F2237" s="41"/>
      <c r="G2237" s="41"/>
      <c r="H2237" s="41"/>
      <c r="I2237" s="41"/>
      <c r="J2237" s="41"/>
      <c r="K2237" s="41"/>
      <c r="L2237" s="41"/>
      <c r="M2237" s="41"/>
      <c r="N2237" s="41"/>
      <c r="O2237" s="41"/>
      <c r="P2237" s="41"/>
      <c r="Q2237" s="41"/>
      <c r="R2237" s="41"/>
      <c r="S2237" s="41"/>
      <c r="T2237" s="41"/>
      <c r="U2237" s="41"/>
      <c r="V2237" s="41"/>
      <c r="W2237" s="41"/>
      <c r="X2237" s="41"/>
      <c r="Y2237" s="41"/>
      <c r="Z2237" s="24"/>
    </row>
    <row r="2238" ht="24.95" customHeight="1" outlineLevel="3" s="1" customFormat="1">
      <c r="A2238" s="15"/>
      <c r="B2238" s="16">
        <v>290</v>
      </c>
      <c r="C2238" s="16">
        <v>464</v>
      </c>
      <c r="D2238" s="16">
        <v>26207</v>
      </c>
      <c r="E2238" s="18"/>
      <c r="F2238" s="18" t="s">
        <v>442</v>
      </c>
      <c r="G2238" s="18" t="s">
        <v>7324</v>
      </c>
      <c r="H2238" s="18" t="s">
        <v>86</v>
      </c>
      <c r="I2238" s="18" t="s">
        <v>74</v>
      </c>
      <c r="J2238" s="16">
        <v>2026</v>
      </c>
      <c r="K2238" s="18" t="s">
        <v>7325</v>
      </c>
      <c r="L2238" s="16">
        <v>9785961480801</v>
      </c>
      <c r="M2238" s="18" t="s">
        <v>7326</v>
      </c>
      <c r="N2238" s="16">
        <v>384</v>
      </c>
      <c r="O2238" s="19">
        <v>0.25</v>
      </c>
      <c r="P2238" s="16">
        <v>120</v>
      </c>
      <c r="Q2238" s="16">
        <v>170</v>
      </c>
      <c r="R2238" s="16">
        <v>10</v>
      </c>
      <c r="S2238" s="18" t="s">
        <v>190</v>
      </c>
      <c r="T2238" s="18" t="s">
        <v>446</v>
      </c>
      <c r="U2238" s="17">
        <v>10000</v>
      </c>
      <c r="V2238" s="18" t="s">
        <v>44</v>
      </c>
      <c r="W2238" s="18" t="s">
        <v>69</v>
      </c>
      <c r="X2238" s="16">
        <v>10</v>
      </c>
      <c r="Y2238" s="43" t="str">
        <f>HYPERLINK("https://api-enni.alpina.ru/FilePrivilegesApproval/156","https://api-enni.alpina.ru/FilePrivilegesApproval/156")</f>
        <v>https://api-enni.alpina.ru/FilePrivilegesApproval/156</v>
      </c>
      <c r="Z2238" s="18" t="s">
        <v>1313</v>
      </c>
      <c r="AS2238" s="1">
        <f>IF($A2238&lt;&gt;0,1,0)</f>
        <v>0</v>
      </c>
      <c r="AT2238" s="1">
        <f>$A2238*$B2238</f>
        <v>0</v>
      </c>
      <c r="AU2238" s="1">
        <f>$A2238*$O2238</f>
        <v>0</v>
      </c>
      <c r="AV2238" s="1">
        <f>IF($R2238=0,0,INT($A2238/$R2238))</f>
        <v>0</v>
      </c>
      <c r="AW2238" s="1">
        <f>$A2238-$AV2238*$R2238</f>
        <v>0</v>
      </c>
    </row>
    <row r="2239" ht="24.95" customHeight="1" outlineLevel="3" s="1" customFormat="1">
      <c r="A2239" s="15"/>
      <c r="B2239" s="17">
        <v>1090</v>
      </c>
      <c r="C2239" s="17">
        <v>1472</v>
      </c>
      <c r="D2239" s="16">
        <v>28158</v>
      </c>
      <c r="E2239" s="18"/>
      <c r="F2239" s="18" t="s">
        <v>199</v>
      </c>
      <c r="G2239" s="18" t="s">
        <v>7327</v>
      </c>
      <c r="H2239" s="18" t="s">
        <v>171</v>
      </c>
      <c r="I2239" s="18" t="s">
        <v>87</v>
      </c>
      <c r="J2239" s="16">
        <v>2026</v>
      </c>
      <c r="K2239" s="18" t="s">
        <v>7328</v>
      </c>
      <c r="L2239" s="16">
        <v>9785002230723</v>
      </c>
      <c r="M2239" s="18" t="s">
        <v>7329</v>
      </c>
      <c r="N2239" s="16">
        <v>768</v>
      </c>
      <c r="O2239" s="19">
        <v>0.71</v>
      </c>
      <c r="P2239" s="16">
        <v>140</v>
      </c>
      <c r="Q2239" s="16">
        <v>210</v>
      </c>
      <c r="R2239" s="16">
        <v>4</v>
      </c>
      <c r="S2239" s="18" t="s">
        <v>43</v>
      </c>
      <c r="T2239" s="18" t="s">
        <v>878</v>
      </c>
      <c r="U2239" s="17">
        <v>2000</v>
      </c>
      <c r="V2239" s="18" t="s">
        <v>44</v>
      </c>
      <c r="W2239" s="18" t="s">
        <v>45</v>
      </c>
      <c r="X2239" s="16">
        <v>10</v>
      </c>
      <c r="Y2239" s="43" t="str">
        <f>HYPERLINK("https://api-enni.alpina.ru/FilePrivilegesApproval/367","https://api-enni.alpina.ru/FilePrivilegesApproval/367")</f>
        <v>https://api-enni.alpina.ru/FilePrivilegesApproval/367</v>
      </c>
      <c r="Z2239" s="18" t="s">
        <v>7330</v>
      </c>
      <c r="AS2239" s="1">
        <f>IF($A2239&lt;&gt;0,1,0)</f>
        <v>0</v>
      </c>
      <c r="AT2239" s="1">
        <f>$A2239*$B2239</f>
        <v>0</v>
      </c>
      <c r="AU2239" s="1">
        <f>$A2239*$O2239</f>
        <v>0</v>
      </c>
      <c r="AV2239" s="1">
        <f>IF($R2239=0,0,INT($A2239/$R2239))</f>
        <v>0</v>
      </c>
      <c r="AW2239" s="1">
        <f>$A2239-$AV2239*$R2239</f>
        <v>0</v>
      </c>
    </row>
    <row r="2240" ht="24.95" customHeight="1" outlineLevel="3" s="1" customFormat="1">
      <c r="A2240" s="15"/>
      <c r="B2240" s="16">
        <v>905</v>
      </c>
      <c r="C2240" s="17">
        <v>1267</v>
      </c>
      <c r="D2240" s="16">
        <v>34738</v>
      </c>
      <c r="E2240" s="18"/>
      <c r="F2240" s="18" t="s">
        <v>7331</v>
      </c>
      <c r="G2240" s="18" t="s">
        <v>7332</v>
      </c>
      <c r="H2240" s="18" t="s">
        <v>171</v>
      </c>
      <c r="I2240" s="18" t="s">
        <v>74</v>
      </c>
      <c r="J2240" s="16">
        <v>2026</v>
      </c>
      <c r="K2240" s="18" t="s">
        <v>7333</v>
      </c>
      <c r="L2240" s="16">
        <v>9785002236916</v>
      </c>
      <c r="M2240" s="18" t="s">
        <v>7334</v>
      </c>
      <c r="N2240" s="16">
        <v>416</v>
      </c>
      <c r="O2240" s="19">
        <v>0.6</v>
      </c>
      <c r="P2240" s="16">
        <v>150</v>
      </c>
      <c r="Q2240" s="16">
        <v>220</v>
      </c>
      <c r="R2240" s="16">
        <v>10</v>
      </c>
      <c r="S2240" s="18" t="s">
        <v>43</v>
      </c>
      <c r="T2240" s="18"/>
      <c r="U2240" s="17">
        <v>3000</v>
      </c>
      <c r="V2240" s="18" t="s">
        <v>77</v>
      </c>
      <c r="W2240" s="18" t="s">
        <v>45</v>
      </c>
      <c r="X2240" s="16">
        <v>10</v>
      </c>
      <c r="Y2240" s="43" t="str">
        <f>HYPERLINK("https://api-enni.alpina.ru/FilePrivilegesApproval/1107","https://api-enni.alpina.ru/FilePrivilegesApproval/1107")</f>
        <v>https://api-enni.alpina.ru/FilePrivilegesApproval/1107</v>
      </c>
      <c r="Z2240" s="18"/>
      <c r="AS2240" s="1">
        <f>IF($A2240&lt;&gt;0,1,0)</f>
        <v>0</v>
      </c>
      <c r="AT2240" s="1">
        <f>$A2240*$B2240</f>
        <v>0</v>
      </c>
      <c r="AU2240" s="1">
        <f>$A2240*$O2240</f>
        <v>0</v>
      </c>
      <c r="AV2240" s="1">
        <f>IF($R2240=0,0,INT($A2240/$R2240))</f>
        <v>0</v>
      </c>
      <c r="AW2240" s="1">
        <f>$A2240-$AV2240*$R2240</f>
        <v>0</v>
      </c>
    </row>
    <row r="2241" ht="24.95" customHeight="1" outlineLevel="3" s="1" customFormat="1">
      <c r="A2241" s="15"/>
      <c r="B2241" s="16">
        <v>340</v>
      </c>
      <c r="C2241" s="16">
        <v>544</v>
      </c>
      <c r="D2241" s="16">
        <v>31848</v>
      </c>
      <c r="E2241" s="18"/>
      <c r="F2241" s="18" t="s">
        <v>7335</v>
      </c>
      <c r="G2241" s="18" t="s">
        <v>7336</v>
      </c>
      <c r="H2241" s="18" t="s">
        <v>86</v>
      </c>
      <c r="I2241" s="18" t="s">
        <v>87</v>
      </c>
      <c r="J2241" s="16">
        <v>2026</v>
      </c>
      <c r="K2241" s="18" t="s">
        <v>7337</v>
      </c>
      <c r="L2241" s="16">
        <v>9785006300408</v>
      </c>
      <c r="M2241" s="18" t="s">
        <v>7338</v>
      </c>
      <c r="N2241" s="16">
        <v>304</v>
      </c>
      <c r="O2241" s="19">
        <v>0.19</v>
      </c>
      <c r="P2241" s="16">
        <v>120</v>
      </c>
      <c r="Q2241" s="16">
        <v>170</v>
      </c>
      <c r="R2241" s="16">
        <v>12</v>
      </c>
      <c r="S2241" s="18" t="s">
        <v>190</v>
      </c>
      <c r="T2241" s="18" t="s">
        <v>6670</v>
      </c>
      <c r="U2241" s="17">
        <v>3000</v>
      </c>
      <c r="V2241" s="18" t="s">
        <v>44</v>
      </c>
      <c r="W2241" s="18" t="s">
        <v>69</v>
      </c>
      <c r="X2241" s="16">
        <v>10</v>
      </c>
      <c r="Y2241" s="43" t="str">
        <f>HYPERLINK("https://api-enni.alpina.ru/FilePrivilegesApproval/724","https://api-enni.alpina.ru/FilePrivilegesApproval/724")</f>
        <v>https://api-enni.alpina.ru/FilePrivilegesApproval/724</v>
      </c>
      <c r="Z2241" s="18" t="s">
        <v>144</v>
      </c>
      <c r="AS2241" s="1">
        <f>IF($A2241&lt;&gt;0,1,0)</f>
        <v>0</v>
      </c>
      <c r="AT2241" s="1">
        <f>$A2241*$B2241</f>
        <v>0</v>
      </c>
      <c r="AU2241" s="1">
        <f>$A2241*$O2241</f>
        <v>0</v>
      </c>
      <c r="AV2241" s="1">
        <f>IF($R2241=0,0,INT($A2241/$R2241))</f>
        <v>0</v>
      </c>
      <c r="AW2241" s="1">
        <f>$A2241-$AV2241*$R2241</f>
        <v>0</v>
      </c>
    </row>
    <row r="2242" ht="21.95" customHeight="1" outlineLevel="3" s="1" customFormat="1">
      <c r="A2242" s="15"/>
      <c r="B2242" s="17">
        <v>1340</v>
      </c>
      <c r="C2242" s="17">
        <v>1809</v>
      </c>
      <c r="D2242" s="16">
        <v>37593</v>
      </c>
      <c r="E2242" s="18"/>
      <c r="F2242" s="18" t="s">
        <v>199</v>
      </c>
      <c r="G2242" s="18" t="s">
        <v>875</v>
      </c>
      <c r="H2242" s="18" t="s">
        <v>171</v>
      </c>
      <c r="I2242" s="18" t="s">
        <v>87</v>
      </c>
      <c r="J2242" s="16">
        <v>2026</v>
      </c>
      <c r="K2242" s="18" t="s">
        <v>876</v>
      </c>
      <c r="L2242" s="16">
        <v>9785002239955</v>
      </c>
      <c r="M2242" s="18" t="s">
        <v>877</v>
      </c>
      <c r="N2242" s="16">
        <v>848</v>
      </c>
      <c r="O2242" s="19">
        <v>0.98</v>
      </c>
      <c r="P2242" s="16">
        <v>140</v>
      </c>
      <c r="Q2242" s="16">
        <v>210</v>
      </c>
      <c r="R2242" s="16">
        <v>5</v>
      </c>
      <c r="S2242" s="18" t="s">
        <v>43</v>
      </c>
      <c r="T2242" s="18" t="s">
        <v>878</v>
      </c>
      <c r="U2242" s="17">
        <v>1000</v>
      </c>
      <c r="V2242" s="18" t="s">
        <v>44</v>
      </c>
      <c r="W2242" s="18" t="s">
        <v>45</v>
      </c>
      <c r="X2242" s="16">
        <v>10</v>
      </c>
      <c r="Y2242" s="43" t="str">
        <f>HYPERLINK("","")</f>
      </c>
      <c r="Z2242" s="18" t="s">
        <v>119</v>
      </c>
      <c r="AS2242" s="1">
        <f>IF($A2242&lt;&gt;0,1,0)</f>
        <v>0</v>
      </c>
      <c r="AT2242" s="1">
        <f>$A2242*$B2242</f>
        <v>0</v>
      </c>
      <c r="AU2242" s="1">
        <f>$A2242*$O2242</f>
        <v>0</v>
      </c>
      <c r="AV2242" s="1">
        <f>IF($R2242=0,0,INT($A2242/$R2242))</f>
        <v>0</v>
      </c>
      <c r="AW2242" s="1">
        <f>$A2242-$AV2242*$R2242</f>
        <v>0</v>
      </c>
    </row>
    <row r="2243" ht="11.1" customHeight="1" outlineLevel="2">
      <c r="A2243" s="41" t="s">
        <v>7339</v>
      </c>
      <c r="B2243" s="41"/>
      <c r="C2243" s="41"/>
      <c r="D2243" s="41"/>
      <c r="E2243" s="41"/>
      <c r="F2243" s="41"/>
      <c r="G2243" s="41"/>
      <c r="H2243" s="41"/>
      <c r="I2243" s="41"/>
      <c r="J2243" s="41"/>
      <c r="K2243" s="41"/>
      <c r="L2243" s="41"/>
      <c r="M2243" s="41"/>
      <c r="N2243" s="41"/>
      <c r="O2243" s="41"/>
      <c r="P2243" s="41"/>
      <c r="Q2243" s="41"/>
      <c r="R2243" s="41"/>
      <c r="S2243" s="41"/>
      <c r="T2243" s="41"/>
      <c r="U2243" s="41"/>
      <c r="V2243" s="41"/>
      <c r="W2243" s="41"/>
      <c r="X2243" s="41"/>
      <c r="Y2243" s="41"/>
      <c r="Z2243" s="24"/>
    </row>
    <row r="2244" ht="21.95" customHeight="1" outlineLevel="3" s="1" customFormat="1">
      <c r="A2244" s="15"/>
      <c r="B2244" s="16">
        <v>540</v>
      </c>
      <c r="C2244" s="16">
        <v>837</v>
      </c>
      <c r="D2244" s="16">
        <v>12390</v>
      </c>
      <c r="E2244" s="18"/>
      <c r="F2244" s="18" t="s">
        <v>442</v>
      </c>
      <c r="G2244" s="18" t="s">
        <v>443</v>
      </c>
      <c r="H2244" s="18" t="s">
        <v>86</v>
      </c>
      <c r="I2244" s="18" t="s">
        <v>74</v>
      </c>
      <c r="J2244" s="16">
        <v>2026</v>
      </c>
      <c r="K2244" s="18" t="s">
        <v>444</v>
      </c>
      <c r="L2244" s="16">
        <v>9785961425253</v>
      </c>
      <c r="M2244" s="18" t="s">
        <v>445</v>
      </c>
      <c r="N2244" s="16">
        <v>352</v>
      </c>
      <c r="O2244" s="19">
        <v>0.51</v>
      </c>
      <c r="P2244" s="16">
        <v>140</v>
      </c>
      <c r="Q2244" s="16">
        <v>220</v>
      </c>
      <c r="R2244" s="16">
        <v>10</v>
      </c>
      <c r="S2244" s="18" t="s">
        <v>43</v>
      </c>
      <c r="T2244" s="18" t="s">
        <v>446</v>
      </c>
      <c r="U2244" s="17">
        <v>10000</v>
      </c>
      <c r="V2244" s="18" t="s">
        <v>77</v>
      </c>
      <c r="W2244" s="18" t="s">
        <v>69</v>
      </c>
      <c r="X2244" s="16">
        <v>10</v>
      </c>
      <c r="Y2244" s="43" t="str">
        <f>HYPERLINK("","")</f>
      </c>
      <c r="Z2244" s="18" t="s">
        <v>211</v>
      </c>
      <c r="AS2244" s="1">
        <f>IF($A2244&lt;&gt;0,1,0)</f>
        <v>0</v>
      </c>
      <c r="AT2244" s="1">
        <f>$A2244*$B2244</f>
        <v>0</v>
      </c>
      <c r="AU2244" s="1">
        <f>$A2244*$O2244</f>
        <v>0</v>
      </c>
      <c r="AV2244" s="1">
        <f>IF($R2244=0,0,INT($A2244/$R2244))</f>
        <v>0</v>
      </c>
      <c r="AW2244" s="1">
        <f>$A2244-$AV2244*$R2244</f>
        <v>0</v>
      </c>
    </row>
    <row r="2245" ht="24.95" customHeight="1" outlineLevel="3" s="1" customFormat="1">
      <c r="A2245" s="15"/>
      <c r="B2245" s="17">
        <v>1390</v>
      </c>
      <c r="C2245" s="17">
        <v>1876</v>
      </c>
      <c r="D2245" s="16">
        <v>1350</v>
      </c>
      <c r="E2245" s="18"/>
      <c r="F2245" s="18" t="s">
        <v>496</v>
      </c>
      <c r="G2245" s="18" t="s">
        <v>497</v>
      </c>
      <c r="H2245" s="18" t="s">
        <v>86</v>
      </c>
      <c r="I2245" s="18" t="s">
        <v>74</v>
      </c>
      <c r="J2245" s="16">
        <v>2025</v>
      </c>
      <c r="K2245" s="18" t="s">
        <v>498</v>
      </c>
      <c r="L2245" s="16">
        <v>9785961467420</v>
      </c>
      <c r="M2245" s="18" t="s">
        <v>499</v>
      </c>
      <c r="N2245" s="17">
        <v>1408</v>
      </c>
      <c r="O2245" s="19">
        <v>1.58</v>
      </c>
      <c r="P2245" s="16">
        <v>150</v>
      </c>
      <c r="Q2245" s="16">
        <v>220</v>
      </c>
      <c r="R2245" s="16">
        <v>2</v>
      </c>
      <c r="S2245" s="18" t="s">
        <v>43</v>
      </c>
      <c r="T2245" s="18"/>
      <c r="U2245" s="17">
        <v>20000</v>
      </c>
      <c r="V2245" s="18" t="s">
        <v>77</v>
      </c>
      <c r="W2245" s="18" t="s">
        <v>69</v>
      </c>
      <c r="X2245" s="16">
        <v>10</v>
      </c>
      <c r="Y2245" s="43" t="str">
        <f>HYPERLINK("https://api-enni.alpina.ru/FilePrivilegesApproval/156","https://api-enni.alpina.ru/FilePrivilegesApproval/156")</f>
        <v>https://api-enni.alpina.ru/FilePrivilegesApproval/156</v>
      </c>
      <c r="Z2245" s="18"/>
      <c r="AS2245" s="1">
        <f>IF($A2245&lt;&gt;0,1,0)</f>
        <v>0</v>
      </c>
      <c r="AT2245" s="1">
        <f>$A2245*$B2245</f>
        <v>0</v>
      </c>
      <c r="AU2245" s="1">
        <f>$A2245*$O2245</f>
        <v>0</v>
      </c>
      <c r="AV2245" s="1">
        <f>IF($R2245=0,0,INT($A2245/$R2245))</f>
        <v>0</v>
      </c>
      <c r="AW2245" s="1">
        <f>$A2245-$AV2245*$R2245</f>
        <v>0</v>
      </c>
    </row>
    <row r="2246" ht="24.95" customHeight="1" outlineLevel="3" s="1" customFormat="1">
      <c r="A2246" s="15"/>
      <c r="B2246" s="16">
        <v>990</v>
      </c>
      <c r="C2246" s="17">
        <v>1386</v>
      </c>
      <c r="D2246" s="16">
        <v>2441</v>
      </c>
      <c r="E2246" s="18"/>
      <c r="F2246" s="18" t="s">
        <v>496</v>
      </c>
      <c r="G2246" s="18" t="s">
        <v>7340</v>
      </c>
      <c r="H2246" s="18" t="s">
        <v>86</v>
      </c>
      <c r="I2246" s="18" t="s">
        <v>74</v>
      </c>
      <c r="J2246" s="16">
        <v>2026</v>
      </c>
      <c r="K2246" s="18" t="s">
        <v>7341</v>
      </c>
      <c r="L2246" s="16">
        <v>9785961468595</v>
      </c>
      <c r="M2246" s="18" t="s">
        <v>7342</v>
      </c>
      <c r="N2246" s="17">
        <v>1136</v>
      </c>
      <c r="O2246" s="19">
        <v>1.12</v>
      </c>
      <c r="P2246" s="16">
        <v>140</v>
      </c>
      <c r="Q2246" s="16">
        <v>210</v>
      </c>
      <c r="R2246" s="16">
        <v>4</v>
      </c>
      <c r="S2246" s="18" t="s">
        <v>43</v>
      </c>
      <c r="T2246" s="18"/>
      <c r="U2246" s="17">
        <v>7000</v>
      </c>
      <c r="V2246" s="18" t="s">
        <v>44</v>
      </c>
      <c r="W2246" s="18" t="s">
        <v>69</v>
      </c>
      <c r="X2246" s="16">
        <v>10</v>
      </c>
      <c r="Y2246" s="43" t="str">
        <f>HYPERLINK("https://api-enni.alpina.ru/FilePrivilegesApproval/2","https://api-enni.alpina.ru/FilePrivilegesApproval/2")</f>
        <v>https://api-enni.alpina.ru/FilePrivilegesApproval/2</v>
      </c>
      <c r="Z2246" s="18" t="s">
        <v>744</v>
      </c>
      <c r="AS2246" s="1">
        <f>IF($A2246&lt;&gt;0,1,0)</f>
        <v>0</v>
      </c>
      <c r="AT2246" s="1">
        <f>$A2246*$B2246</f>
        <v>0</v>
      </c>
      <c r="AU2246" s="1">
        <f>$A2246*$O2246</f>
        <v>0</v>
      </c>
      <c r="AV2246" s="1">
        <f>IF($R2246=0,0,INT($A2246/$R2246))</f>
        <v>0</v>
      </c>
      <c r="AW2246" s="1">
        <f>$A2246-$AV2246*$R2246</f>
        <v>0</v>
      </c>
    </row>
    <row r="2247" ht="24.95" customHeight="1" outlineLevel="3" s="1" customFormat="1">
      <c r="A2247" s="15"/>
      <c r="B2247" s="16">
        <v>790</v>
      </c>
      <c r="C2247" s="17">
        <v>1146</v>
      </c>
      <c r="D2247" s="16">
        <v>26846</v>
      </c>
      <c r="E2247" s="18"/>
      <c r="F2247" s="18" t="s">
        <v>7343</v>
      </c>
      <c r="G2247" s="18" t="s">
        <v>7344</v>
      </c>
      <c r="H2247" s="18" t="s">
        <v>3948</v>
      </c>
      <c r="I2247" s="18" t="s">
        <v>74</v>
      </c>
      <c r="J2247" s="16">
        <v>2023</v>
      </c>
      <c r="K2247" s="18" t="s">
        <v>7345</v>
      </c>
      <c r="L2247" s="16">
        <v>9785907625082</v>
      </c>
      <c r="M2247" s="18" t="s">
        <v>7346</v>
      </c>
      <c r="N2247" s="16">
        <v>464</v>
      </c>
      <c r="O2247" s="19">
        <v>0.47</v>
      </c>
      <c r="P2247" s="16">
        <v>150</v>
      </c>
      <c r="Q2247" s="16">
        <v>210</v>
      </c>
      <c r="R2247" s="16">
        <v>6</v>
      </c>
      <c r="S2247" s="18" t="s">
        <v>43</v>
      </c>
      <c r="T2247" s="18" t="s">
        <v>7347</v>
      </c>
      <c r="U2247" s="17">
        <v>4017</v>
      </c>
      <c r="V2247" s="18" t="s">
        <v>44</v>
      </c>
      <c r="W2247" s="18" t="s">
        <v>69</v>
      </c>
      <c r="X2247" s="16">
        <v>10</v>
      </c>
      <c r="Y2247" s="43" t="str">
        <f>HYPERLINK("https://api-enni.alpina.ru/FilePrivilegesApproval/356","https://api-enni.alpina.ru/FilePrivilegesApproval/356")</f>
        <v>https://api-enni.alpina.ru/FilePrivilegesApproval/356</v>
      </c>
      <c r="Z2247" s="18"/>
      <c r="AS2247" s="1">
        <f>IF($A2247&lt;&gt;0,1,0)</f>
        <v>0</v>
      </c>
      <c r="AT2247" s="1">
        <f>$A2247*$B2247</f>
        <v>0</v>
      </c>
      <c r="AU2247" s="1">
        <f>$A2247*$O2247</f>
        <v>0</v>
      </c>
      <c r="AV2247" s="1">
        <f>IF($R2247=0,0,INT($A2247/$R2247))</f>
        <v>0</v>
      </c>
      <c r="AW2247" s="1">
        <f>$A2247-$AV2247*$R2247</f>
        <v>0</v>
      </c>
    </row>
    <row r="2248" ht="24.95" customHeight="1" outlineLevel="3" s="1" customFormat="1">
      <c r="A2248" s="15"/>
      <c r="B2248" s="16">
        <v>510</v>
      </c>
      <c r="C2248" s="16">
        <v>791</v>
      </c>
      <c r="D2248" s="16">
        <v>30808</v>
      </c>
      <c r="E2248" s="18"/>
      <c r="F2248" s="18" t="s">
        <v>7348</v>
      </c>
      <c r="G2248" s="18" t="s">
        <v>7349</v>
      </c>
      <c r="H2248" s="18" t="s">
        <v>64</v>
      </c>
      <c r="I2248" s="18" t="s">
        <v>160</v>
      </c>
      <c r="J2248" s="16">
        <v>2025</v>
      </c>
      <c r="K2248" s="18" t="s">
        <v>7350</v>
      </c>
      <c r="L2248" s="16">
        <v>9785961496628</v>
      </c>
      <c r="M2248" s="18" t="s">
        <v>7351</v>
      </c>
      <c r="N2248" s="16">
        <v>248</v>
      </c>
      <c r="O2248" s="19">
        <v>0.21</v>
      </c>
      <c r="P2248" s="16">
        <v>140</v>
      </c>
      <c r="Q2248" s="16">
        <v>200</v>
      </c>
      <c r="R2248" s="16">
        <v>14</v>
      </c>
      <c r="S2248" s="18" t="s">
        <v>43</v>
      </c>
      <c r="T2248" s="18"/>
      <c r="U2248" s="17">
        <v>4000</v>
      </c>
      <c r="V2248" s="18" t="s">
        <v>44</v>
      </c>
      <c r="W2248" s="18" t="s">
        <v>45</v>
      </c>
      <c r="X2248" s="16">
        <v>10</v>
      </c>
      <c r="Y2248" s="43" t="str">
        <f>HYPERLINK("https://api-enni.alpina.ru/FilePrivilegesApproval/754","https://api-enni.alpina.ru/FilePrivilegesApproval/754")</f>
        <v>https://api-enni.alpina.ru/FilePrivilegesApproval/754</v>
      </c>
      <c r="Z2248" s="18"/>
      <c r="AS2248" s="1">
        <f>IF($A2248&lt;&gt;0,1,0)</f>
        <v>0</v>
      </c>
      <c r="AT2248" s="1">
        <f>$A2248*$B2248</f>
        <v>0</v>
      </c>
      <c r="AU2248" s="1">
        <f>$A2248*$O2248</f>
        <v>0</v>
      </c>
      <c r="AV2248" s="1">
        <f>IF($R2248=0,0,INT($A2248/$R2248))</f>
        <v>0</v>
      </c>
      <c r="AW2248" s="1">
        <f>$A2248-$AV2248*$R2248</f>
        <v>0</v>
      </c>
    </row>
    <row r="2249" ht="21.95" customHeight="1" outlineLevel="3" s="1" customFormat="1">
      <c r="A2249" s="15"/>
      <c r="B2249" s="16">
        <v>752</v>
      </c>
      <c r="C2249" s="17">
        <v>1090</v>
      </c>
      <c r="D2249" s="16">
        <v>33030</v>
      </c>
      <c r="E2249" s="18"/>
      <c r="F2249" s="18" t="s">
        <v>7352</v>
      </c>
      <c r="G2249" s="18" t="s">
        <v>7353</v>
      </c>
      <c r="H2249" s="18" t="s">
        <v>592</v>
      </c>
      <c r="I2249" s="18"/>
      <c r="J2249" s="16">
        <v>2025</v>
      </c>
      <c r="K2249" s="18" t="s">
        <v>7354</v>
      </c>
      <c r="L2249" s="16">
        <v>9786018223006</v>
      </c>
      <c r="M2249" s="18" t="s">
        <v>7355</v>
      </c>
      <c r="N2249" s="16">
        <v>192</v>
      </c>
      <c r="O2249" s="19">
        <v>0.33</v>
      </c>
      <c r="P2249" s="16">
        <v>150</v>
      </c>
      <c r="Q2249" s="16">
        <v>220</v>
      </c>
      <c r="R2249" s="16">
        <v>8</v>
      </c>
      <c r="S2249" s="18" t="s">
        <v>43</v>
      </c>
      <c r="T2249" s="18"/>
      <c r="U2249" s="17">
        <v>1000</v>
      </c>
      <c r="V2249" s="18" t="s">
        <v>77</v>
      </c>
      <c r="W2249" s="18" t="s">
        <v>69</v>
      </c>
      <c r="X2249" s="16">
        <v>22</v>
      </c>
      <c r="Y2249" s="43" t="str">
        <f>HYPERLINK("","")</f>
      </c>
      <c r="Z2249" s="18"/>
      <c r="AS2249" s="1">
        <f>IF($A2249&lt;&gt;0,1,0)</f>
        <v>0</v>
      </c>
      <c r="AT2249" s="1">
        <f>$A2249*$B2249</f>
        <v>0</v>
      </c>
      <c r="AU2249" s="1">
        <f>$A2249*$O2249</f>
        <v>0</v>
      </c>
      <c r="AV2249" s="1">
        <f>IF($R2249=0,0,INT($A2249/$R2249))</f>
        <v>0</v>
      </c>
      <c r="AW2249" s="1">
        <f>$A2249-$AV2249*$R2249</f>
        <v>0</v>
      </c>
    </row>
    <row r="2250" ht="24.95" customHeight="1" outlineLevel="3" s="1" customFormat="1">
      <c r="A2250" s="15"/>
      <c r="B2250" s="16">
        <v>550</v>
      </c>
      <c r="C2250" s="16">
        <v>852</v>
      </c>
      <c r="D2250" s="16">
        <v>33807</v>
      </c>
      <c r="E2250" s="18"/>
      <c r="F2250" s="18" t="s">
        <v>7356</v>
      </c>
      <c r="G2250" s="18" t="s">
        <v>7357</v>
      </c>
      <c r="H2250" s="18" t="s">
        <v>64</v>
      </c>
      <c r="I2250" s="18" t="s">
        <v>74</v>
      </c>
      <c r="J2250" s="16">
        <v>2026</v>
      </c>
      <c r="K2250" s="18" t="s">
        <v>7358</v>
      </c>
      <c r="L2250" s="16">
        <v>9785006305601</v>
      </c>
      <c r="M2250" s="18" t="s">
        <v>7359</v>
      </c>
      <c r="N2250" s="16">
        <v>444</v>
      </c>
      <c r="O2250" s="19">
        <v>0.39</v>
      </c>
      <c r="P2250" s="16">
        <v>140</v>
      </c>
      <c r="Q2250" s="16">
        <v>200</v>
      </c>
      <c r="R2250" s="16">
        <v>4</v>
      </c>
      <c r="S2250" s="18" t="s">
        <v>43</v>
      </c>
      <c r="T2250" s="18"/>
      <c r="U2250" s="17">
        <v>3000</v>
      </c>
      <c r="V2250" s="18" t="s">
        <v>44</v>
      </c>
      <c r="W2250" s="18" t="s">
        <v>69</v>
      </c>
      <c r="X2250" s="16">
        <v>10</v>
      </c>
      <c r="Y2250" s="43" t="str">
        <f>HYPERLINK("https://api-enni.alpina.ru/FilePrivilegesApproval/1086","https://api-enni.alpina.ru/FilePrivilegesApproval/1086")</f>
        <v>https://api-enni.alpina.ru/FilePrivilegesApproval/1086</v>
      </c>
      <c r="Z2250" s="18"/>
      <c r="AS2250" s="1">
        <f>IF($A2250&lt;&gt;0,1,0)</f>
        <v>0</v>
      </c>
      <c r="AT2250" s="1">
        <f>$A2250*$B2250</f>
        <v>0</v>
      </c>
      <c r="AU2250" s="1">
        <f>$A2250*$O2250</f>
        <v>0</v>
      </c>
      <c r="AV2250" s="1">
        <f>IF($R2250=0,0,INT($A2250/$R2250))</f>
        <v>0</v>
      </c>
      <c r="AW2250" s="1">
        <f>$A2250-$AV2250*$R2250</f>
        <v>0</v>
      </c>
    </row>
    <row r="2251" ht="11.1" customHeight="1" outlineLevel="3" s="1" customFormat="1">
      <c r="A2251" s="15"/>
      <c r="B2251" s="16">
        <v>549</v>
      </c>
      <c r="C2251" s="16">
        <v>851</v>
      </c>
      <c r="D2251" s="16">
        <v>31398</v>
      </c>
      <c r="E2251" s="18"/>
      <c r="F2251" s="18" t="s">
        <v>7360</v>
      </c>
      <c r="G2251" s="18" t="s">
        <v>7361</v>
      </c>
      <c r="H2251" s="18" t="s">
        <v>3948</v>
      </c>
      <c r="I2251" s="18" t="s">
        <v>74</v>
      </c>
      <c r="J2251" s="16">
        <v>2025</v>
      </c>
      <c r="K2251" s="18" t="s">
        <v>7362</v>
      </c>
      <c r="L2251" s="16">
        <v>9785002162437</v>
      </c>
      <c r="M2251" s="18" t="s">
        <v>7363</v>
      </c>
      <c r="N2251" s="16">
        <v>304</v>
      </c>
      <c r="O2251" s="19">
        <v>0.33</v>
      </c>
      <c r="P2251" s="16">
        <v>150</v>
      </c>
      <c r="Q2251" s="16">
        <v>210</v>
      </c>
      <c r="R2251" s="16">
        <v>10</v>
      </c>
      <c r="S2251" s="18" t="s">
        <v>43</v>
      </c>
      <c r="T2251" s="18" t="s">
        <v>7364</v>
      </c>
      <c r="U2251" s="17">
        <v>3000</v>
      </c>
      <c r="V2251" s="18" t="s">
        <v>44</v>
      </c>
      <c r="W2251" s="18" t="s">
        <v>45</v>
      </c>
      <c r="X2251" s="16">
        <v>22</v>
      </c>
      <c r="Y2251" s="43" t="str">
        <f>HYPERLINK("","")</f>
      </c>
      <c r="Z2251" s="18"/>
      <c r="AS2251" s="1">
        <f>IF($A2251&lt;&gt;0,1,0)</f>
        <v>0</v>
      </c>
      <c r="AT2251" s="1">
        <f>$A2251*$B2251</f>
        <v>0</v>
      </c>
      <c r="AU2251" s="1">
        <f>$A2251*$O2251</f>
        <v>0</v>
      </c>
      <c r="AV2251" s="1">
        <f>IF($R2251=0,0,INT($A2251/$R2251))</f>
        <v>0</v>
      </c>
      <c r="AW2251" s="1">
        <f>$A2251-$AV2251*$R2251</f>
        <v>0</v>
      </c>
    </row>
    <row r="2252" ht="21.95" customHeight="1" outlineLevel="3" s="1" customFormat="1">
      <c r="A2252" s="15"/>
      <c r="B2252" s="17">
        <v>1050</v>
      </c>
      <c r="C2252" s="17">
        <v>1418</v>
      </c>
      <c r="D2252" s="16">
        <v>36601</v>
      </c>
      <c r="E2252" s="18"/>
      <c r="F2252" s="18" t="s">
        <v>7365</v>
      </c>
      <c r="G2252" s="18" t="s">
        <v>7366</v>
      </c>
      <c r="H2252" s="18" t="s">
        <v>3948</v>
      </c>
      <c r="I2252" s="18" t="s">
        <v>74</v>
      </c>
      <c r="J2252" s="16">
        <v>2026</v>
      </c>
      <c r="K2252" s="18" t="s">
        <v>7367</v>
      </c>
      <c r="L2252" s="16">
        <v>9785002165346</v>
      </c>
      <c r="M2252" s="18" t="s">
        <v>7368</v>
      </c>
      <c r="N2252" s="16">
        <v>432</v>
      </c>
      <c r="O2252" s="19">
        <v>0.44</v>
      </c>
      <c r="P2252" s="16">
        <v>130</v>
      </c>
      <c r="Q2252" s="16">
        <v>210</v>
      </c>
      <c r="R2252" s="16">
        <v>12</v>
      </c>
      <c r="S2252" s="18" t="s">
        <v>90</v>
      </c>
      <c r="T2252" s="18"/>
      <c r="U2252" s="17">
        <v>3000</v>
      </c>
      <c r="V2252" s="18" t="s">
        <v>77</v>
      </c>
      <c r="W2252" s="18" t="s">
        <v>69</v>
      </c>
      <c r="X2252" s="16">
        <v>22</v>
      </c>
      <c r="Y2252" s="43" t="str">
        <f>HYPERLINK("","")</f>
      </c>
      <c r="Z2252" s="18" t="s">
        <v>843</v>
      </c>
      <c r="AS2252" s="1">
        <f>IF($A2252&lt;&gt;0,1,0)</f>
        <v>0</v>
      </c>
      <c r="AT2252" s="1">
        <f>$A2252*$B2252</f>
        <v>0</v>
      </c>
      <c r="AU2252" s="1">
        <f>$A2252*$O2252</f>
        <v>0</v>
      </c>
      <c r="AV2252" s="1">
        <f>IF($R2252=0,0,INT($A2252/$R2252))</f>
        <v>0</v>
      </c>
      <c r="AW2252" s="1">
        <f>$A2252-$AV2252*$R2252</f>
        <v>0</v>
      </c>
    </row>
    <row r="2253" ht="24.95" customHeight="1" outlineLevel="3" s="1" customFormat="1">
      <c r="A2253" s="15"/>
      <c r="B2253" s="16">
        <v>570</v>
      </c>
      <c r="C2253" s="16">
        <v>855</v>
      </c>
      <c r="D2253" s="16">
        <v>27454</v>
      </c>
      <c r="E2253" s="18"/>
      <c r="F2253" s="18" t="s">
        <v>7369</v>
      </c>
      <c r="G2253" s="18" t="s">
        <v>7370</v>
      </c>
      <c r="H2253" s="18" t="s">
        <v>64</v>
      </c>
      <c r="I2253" s="18" t="s">
        <v>74</v>
      </c>
      <c r="J2253" s="16">
        <v>2024</v>
      </c>
      <c r="K2253" s="18" t="s">
        <v>7371</v>
      </c>
      <c r="L2253" s="16">
        <v>9785961485196</v>
      </c>
      <c r="M2253" s="18" t="s">
        <v>7372</v>
      </c>
      <c r="N2253" s="16">
        <v>356</v>
      </c>
      <c r="O2253" s="19">
        <v>0.34</v>
      </c>
      <c r="P2253" s="16">
        <v>140</v>
      </c>
      <c r="Q2253" s="16">
        <v>200</v>
      </c>
      <c r="R2253" s="16">
        <v>16</v>
      </c>
      <c r="S2253" s="18" t="s">
        <v>43</v>
      </c>
      <c r="T2253" s="18"/>
      <c r="U2253" s="17">
        <v>4000</v>
      </c>
      <c r="V2253" s="18" t="s">
        <v>44</v>
      </c>
      <c r="W2253" s="18" t="s">
        <v>45</v>
      </c>
      <c r="X2253" s="16">
        <v>10</v>
      </c>
      <c r="Y2253" s="43" t="str">
        <f>HYPERLINK("https://api-enni.alpina.ru/FilePrivilegesApproval/430","https://api-enni.alpina.ru/FilePrivilegesApproval/430")</f>
        <v>https://api-enni.alpina.ru/FilePrivilegesApproval/430</v>
      </c>
      <c r="Z2253" s="18"/>
      <c r="AS2253" s="1">
        <f>IF($A2253&lt;&gt;0,1,0)</f>
        <v>0</v>
      </c>
      <c r="AT2253" s="1">
        <f>$A2253*$B2253</f>
        <v>0</v>
      </c>
      <c r="AU2253" s="1">
        <f>$A2253*$O2253</f>
        <v>0</v>
      </c>
      <c r="AV2253" s="1">
        <f>IF($R2253=0,0,INT($A2253/$R2253))</f>
        <v>0</v>
      </c>
      <c r="AW2253" s="1">
        <f>$A2253-$AV2253*$R2253</f>
        <v>0</v>
      </c>
    </row>
    <row r="2254" ht="24.95" customHeight="1" outlineLevel="3" s="1" customFormat="1">
      <c r="A2254" s="15"/>
      <c r="B2254" s="16">
        <v>520</v>
      </c>
      <c r="C2254" s="16">
        <v>806</v>
      </c>
      <c r="D2254" s="16">
        <v>30507</v>
      </c>
      <c r="E2254" s="18"/>
      <c r="F2254" s="18" t="s">
        <v>7373</v>
      </c>
      <c r="G2254" s="18" t="s">
        <v>7374</v>
      </c>
      <c r="H2254" s="18" t="s">
        <v>64</v>
      </c>
      <c r="I2254" s="18" t="s">
        <v>160</v>
      </c>
      <c r="J2254" s="16">
        <v>2025</v>
      </c>
      <c r="K2254" s="18" t="s">
        <v>7375</v>
      </c>
      <c r="L2254" s="16">
        <v>9785961495676</v>
      </c>
      <c r="M2254" s="18" t="s">
        <v>7376</v>
      </c>
      <c r="N2254" s="16">
        <v>218</v>
      </c>
      <c r="O2254" s="19">
        <v>0.2</v>
      </c>
      <c r="P2254" s="16">
        <v>140</v>
      </c>
      <c r="Q2254" s="16">
        <v>200</v>
      </c>
      <c r="R2254" s="16">
        <v>16</v>
      </c>
      <c r="S2254" s="18" t="s">
        <v>43</v>
      </c>
      <c r="T2254" s="18"/>
      <c r="U2254" s="17">
        <v>3000</v>
      </c>
      <c r="V2254" s="18" t="s">
        <v>44</v>
      </c>
      <c r="W2254" s="18" t="s">
        <v>45</v>
      </c>
      <c r="X2254" s="16">
        <v>10</v>
      </c>
      <c r="Y2254" s="43" t="str">
        <f>HYPERLINK("https://api-enni.alpina.ru/FilePrivilegesApproval/779","https://api-enni.alpina.ru/FilePrivilegesApproval/779")</f>
        <v>https://api-enni.alpina.ru/FilePrivilegesApproval/779</v>
      </c>
      <c r="Z2254" s="18"/>
      <c r="AS2254" s="1">
        <f>IF($A2254&lt;&gt;0,1,0)</f>
        <v>0</v>
      </c>
      <c r="AT2254" s="1">
        <f>$A2254*$B2254</f>
        <v>0</v>
      </c>
      <c r="AU2254" s="1">
        <f>$A2254*$O2254</f>
        <v>0</v>
      </c>
      <c r="AV2254" s="1">
        <f>IF($R2254=0,0,INT($A2254/$R2254))</f>
        <v>0</v>
      </c>
      <c r="AW2254" s="1">
        <f>$A2254-$AV2254*$R2254</f>
        <v>0</v>
      </c>
    </row>
    <row r="2255" ht="21.95" customHeight="1" outlineLevel="3" s="1" customFormat="1">
      <c r="A2255" s="15"/>
      <c r="B2255" s="16">
        <v>640</v>
      </c>
      <c r="C2255" s="16">
        <v>960</v>
      </c>
      <c r="D2255" s="16">
        <v>30078</v>
      </c>
      <c r="E2255" s="18"/>
      <c r="F2255" s="18" t="s">
        <v>7377</v>
      </c>
      <c r="G2255" s="18" t="s">
        <v>7378</v>
      </c>
      <c r="H2255" s="18" t="s">
        <v>3948</v>
      </c>
      <c r="I2255" s="18" t="s">
        <v>74</v>
      </c>
      <c r="J2255" s="16">
        <v>2024</v>
      </c>
      <c r="K2255" s="18" t="s">
        <v>7379</v>
      </c>
      <c r="L2255" s="16">
        <v>9785002160327</v>
      </c>
      <c r="M2255" s="18" t="s">
        <v>7380</v>
      </c>
      <c r="N2255" s="16">
        <v>416</v>
      </c>
      <c r="O2255" s="19">
        <v>0.44</v>
      </c>
      <c r="P2255" s="16">
        <v>150</v>
      </c>
      <c r="Q2255" s="16">
        <v>220</v>
      </c>
      <c r="R2255" s="16">
        <v>8</v>
      </c>
      <c r="S2255" s="18" t="s">
        <v>43</v>
      </c>
      <c r="T2255" s="18" t="s">
        <v>7364</v>
      </c>
      <c r="U2255" s="17">
        <v>2017</v>
      </c>
      <c r="V2255" s="18" t="s">
        <v>44</v>
      </c>
      <c r="W2255" s="18" t="s">
        <v>69</v>
      </c>
      <c r="X2255" s="16">
        <v>10</v>
      </c>
      <c r="Y2255" s="43" t="str">
        <f>HYPERLINK("","")</f>
      </c>
      <c r="Z2255" s="18"/>
      <c r="AS2255" s="1">
        <f>IF($A2255&lt;&gt;0,1,0)</f>
        <v>0</v>
      </c>
      <c r="AT2255" s="1">
        <f>$A2255*$B2255</f>
        <v>0</v>
      </c>
      <c r="AU2255" s="1">
        <f>$A2255*$O2255</f>
        <v>0</v>
      </c>
      <c r="AV2255" s="1">
        <f>IF($R2255=0,0,INT($A2255/$R2255))</f>
        <v>0</v>
      </c>
      <c r="AW2255" s="1">
        <f>$A2255-$AV2255*$R2255</f>
        <v>0</v>
      </c>
    </row>
    <row r="2256" ht="21.95" customHeight="1" outlineLevel="3" s="1" customFormat="1">
      <c r="A2256" s="25"/>
      <c r="B2256" s="26">
        <v>854</v>
      </c>
      <c r="C2256" s="29">
        <v>1196</v>
      </c>
      <c r="D2256" s="26">
        <v>33131</v>
      </c>
      <c r="E2256" s="27"/>
      <c r="F2256" s="27" t="s">
        <v>7381</v>
      </c>
      <c r="G2256" s="27" t="s">
        <v>7382</v>
      </c>
      <c r="H2256" s="27" t="s">
        <v>592</v>
      </c>
      <c r="I2256" s="27"/>
      <c r="J2256" s="26">
        <v>2025</v>
      </c>
      <c r="K2256" s="27" t="s">
        <v>7383</v>
      </c>
      <c r="L2256" s="26">
        <v>9786018225314</v>
      </c>
      <c r="M2256" s="27" t="s">
        <v>7384</v>
      </c>
      <c r="N2256" s="26">
        <v>480</v>
      </c>
      <c r="O2256" s="28">
        <v>0.66</v>
      </c>
      <c r="P2256" s="26">
        <v>150</v>
      </c>
      <c r="Q2256" s="26">
        <v>220</v>
      </c>
      <c r="R2256" s="26">
        <v>3</v>
      </c>
      <c r="S2256" s="27" t="s">
        <v>43</v>
      </c>
      <c r="T2256" s="27"/>
      <c r="U2256" s="29">
        <v>1000</v>
      </c>
      <c r="V2256" s="27" t="s">
        <v>77</v>
      </c>
      <c r="W2256" s="27" t="s">
        <v>69</v>
      </c>
      <c r="X2256" s="26">
        <v>22</v>
      </c>
      <c r="Y2256" s="45" t="str">
        <f>HYPERLINK("","")</f>
      </c>
      <c r="Z2256" s="27"/>
      <c r="AS2256" s="1">
        <f>IF($A2256&lt;&gt;0,1,0)</f>
        <v>0</v>
      </c>
      <c r="AT2256" s="1">
        <f>$A2256*$B2256</f>
        <v>0</v>
      </c>
      <c r="AU2256" s="1">
        <f>$A2256*$O2256</f>
        <v>0</v>
      </c>
      <c r="AV2256" s="1">
        <f>IF($R2256=0,0,INT($A2256/$R2256))</f>
        <v>0</v>
      </c>
      <c r="AW2256" s="1">
        <f>$A2256-$AV2256*$R2256</f>
        <v>0</v>
      </c>
    </row>
    <row r="2257" ht="24.95" customHeight="1" outlineLevel="3" s="1" customFormat="1">
      <c r="A2257" s="15"/>
      <c r="B2257" s="16">
        <v>330</v>
      </c>
      <c r="C2257" s="16">
        <v>528</v>
      </c>
      <c r="D2257" s="16">
        <v>7821</v>
      </c>
      <c r="E2257" s="18"/>
      <c r="F2257" s="18" t="s">
        <v>496</v>
      </c>
      <c r="G2257" s="18" t="s">
        <v>7385</v>
      </c>
      <c r="H2257" s="18" t="s">
        <v>86</v>
      </c>
      <c r="I2257" s="18" t="s">
        <v>74</v>
      </c>
      <c r="J2257" s="16">
        <v>2026</v>
      </c>
      <c r="K2257" s="18" t="s">
        <v>7386</v>
      </c>
      <c r="L2257" s="16">
        <v>9785961469745</v>
      </c>
      <c r="M2257" s="18" t="s">
        <v>7387</v>
      </c>
      <c r="N2257" s="16">
        <v>112</v>
      </c>
      <c r="O2257" s="19">
        <v>0.2</v>
      </c>
      <c r="P2257" s="16">
        <v>130</v>
      </c>
      <c r="Q2257" s="16">
        <v>206</v>
      </c>
      <c r="R2257" s="16">
        <v>30</v>
      </c>
      <c r="S2257" s="18" t="s">
        <v>90</v>
      </c>
      <c r="T2257" s="18" t="s">
        <v>446</v>
      </c>
      <c r="U2257" s="17">
        <v>3000</v>
      </c>
      <c r="V2257" s="18" t="s">
        <v>77</v>
      </c>
      <c r="W2257" s="18" t="s">
        <v>184</v>
      </c>
      <c r="X2257" s="16">
        <v>10</v>
      </c>
      <c r="Y2257" s="43" t="str">
        <f>HYPERLINK("https://api-enni.alpina.ru/FilePrivilegesApproval/156","https://api-enni.alpina.ru/FilePrivilegesApproval/156")</f>
        <v>https://api-enni.alpina.ru/FilePrivilegesApproval/156</v>
      </c>
      <c r="Z2257" s="18" t="s">
        <v>342</v>
      </c>
      <c r="AS2257" s="1">
        <f>IF($A2257&lt;&gt;0,1,0)</f>
        <v>0</v>
      </c>
      <c r="AT2257" s="1">
        <f>$A2257*$B2257</f>
        <v>0</v>
      </c>
      <c r="AU2257" s="1">
        <f>$A2257*$O2257</f>
        <v>0</v>
      </c>
      <c r="AV2257" s="1">
        <f>IF($R2257=0,0,INT($A2257/$R2257))</f>
        <v>0</v>
      </c>
      <c r="AW2257" s="1">
        <f>$A2257-$AV2257*$R2257</f>
        <v>0</v>
      </c>
    </row>
    <row r="2258" ht="24.95" customHeight="1" outlineLevel="3" s="1" customFormat="1">
      <c r="A2258" s="15"/>
      <c r="B2258" s="17">
        <v>1220</v>
      </c>
      <c r="C2258" s="17">
        <v>1647</v>
      </c>
      <c r="D2258" s="16">
        <v>31636</v>
      </c>
      <c r="E2258" s="18"/>
      <c r="F2258" s="18" t="s">
        <v>199</v>
      </c>
      <c r="G2258" s="18" t="s">
        <v>7388</v>
      </c>
      <c r="H2258" s="18" t="s">
        <v>171</v>
      </c>
      <c r="I2258" s="18" t="s">
        <v>87</v>
      </c>
      <c r="J2258" s="16">
        <v>2025</v>
      </c>
      <c r="K2258" s="18" t="s">
        <v>7389</v>
      </c>
      <c r="L2258" s="16">
        <v>9785002234028</v>
      </c>
      <c r="M2258" s="18" t="s">
        <v>7390</v>
      </c>
      <c r="N2258" s="16">
        <v>80</v>
      </c>
      <c r="O2258" s="19">
        <v>0.29</v>
      </c>
      <c r="P2258" s="16">
        <v>170</v>
      </c>
      <c r="Q2258" s="16">
        <v>220</v>
      </c>
      <c r="R2258" s="16">
        <v>12</v>
      </c>
      <c r="S2258" s="18" t="s">
        <v>52</v>
      </c>
      <c r="T2258" s="18"/>
      <c r="U2258" s="17">
        <v>2000</v>
      </c>
      <c r="V2258" s="18" t="s">
        <v>77</v>
      </c>
      <c r="W2258" s="18" t="s">
        <v>91</v>
      </c>
      <c r="X2258" s="16">
        <v>10</v>
      </c>
      <c r="Y2258" s="43" t="str">
        <f>HYPERLINK("https://api-enni.alpina.ru/FilePrivilegesApproval/788","https://api-enni.alpina.ru/FilePrivilegesApproval/788")</f>
        <v>https://api-enni.alpina.ru/FilePrivilegesApproval/788</v>
      </c>
      <c r="Z2258" s="18"/>
      <c r="AS2258" s="1">
        <f>IF($A2258&lt;&gt;0,1,0)</f>
        <v>0</v>
      </c>
      <c r="AT2258" s="1">
        <f>$A2258*$B2258</f>
        <v>0</v>
      </c>
      <c r="AU2258" s="1">
        <f>$A2258*$O2258</f>
        <v>0</v>
      </c>
      <c r="AV2258" s="1">
        <f>IF($R2258=0,0,INT($A2258/$R2258))</f>
        <v>0</v>
      </c>
      <c r="AW2258" s="1">
        <f>$A2258-$AV2258*$R2258</f>
        <v>0</v>
      </c>
    </row>
    <row r="2259" ht="11.1" customHeight="1" outlineLevel="3" s="1" customFormat="1">
      <c r="A2259" s="15"/>
      <c r="B2259" s="16">
        <v>651</v>
      </c>
      <c r="C2259" s="16">
        <v>976</v>
      </c>
      <c r="D2259" s="16">
        <v>30987</v>
      </c>
      <c r="E2259" s="18"/>
      <c r="F2259" s="18" t="s">
        <v>7391</v>
      </c>
      <c r="G2259" s="18" t="s">
        <v>7392</v>
      </c>
      <c r="H2259" s="18" t="s">
        <v>3948</v>
      </c>
      <c r="I2259" s="18" t="s">
        <v>7393</v>
      </c>
      <c r="J2259" s="16">
        <v>2024</v>
      </c>
      <c r="K2259" s="18" t="s">
        <v>7394</v>
      </c>
      <c r="L2259" s="16">
        <v>9785002161720</v>
      </c>
      <c r="M2259" s="18" t="s">
        <v>7395</v>
      </c>
      <c r="N2259" s="16">
        <v>384</v>
      </c>
      <c r="O2259" s="19">
        <v>0.46</v>
      </c>
      <c r="P2259" s="16">
        <v>140</v>
      </c>
      <c r="Q2259" s="16">
        <v>210</v>
      </c>
      <c r="R2259" s="16">
        <v>5</v>
      </c>
      <c r="S2259" s="18" t="s">
        <v>43</v>
      </c>
      <c r="T2259" s="18" t="s">
        <v>7364</v>
      </c>
      <c r="U2259" s="17">
        <v>2017</v>
      </c>
      <c r="V2259" s="18" t="s">
        <v>44</v>
      </c>
      <c r="W2259" s="18" t="s">
        <v>45</v>
      </c>
      <c r="X2259" s="16">
        <v>22</v>
      </c>
      <c r="Y2259" s="43" t="str">
        <f>HYPERLINK("","")</f>
      </c>
      <c r="Z2259" s="18"/>
      <c r="AS2259" s="1">
        <f>IF($A2259&lt;&gt;0,1,0)</f>
        <v>0</v>
      </c>
      <c r="AT2259" s="1">
        <f>$A2259*$B2259</f>
        <v>0</v>
      </c>
      <c r="AU2259" s="1">
        <f>$A2259*$O2259</f>
        <v>0</v>
      </c>
      <c r="AV2259" s="1">
        <f>IF($R2259=0,0,INT($A2259/$R2259))</f>
        <v>0</v>
      </c>
      <c r="AW2259" s="1">
        <f>$A2259-$AV2259*$R2259</f>
        <v>0</v>
      </c>
    </row>
    <row r="2260" ht="24.95" customHeight="1" outlineLevel="3" s="1" customFormat="1">
      <c r="A2260" s="15"/>
      <c r="B2260" s="16">
        <v>520</v>
      </c>
      <c r="C2260" s="16">
        <v>806</v>
      </c>
      <c r="D2260" s="16">
        <v>28698</v>
      </c>
      <c r="E2260" s="18"/>
      <c r="F2260" s="18" t="s">
        <v>7396</v>
      </c>
      <c r="G2260" s="18" t="s">
        <v>7397</v>
      </c>
      <c r="H2260" s="18" t="s">
        <v>64</v>
      </c>
      <c r="I2260" s="18" t="s">
        <v>160</v>
      </c>
      <c r="J2260" s="16">
        <v>2024</v>
      </c>
      <c r="K2260" s="18" t="s">
        <v>7398</v>
      </c>
      <c r="L2260" s="16">
        <v>9785961489729</v>
      </c>
      <c r="M2260" s="18" t="s">
        <v>7399</v>
      </c>
      <c r="N2260" s="16">
        <v>286</v>
      </c>
      <c r="O2260" s="19">
        <v>0.34</v>
      </c>
      <c r="P2260" s="16">
        <v>140</v>
      </c>
      <c r="Q2260" s="16">
        <v>200</v>
      </c>
      <c r="R2260" s="16">
        <v>12</v>
      </c>
      <c r="S2260" s="18" t="s">
        <v>43</v>
      </c>
      <c r="T2260" s="18"/>
      <c r="U2260" s="17">
        <v>4000</v>
      </c>
      <c r="V2260" s="18" t="s">
        <v>44</v>
      </c>
      <c r="W2260" s="18" t="s">
        <v>69</v>
      </c>
      <c r="X2260" s="16">
        <v>10</v>
      </c>
      <c r="Y2260" s="43" t="str">
        <f>HYPERLINK("https://api-enni.alpina.ru/FilePrivilegesApproval/380","https://api-enni.alpina.ru/FilePrivilegesApproval/380")</f>
        <v>https://api-enni.alpina.ru/FilePrivilegesApproval/380</v>
      </c>
      <c r="Z2260" s="18"/>
      <c r="AS2260" s="1">
        <f>IF($A2260&lt;&gt;0,1,0)</f>
        <v>0</v>
      </c>
      <c r="AT2260" s="1">
        <f>$A2260*$B2260</f>
        <v>0</v>
      </c>
      <c r="AU2260" s="1">
        <f>$A2260*$O2260</f>
        <v>0</v>
      </c>
      <c r="AV2260" s="1">
        <f>IF($R2260=0,0,INT($A2260/$R2260))</f>
        <v>0</v>
      </c>
      <c r="AW2260" s="1">
        <f>$A2260-$AV2260*$R2260</f>
        <v>0</v>
      </c>
    </row>
    <row r="2261" ht="24.95" customHeight="1" outlineLevel="3" s="1" customFormat="1">
      <c r="A2261" s="15"/>
      <c r="B2261" s="16">
        <v>550</v>
      </c>
      <c r="C2261" s="16">
        <v>852</v>
      </c>
      <c r="D2261" s="16">
        <v>27961</v>
      </c>
      <c r="E2261" s="18"/>
      <c r="F2261" s="18" t="s">
        <v>7400</v>
      </c>
      <c r="G2261" s="18" t="s">
        <v>7401</v>
      </c>
      <c r="H2261" s="18" t="s">
        <v>64</v>
      </c>
      <c r="I2261" s="18" t="s">
        <v>65</v>
      </c>
      <c r="J2261" s="16">
        <v>2025</v>
      </c>
      <c r="K2261" s="18" t="s">
        <v>7402</v>
      </c>
      <c r="L2261" s="16">
        <v>9785961486933</v>
      </c>
      <c r="M2261" s="18" t="s">
        <v>7403</v>
      </c>
      <c r="N2261" s="16">
        <v>423</v>
      </c>
      <c r="O2261" s="19">
        <v>0.35</v>
      </c>
      <c r="P2261" s="16">
        <v>140</v>
      </c>
      <c r="Q2261" s="16">
        <v>200</v>
      </c>
      <c r="R2261" s="16">
        <v>10</v>
      </c>
      <c r="S2261" s="18" t="s">
        <v>43</v>
      </c>
      <c r="T2261" s="18"/>
      <c r="U2261" s="17">
        <v>2000</v>
      </c>
      <c r="V2261" s="18" t="s">
        <v>44</v>
      </c>
      <c r="W2261" s="18" t="s">
        <v>69</v>
      </c>
      <c r="X2261" s="16">
        <v>10</v>
      </c>
      <c r="Y2261" s="43" t="str">
        <f>HYPERLINK("https://api-enni.alpina.ru/FilePrivilegesApproval/710","https://api-enni.alpina.ru/FilePrivilegesApproval/710")</f>
        <v>https://api-enni.alpina.ru/FilePrivilegesApproval/710</v>
      </c>
      <c r="Z2261" s="18"/>
      <c r="AS2261" s="1">
        <f>IF($A2261&lt;&gt;0,1,0)</f>
        <v>0</v>
      </c>
      <c r="AT2261" s="1">
        <f>$A2261*$B2261</f>
        <v>0</v>
      </c>
      <c r="AU2261" s="1">
        <f>$A2261*$O2261</f>
        <v>0</v>
      </c>
      <c r="AV2261" s="1">
        <f>IF($R2261=0,0,INT($A2261/$R2261))</f>
        <v>0</v>
      </c>
      <c r="AW2261" s="1">
        <f>$A2261-$AV2261*$R2261</f>
        <v>0</v>
      </c>
    </row>
    <row r="2262" ht="24.95" customHeight="1" outlineLevel="3" s="1" customFormat="1">
      <c r="A2262" s="15"/>
      <c r="B2262" s="16">
        <v>490</v>
      </c>
      <c r="C2262" s="16">
        <v>760</v>
      </c>
      <c r="D2262" s="16">
        <v>28957</v>
      </c>
      <c r="E2262" s="18"/>
      <c r="F2262" s="18" t="s">
        <v>7404</v>
      </c>
      <c r="G2262" s="18" t="s">
        <v>7405</v>
      </c>
      <c r="H2262" s="18" t="s">
        <v>64</v>
      </c>
      <c r="I2262" s="18" t="s">
        <v>65</v>
      </c>
      <c r="J2262" s="16">
        <v>2024</v>
      </c>
      <c r="K2262" s="18" t="s">
        <v>7406</v>
      </c>
      <c r="L2262" s="16">
        <v>9785961490824</v>
      </c>
      <c r="M2262" s="18" t="s">
        <v>7407</v>
      </c>
      <c r="N2262" s="16">
        <v>316</v>
      </c>
      <c r="O2262" s="19">
        <v>0.27</v>
      </c>
      <c r="P2262" s="16">
        <v>140</v>
      </c>
      <c r="Q2262" s="16">
        <v>200</v>
      </c>
      <c r="R2262" s="16">
        <v>14</v>
      </c>
      <c r="S2262" s="18" t="s">
        <v>43</v>
      </c>
      <c r="T2262" s="18"/>
      <c r="U2262" s="17">
        <v>3000</v>
      </c>
      <c r="V2262" s="18" t="s">
        <v>44</v>
      </c>
      <c r="W2262" s="18" t="s">
        <v>69</v>
      </c>
      <c r="X2262" s="16">
        <v>10</v>
      </c>
      <c r="Y2262" s="43" t="str">
        <f>HYPERLINK("https://api-enni.alpina.ru/FilePrivilegesApproval/370","https://api-enni.alpina.ru/FilePrivilegesApproval/370")</f>
        <v>https://api-enni.alpina.ru/FilePrivilegesApproval/370</v>
      </c>
      <c r="Z2262" s="18"/>
      <c r="AS2262" s="1">
        <f>IF($A2262&lt;&gt;0,1,0)</f>
        <v>0</v>
      </c>
      <c r="AT2262" s="1">
        <f>$A2262*$B2262</f>
        <v>0</v>
      </c>
      <c r="AU2262" s="1">
        <f>$A2262*$O2262</f>
        <v>0</v>
      </c>
      <c r="AV2262" s="1">
        <f>IF($R2262=0,0,INT($A2262/$R2262))</f>
        <v>0</v>
      </c>
      <c r="AW2262" s="1">
        <f>$A2262-$AV2262*$R2262</f>
        <v>0</v>
      </c>
    </row>
    <row r="2263" ht="24.95" customHeight="1" outlineLevel="3" s="1" customFormat="1">
      <c r="A2263" s="15"/>
      <c r="B2263" s="16">
        <v>620</v>
      </c>
      <c r="C2263" s="16">
        <v>930</v>
      </c>
      <c r="D2263" s="16">
        <v>31071</v>
      </c>
      <c r="E2263" s="18"/>
      <c r="F2263" s="18" t="s">
        <v>7408</v>
      </c>
      <c r="G2263" s="18" t="s">
        <v>7409</v>
      </c>
      <c r="H2263" s="18" t="s">
        <v>64</v>
      </c>
      <c r="I2263" s="18" t="s">
        <v>74</v>
      </c>
      <c r="J2263" s="16">
        <v>2026</v>
      </c>
      <c r="K2263" s="18" t="s">
        <v>7410</v>
      </c>
      <c r="L2263" s="16">
        <v>9785961497403</v>
      </c>
      <c r="M2263" s="18" t="s">
        <v>7411</v>
      </c>
      <c r="N2263" s="16">
        <v>436</v>
      </c>
      <c r="O2263" s="19">
        <v>0.38</v>
      </c>
      <c r="P2263" s="16">
        <v>140</v>
      </c>
      <c r="Q2263" s="16">
        <v>200</v>
      </c>
      <c r="R2263" s="16">
        <v>12</v>
      </c>
      <c r="S2263" s="18" t="s">
        <v>43</v>
      </c>
      <c r="T2263" s="18"/>
      <c r="U2263" s="17">
        <v>2000</v>
      </c>
      <c r="V2263" s="18" t="s">
        <v>44</v>
      </c>
      <c r="W2263" s="18" t="s">
        <v>45</v>
      </c>
      <c r="X2263" s="16">
        <v>10</v>
      </c>
      <c r="Y2263" s="43" t="str">
        <f>HYPERLINK("https://api-enni.alpina.ru/FilePrivilegesApproval/910","https://api-enni.alpina.ru/FilePrivilegesApproval/910")</f>
        <v>https://api-enni.alpina.ru/FilePrivilegesApproval/910</v>
      </c>
      <c r="Z2263" s="18" t="s">
        <v>144</v>
      </c>
      <c r="AS2263" s="1">
        <f>IF($A2263&lt;&gt;0,1,0)</f>
        <v>0</v>
      </c>
      <c r="AT2263" s="1">
        <f>$A2263*$B2263</f>
        <v>0</v>
      </c>
      <c r="AU2263" s="1">
        <f>$A2263*$O2263</f>
        <v>0</v>
      </c>
      <c r="AV2263" s="1">
        <f>IF($R2263=0,0,INT($A2263/$R2263))</f>
        <v>0</v>
      </c>
      <c r="AW2263" s="1">
        <f>$A2263-$AV2263*$R2263</f>
        <v>0</v>
      </c>
    </row>
    <row r="2264" ht="24.95" customHeight="1" outlineLevel="3" s="1" customFormat="1">
      <c r="A2264" s="15"/>
      <c r="B2264" s="16">
        <v>590</v>
      </c>
      <c r="C2264" s="16">
        <v>885</v>
      </c>
      <c r="D2264" s="16">
        <v>28471</v>
      </c>
      <c r="E2264" s="18"/>
      <c r="F2264" s="18" t="s">
        <v>7412</v>
      </c>
      <c r="G2264" s="18" t="s">
        <v>7413</v>
      </c>
      <c r="H2264" s="18" t="s">
        <v>64</v>
      </c>
      <c r="I2264" s="18" t="s">
        <v>65</v>
      </c>
      <c r="J2264" s="16">
        <v>2024</v>
      </c>
      <c r="K2264" s="18" t="s">
        <v>7414</v>
      </c>
      <c r="L2264" s="16">
        <v>9785961489057</v>
      </c>
      <c r="M2264" s="18" t="s">
        <v>7415</v>
      </c>
      <c r="N2264" s="16">
        <v>640</v>
      </c>
      <c r="O2264" s="19">
        <v>0.54</v>
      </c>
      <c r="P2264" s="16">
        <v>140</v>
      </c>
      <c r="Q2264" s="16">
        <v>200</v>
      </c>
      <c r="R2264" s="16">
        <v>10</v>
      </c>
      <c r="S2264" s="18" t="s">
        <v>43</v>
      </c>
      <c r="T2264" s="18"/>
      <c r="U2264" s="17">
        <v>4000</v>
      </c>
      <c r="V2264" s="18" t="s">
        <v>44</v>
      </c>
      <c r="W2264" s="18" t="s">
        <v>45</v>
      </c>
      <c r="X2264" s="16">
        <v>10</v>
      </c>
      <c r="Y2264" s="43" t="str">
        <f>HYPERLINK("https://api-enni.alpina.ru/FilePrivilegesApproval/547","https://api-enni.alpina.ru/FilePrivilegesApproval/547")</f>
        <v>https://api-enni.alpina.ru/FilePrivilegesApproval/547</v>
      </c>
      <c r="Z2264" s="18"/>
      <c r="AS2264" s="1">
        <f>IF($A2264&lt;&gt;0,1,0)</f>
        <v>0</v>
      </c>
      <c r="AT2264" s="1">
        <f>$A2264*$B2264</f>
        <v>0</v>
      </c>
      <c r="AU2264" s="1">
        <f>$A2264*$O2264</f>
        <v>0</v>
      </c>
      <c r="AV2264" s="1">
        <f>IF($R2264=0,0,INT($A2264/$R2264))</f>
        <v>0</v>
      </c>
      <c r="AW2264" s="1">
        <f>$A2264-$AV2264*$R2264</f>
        <v>0</v>
      </c>
    </row>
    <row r="2265" ht="24.95" customHeight="1" outlineLevel="3" s="1" customFormat="1">
      <c r="A2265" s="15"/>
      <c r="B2265" s="17">
        <v>1140</v>
      </c>
      <c r="C2265" s="17">
        <v>1539</v>
      </c>
      <c r="D2265" s="16">
        <v>1747</v>
      </c>
      <c r="E2265" s="18"/>
      <c r="F2265" s="18" t="s">
        <v>496</v>
      </c>
      <c r="G2265" s="18" t="s">
        <v>626</v>
      </c>
      <c r="H2265" s="18" t="s">
        <v>86</v>
      </c>
      <c r="I2265" s="18" t="s">
        <v>74</v>
      </c>
      <c r="J2265" s="16">
        <v>2026</v>
      </c>
      <c r="K2265" s="18" t="s">
        <v>627</v>
      </c>
      <c r="L2265" s="16">
        <v>9785961465372</v>
      </c>
      <c r="M2265" s="18" t="s">
        <v>628</v>
      </c>
      <c r="N2265" s="16">
        <v>808</v>
      </c>
      <c r="O2265" s="19">
        <v>0.99</v>
      </c>
      <c r="P2265" s="16">
        <v>150</v>
      </c>
      <c r="Q2265" s="16">
        <v>210</v>
      </c>
      <c r="R2265" s="16">
        <v>4</v>
      </c>
      <c r="S2265" s="18" t="s">
        <v>43</v>
      </c>
      <c r="T2265" s="18"/>
      <c r="U2265" s="17">
        <v>6000</v>
      </c>
      <c r="V2265" s="18" t="s">
        <v>77</v>
      </c>
      <c r="W2265" s="18" t="s">
        <v>69</v>
      </c>
      <c r="X2265" s="16">
        <v>10</v>
      </c>
      <c r="Y2265" s="43" t="str">
        <f>HYPERLINK("https://api-enni.alpina.ru/FilePrivilegesApproval/2","https://api-enni.alpina.ru/FilePrivilegesApproval/2")</f>
        <v>https://api-enni.alpina.ru/FilePrivilegesApproval/2</v>
      </c>
      <c r="Z2265" s="18" t="s">
        <v>629</v>
      </c>
      <c r="AS2265" s="1">
        <f>IF($A2265&lt;&gt;0,1,0)</f>
        <v>0</v>
      </c>
      <c r="AT2265" s="1">
        <f>$A2265*$B2265</f>
        <v>0</v>
      </c>
      <c r="AU2265" s="1">
        <f>$A2265*$O2265</f>
        <v>0</v>
      </c>
      <c r="AV2265" s="1">
        <f>IF($R2265=0,0,INT($A2265/$R2265))</f>
        <v>0</v>
      </c>
      <c r="AW2265" s="1">
        <f>$A2265-$AV2265*$R2265</f>
        <v>0</v>
      </c>
    </row>
    <row r="2266" ht="24.95" customHeight="1" outlineLevel="3" s="1" customFormat="1">
      <c r="A2266" s="15"/>
      <c r="B2266" s="16">
        <v>790</v>
      </c>
      <c r="C2266" s="17">
        <v>1146</v>
      </c>
      <c r="D2266" s="16">
        <v>2578</v>
      </c>
      <c r="E2266" s="18"/>
      <c r="F2266" s="18" t="s">
        <v>496</v>
      </c>
      <c r="G2266" s="18" t="s">
        <v>7416</v>
      </c>
      <c r="H2266" s="18" t="s">
        <v>86</v>
      </c>
      <c r="I2266" s="18" t="s">
        <v>74</v>
      </c>
      <c r="J2266" s="16">
        <v>2025</v>
      </c>
      <c r="K2266" s="18" t="s">
        <v>7417</v>
      </c>
      <c r="L2266" s="16">
        <v>9785961467772</v>
      </c>
      <c r="M2266" s="18" t="s">
        <v>7418</v>
      </c>
      <c r="N2266" s="16">
        <v>800</v>
      </c>
      <c r="O2266" s="19">
        <v>0.73</v>
      </c>
      <c r="P2266" s="16">
        <v>141</v>
      </c>
      <c r="Q2266" s="16">
        <v>210</v>
      </c>
      <c r="R2266" s="16">
        <v>4</v>
      </c>
      <c r="S2266" s="18" t="s">
        <v>43</v>
      </c>
      <c r="T2266" s="18"/>
      <c r="U2266" s="17">
        <v>5000</v>
      </c>
      <c r="V2266" s="18" t="s">
        <v>44</v>
      </c>
      <c r="W2266" s="18" t="s">
        <v>69</v>
      </c>
      <c r="X2266" s="16">
        <v>10</v>
      </c>
      <c r="Y2266" s="43" t="str">
        <f>HYPERLINK("https://api-enni.alpina.ru/FilePrivilegesApproval/2","https://api-enni.alpina.ru/FilePrivilegesApproval/2")</f>
        <v>https://api-enni.alpina.ru/FilePrivilegesApproval/2</v>
      </c>
      <c r="Z2266" s="18"/>
      <c r="AS2266" s="1">
        <f>IF($A2266&lt;&gt;0,1,0)</f>
        <v>0</v>
      </c>
      <c r="AT2266" s="1">
        <f>$A2266*$B2266</f>
        <v>0</v>
      </c>
      <c r="AU2266" s="1">
        <f>$A2266*$O2266</f>
        <v>0</v>
      </c>
      <c r="AV2266" s="1">
        <f>IF($R2266=0,0,INT($A2266/$R2266))</f>
        <v>0</v>
      </c>
      <c r="AW2266" s="1">
        <f>$A2266-$AV2266*$R2266</f>
        <v>0</v>
      </c>
    </row>
    <row r="2267" ht="24.95" customHeight="1" outlineLevel="3" s="1" customFormat="1">
      <c r="A2267" s="15"/>
      <c r="B2267" s="16">
        <v>590</v>
      </c>
      <c r="C2267" s="16">
        <v>885</v>
      </c>
      <c r="D2267" s="16">
        <v>30994</v>
      </c>
      <c r="E2267" s="18"/>
      <c r="F2267" s="18" t="s">
        <v>199</v>
      </c>
      <c r="G2267" s="18" t="s">
        <v>7419</v>
      </c>
      <c r="H2267" s="18" t="s">
        <v>171</v>
      </c>
      <c r="I2267" s="18" t="s">
        <v>87</v>
      </c>
      <c r="J2267" s="16">
        <v>2025</v>
      </c>
      <c r="K2267" s="18" t="s">
        <v>7420</v>
      </c>
      <c r="L2267" s="16">
        <v>9785002233182</v>
      </c>
      <c r="M2267" s="18" t="s">
        <v>7421</v>
      </c>
      <c r="N2267" s="16">
        <v>96</v>
      </c>
      <c r="O2267" s="19">
        <v>0.16</v>
      </c>
      <c r="P2267" s="16">
        <v>130</v>
      </c>
      <c r="Q2267" s="16">
        <v>210</v>
      </c>
      <c r="R2267" s="16">
        <v>28</v>
      </c>
      <c r="S2267" s="18" t="s">
        <v>90</v>
      </c>
      <c r="T2267" s="18"/>
      <c r="U2267" s="17">
        <v>3000</v>
      </c>
      <c r="V2267" s="18" t="s">
        <v>77</v>
      </c>
      <c r="W2267" s="18" t="s">
        <v>69</v>
      </c>
      <c r="X2267" s="16">
        <v>10</v>
      </c>
      <c r="Y2267" s="43" t="str">
        <f>HYPERLINK("https://api-enni.alpina.ru/FilePrivilegesApproval/776","https://api-enni.alpina.ru/FilePrivilegesApproval/776")</f>
        <v>https://api-enni.alpina.ru/FilePrivilegesApproval/776</v>
      </c>
      <c r="Z2267" s="18"/>
      <c r="AS2267" s="1">
        <f>IF($A2267&lt;&gt;0,1,0)</f>
        <v>0</v>
      </c>
      <c r="AT2267" s="1">
        <f>$A2267*$B2267</f>
        <v>0</v>
      </c>
      <c r="AU2267" s="1">
        <f>$A2267*$O2267</f>
        <v>0</v>
      </c>
      <c r="AV2267" s="1">
        <f>IF($R2267=0,0,INT($A2267/$R2267))</f>
        <v>0</v>
      </c>
      <c r="AW2267" s="1">
        <f>$A2267-$AV2267*$R2267</f>
        <v>0</v>
      </c>
    </row>
    <row r="2268" ht="24.95" customHeight="1" outlineLevel="3" s="1" customFormat="1">
      <c r="A2268" s="15"/>
      <c r="B2268" s="16">
        <v>660</v>
      </c>
      <c r="C2268" s="16">
        <v>990</v>
      </c>
      <c r="D2268" s="16">
        <v>31711</v>
      </c>
      <c r="E2268" s="18"/>
      <c r="F2268" s="18" t="s">
        <v>7422</v>
      </c>
      <c r="G2268" s="18" t="s">
        <v>7423</v>
      </c>
      <c r="H2268" s="18" t="s">
        <v>64</v>
      </c>
      <c r="I2268" s="18" t="s">
        <v>74</v>
      </c>
      <c r="J2268" s="16">
        <v>2026</v>
      </c>
      <c r="K2268" s="18" t="s">
        <v>7424</v>
      </c>
      <c r="L2268" s="16">
        <v>9785961499117</v>
      </c>
      <c r="M2268" s="18" t="s">
        <v>7425</v>
      </c>
      <c r="N2268" s="16">
        <v>380</v>
      </c>
      <c r="O2268" s="19">
        <v>0.33</v>
      </c>
      <c r="P2268" s="16">
        <v>140</v>
      </c>
      <c r="Q2268" s="16">
        <v>200</v>
      </c>
      <c r="R2268" s="16">
        <v>6</v>
      </c>
      <c r="S2268" s="18" t="s">
        <v>43</v>
      </c>
      <c r="T2268" s="18"/>
      <c r="U2268" s="17">
        <v>4000</v>
      </c>
      <c r="V2268" s="18" t="s">
        <v>44</v>
      </c>
      <c r="W2268" s="18" t="s">
        <v>69</v>
      </c>
      <c r="X2268" s="16">
        <v>10</v>
      </c>
      <c r="Y2268" s="43" t="str">
        <f>HYPERLINK("https://api-enni.alpina.ru/FilePrivilegesApproval/1109","https://api-enni.alpina.ru/FilePrivilegesApproval/1109")</f>
        <v>https://api-enni.alpina.ru/FilePrivilegesApproval/1109</v>
      </c>
      <c r="Z2268" s="18"/>
      <c r="AS2268" s="1">
        <f>IF($A2268&lt;&gt;0,1,0)</f>
        <v>0</v>
      </c>
      <c r="AT2268" s="1">
        <f>$A2268*$B2268</f>
        <v>0</v>
      </c>
      <c r="AU2268" s="1">
        <f>$A2268*$O2268</f>
        <v>0</v>
      </c>
      <c r="AV2268" s="1">
        <f>IF($R2268=0,0,INT($A2268/$R2268))</f>
        <v>0</v>
      </c>
      <c r="AW2268" s="1">
        <f>$A2268-$AV2268*$R2268</f>
        <v>0</v>
      </c>
    </row>
    <row r="2269" ht="24.95" customHeight="1" outlineLevel="3" s="1" customFormat="1">
      <c r="A2269" s="15"/>
      <c r="B2269" s="16">
        <v>550</v>
      </c>
      <c r="C2269" s="16">
        <v>852</v>
      </c>
      <c r="D2269" s="16">
        <v>33033</v>
      </c>
      <c r="E2269" s="18"/>
      <c r="F2269" s="18" t="s">
        <v>7426</v>
      </c>
      <c r="G2269" s="18" t="s">
        <v>7427</v>
      </c>
      <c r="H2269" s="18" t="s">
        <v>64</v>
      </c>
      <c r="I2269" s="18" t="s">
        <v>160</v>
      </c>
      <c r="J2269" s="16">
        <v>2025</v>
      </c>
      <c r="K2269" s="18" t="s">
        <v>7428</v>
      </c>
      <c r="L2269" s="16">
        <v>9785006303669</v>
      </c>
      <c r="M2269" s="18" t="s">
        <v>7429</v>
      </c>
      <c r="N2269" s="16">
        <v>200</v>
      </c>
      <c r="O2269" s="19">
        <v>0.17</v>
      </c>
      <c r="P2269" s="16">
        <v>140</v>
      </c>
      <c r="Q2269" s="16">
        <v>200</v>
      </c>
      <c r="R2269" s="16">
        <v>20</v>
      </c>
      <c r="S2269" s="18" t="s">
        <v>43</v>
      </c>
      <c r="T2269" s="18"/>
      <c r="U2269" s="17">
        <v>3000</v>
      </c>
      <c r="V2269" s="18" t="s">
        <v>44</v>
      </c>
      <c r="W2269" s="18" t="s">
        <v>69</v>
      </c>
      <c r="X2269" s="16">
        <v>10</v>
      </c>
      <c r="Y2269" s="43" t="str">
        <f>HYPERLINK("https://api-enni.alpina.ru/FilePrivilegesApproval/974","https://api-enni.alpina.ru/FilePrivilegesApproval/974")</f>
        <v>https://api-enni.alpina.ru/FilePrivilegesApproval/974</v>
      </c>
      <c r="Z2269" s="18"/>
      <c r="AS2269" s="1">
        <f>IF($A2269&lt;&gt;0,1,0)</f>
        <v>0</v>
      </c>
      <c r="AT2269" s="1">
        <f>$A2269*$B2269</f>
        <v>0</v>
      </c>
      <c r="AU2269" s="1">
        <f>$A2269*$O2269</f>
        <v>0</v>
      </c>
      <c r="AV2269" s="1">
        <f>IF($R2269=0,0,INT($A2269/$R2269))</f>
        <v>0</v>
      </c>
      <c r="AW2269" s="1">
        <f>$A2269-$AV2269*$R2269</f>
        <v>0</v>
      </c>
    </row>
    <row r="2270" ht="21.95" customHeight="1" outlineLevel="3" s="1" customFormat="1">
      <c r="A2270" s="15"/>
      <c r="B2270" s="16">
        <v>854</v>
      </c>
      <c r="C2270" s="17">
        <v>1196</v>
      </c>
      <c r="D2270" s="16">
        <v>34057</v>
      </c>
      <c r="E2270" s="18"/>
      <c r="F2270" s="18" t="s">
        <v>7430</v>
      </c>
      <c r="G2270" s="18" t="s">
        <v>7431</v>
      </c>
      <c r="H2270" s="18" t="s">
        <v>592</v>
      </c>
      <c r="I2270" s="18"/>
      <c r="J2270" s="16">
        <v>2025</v>
      </c>
      <c r="K2270" s="18" t="s">
        <v>7432</v>
      </c>
      <c r="L2270" s="16">
        <v>9786018225376</v>
      </c>
      <c r="M2270" s="18" t="s">
        <v>7433</v>
      </c>
      <c r="N2270" s="16">
        <v>208</v>
      </c>
      <c r="O2270" s="19">
        <v>0.34</v>
      </c>
      <c r="P2270" s="16">
        <v>150</v>
      </c>
      <c r="Q2270" s="16">
        <v>220</v>
      </c>
      <c r="R2270" s="16">
        <v>5</v>
      </c>
      <c r="S2270" s="18" t="s">
        <v>43</v>
      </c>
      <c r="T2270" s="18"/>
      <c r="U2270" s="17">
        <v>1000</v>
      </c>
      <c r="V2270" s="18" t="s">
        <v>77</v>
      </c>
      <c r="W2270" s="18" t="s">
        <v>45</v>
      </c>
      <c r="X2270" s="16">
        <v>22</v>
      </c>
      <c r="Y2270" s="43" t="str">
        <f>HYPERLINK("","")</f>
      </c>
      <c r="Z2270" s="18"/>
      <c r="AS2270" s="1">
        <f>IF($A2270&lt;&gt;0,1,0)</f>
        <v>0</v>
      </c>
      <c r="AT2270" s="1">
        <f>$A2270*$B2270</f>
        <v>0</v>
      </c>
      <c r="AU2270" s="1">
        <f>$A2270*$O2270</f>
        <v>0</v>
      </c>
      <c r="AV2270" s="1">
        <f>IF($R2270=0,0,INT($A2270/$R2270))</f>
        <v>0</v>
      </c>
      <c r="AW2270" s="1">
        <f>$A2270-$AV2270*$R2270</f>
        <v>0</v>
      </c>
    </row>
    <row r="2271" ht="24.95" customHeight="1" outlineLevel="3" s="1" customFormat="1">
      <c r="A2271" s="15"/>
      <c r="B2271" s="16">
        <v>690</v>
      </c>
      <c r="C2271" s="17">
        <v>1035</v>
      </c>
      <c r="D2271" s="16">
        <v>37488</v>
      </c>
      <c r="E2271" s="18"/>
      <c r="F2271" s="18" t="s">
        <v>199</v>
      </c>
      <c r="G2271" s="18" t="s">
        <v>200</v>
      </c>
      <c r="H2271" s="18" t="s">
        <v>171</v>
      </c>
      <c r="I2271" s="18" t="s">
        <v>87</v>
      </c>
      <c r="J2271" s="16">
        <v>2026</v>
      </c>
      <c r="K2271" s="18" t="s">
        <v>201</v>
      </c>
      <c r="L2271" s="16">
        <v>9785002239825</v>
      </c>
      <c r="M2271" s="18" t="s">
        <v>202</v>
      </c>
      <c r="N2271" s="16">
        <v>496</v>
      </c>
      <c r="O2271" s="19">
        <v>0.45</v>
      </c>
      <c r="P2271" s="16">
        <v>140</v>
      </c>
      <c r="Q2271" s="16">
        <v>210</v>
      </c>
      <c r="R2271" s="16">
        <v>10</v>
      </c>
      <c r="S2271" s="18" t="s">
        <v>43</v>
      </c>
      <c r="T2271" s="18"/>
      <c r="U2271" s="17">
        <v>2000</v>
      </c>
      <c r="V2271" s="18" t="s">
        <v>44</v>
      </c>
      <c r="W2271" s="18" t="s">
        <v>69</v>
      </c>
      <c r="X2271" s="16">
        <v>10</v>
      </c>
      <c r="Y2271" s="43" t="str">
        <f>HYPERLINK("https://api-enni.alpina.ru/FilePrivilegesApproval/1202","https://api-enni.alpina.ru/FilePrivilegesApproval/1202")</f>
        <v>https://api-enni.alpina.ru/FilePrivilegesApproval/1202</v>
      </c>
      <c r="Z2271" s="18" t="s">
        <v>108</v>
      </c>
      <c r="AS2271" s="1">
        <f>IF($A2271&lt;&gt;0,1,0)</f>
        <v>0</v>
      </c>
      <c r="AT2271" s="1">
        <f>$A2271*$B2271</f>
        <v>0</v>
      </c>
      <c r="AU2271" s="1">
        <f>$A2271*$O2271</f>
        <v>0</v>
      </c>
      <c r="AV2271" s="1">
        <f>IF($R2271=0,0,INT($A2271/$R2271))</f>
        <v>0</v>
      </c>
      <c r="AW2271" s="1">
        <f>$A2271-$AV2271*$R2271</f>
        <v>0</v>
      </c>
    </row>
    <row r="2272" ht="24.95" customHeight="1" outlineLevel="3" s="1" customFormat="1">
      <c r="A2272" s="15"/>
      <c r="B2272" s="16">
        <v>520</v>
      </c>
      <c r="C2272" s="16">
        <v>806</v>
      </c>
      <c r="D2272" s="16">
        <v>30412</v>
      </c>
      <c r="E2272" s="18"/>
      <c r="F2272" s="18" t="s">
        <v>348</v>
      </c>
      <c r="G2272" s="18" t="s">
        <v>7434</v>
      </c>
      <c r="H2272" s="18" t="s">
        <v>64</v>
      </c>
      <c r="I2272" s="18" t="s">
        <v>160</v>
      </c>
      <c r="J2272" s="16">
        <v>2024</v>
      </c>
      <c r="K2272" s="18" t="s">
        <v>7435</v>
      </c>
      <c r="L2272" s="16">
        <v>9785961495430</v>
      </c>
      <c r="M2272" s="18" t="s">
        <v>7436</v>
      </c>
      <c r="N2272" s="16">
        <v>260</v>
      </c>
      <c r="O2272" s="19">
        <v>0.22</v>
      </c>
      <c r="P2272" s="16">
        <v>140</v>
      </c>
      <c r="Q2272" s="16">
        <v>200</v>
      </c>
      <c r="R2272" s="16">
        <v>14</v>
      </c>
      <c r="S2272" s="18" t="s">
        <v>43</v>
      </c>
      <c r="T2272" s="18"/>
      <c r="U2272" s="17">
        <v>4000</v>
      </c>
      <c r="V2272" s="18" t="s">
        <v>44</v>
      </c>
      <c r="W2272" s="18" t="s">
        <v>45</v>
      </c>
      <c r="X2272" s="16">
        <v>10</v>
      </c>
      <c r="Y2272" s="43" t="str">
        <f>HYPERLINK("https://api-enni.alpina.ru/FilePrivilegesApproval/717","https://api-enni.alpina.ru/FilePrivilegesApproval/717")</f>
        <v>https://api-enni.alpina.ru/FilePrivilegesApproval/717</v>
      </c>
      <c r="Z2272" s="18"/>
      <c r="AS2272" s="1">
        <f>IF($A2272&lt;&gt;0,1,0)</f>
        <v>0</v>
      </c>
      <c r="AT2272" s="1">
        <f>$A2272*$B2272</f>
        <v>0</v>
      </c>
      <c r="AU2272" s="1">
        <f>$A2272*$O2272</f>
        <v>0</v>
      </c>
      <c r="AV2272" s="1">
        <f>IF($R2272=0,0,INT($A2272/$R2272))</f>
        <v>0</v>
      </c>
      <c r="AW2272" s="1">
        <f>$A2272-$AV2272*$R2272</f>
        <v>0</v>
      </c>
    </row>
    <row r="2273" ht="24.95" customHeight="1" outlineLevel="3" s="1" customFormat="1">
      <c r="A2273" s="15"/>
      <c r="B2273" s="16">
        <v>550</v>
      </c>
      <c r="C2273" s="16">
        <v>852</v>
      </c>
      <c r="D2273" s="16">
        <v>31843</v>
      </c>
      <c r="E2273" s="18"/>
      <c r="F2273" s="18" t="s">
        <v>7348</v>
      </c>
      <c r="G2273" s="18" t="s">
        <v>7437</v>
      </c>
      <c r="H2273" s="18" t="s">
        <v>64</v>
      </c>
      <c r="I2273" s="18" t="s">
        <v>160</v>
      </c>
      <c r="J2273" s="16">
        <v>2026</v>
      </c>
      <c r="K2273" s="18" t="s">
        <v>7438</v>
      </c>
      <c r="L2273" s="16">
        <v>9785006300378</v>
      </c>
      <c r="M2273" s="18" t="s">
        <v>7439</v>
      </c>
      <c r="N2273" s="16">
        <v>238</v>
      </c>
      <c r="O2273" s="19">
        <v>0.2</v>
      </c>
      <c r="P2273" s="16">
        <v>140</v>
      </c>
      <c r="Q2273" s="16">
        <v>200</v>
      </c>
      <c r="R2273" s="16">
        <v>16</v>
      </c>
      <c r="S2273" s="18" t="s">
        <v>43</v>
      </c>
      <c r="T2273" s="18"/>
      <c r="U2273" s="17">
        <v>3000</v>
      </c>
      <c r="V2273" s="18" t="s">
        <v>44</v>
      </c>
      <c r="W2273" s="18" t="s">
        <v>69</v>
      </c>
      <c r="X2273" s="16">
        <v>10</v>
      </c>
      <c r="Y2273" s="43" t="str">
        <f>HYPERLINK("https://api-enni.alpina.ru/FilePrivilegesApproval/956","https://api-enni.alpina.ru/FilePrivilegesApproval/956")</f>
        <v>https://api-enni.alpina.ru/FilePrivilegesApproval/956</v>
      </c>
      <c r="Z2273" s="18"/>
      <c r="AS2273" s="1">
        <f>IF($A2273&lt;&gt;0,1,0)</f>
        <v>0</v>
      </c>
      <c r="AT2273" s="1">
        <f>$A2273*$B2273</f>
        <v>0</v>
      </c>
      <c r="AU2273" s="1">
        <f>$A2273*$O2273</f>
        <v>0</v>
      </c>
      <c r="AV2273" s="1">
        <f>IF($R2273=0,0,INT($A2273/$R2273))</f>
        <v>0</v>
      </c>
      <c r="AW2273" s="1">
        <f>$A2273-$AV2273*$R2273</f>
        <v>0</v>
      </c>
    </row>
    <row r="2274" ht="24.95" customHeight="1" outlineLevel="3" s="1" customFormat="1">
      <c r="A2274" s="15"/>
      <c r="B2274" s="16">
        <v>990</v>
      </c>
      <c r="C2274" s="17">
        <v>1386</v>
      </c>
      <c r="D2274" s="16">
        <v>26705</v>
      </c>
      <c r="E2274" s="18"/>
      <c r="F2274" s="18" t="s">
        <v>7440</v>
      </c>
      <c r="G2274" s="18" t="s">
        <v>7441</v>
      </c>
      <c r="H2274" s="18" t="s">
        <v>171</v>
      </c>
      <c r="I2274" s="18" t="s">
        <v>74</v>
      </c>
      <c r="J2274" s="16">
        <v>2026</v>
      </c>
      <c r="K2274" s="18" t="s">
        <v>7442</v>
      </c>
      <c r="L2274" s="16">
        <v>9785001398295</v>
      </c>
      <c r="M2274" s="18" t="s">
        <v>7443</v>
      </c>
      <c r="N2274" s="16">
        <v>368</v>
      </c>
      <c r="O2274" s="19">
        <v>0.44</v>
      </c>
      <c r="P2274" s="16">
        <v>150</v>
      </c>
      <c r="Q2274" s="16">
        <v>220</v>
      </c>
      <c r="R2274" s="16">
        <v>10</v>
      </c>
      <c r="S2274" s="18" t="s">
        <v>43</v>
      </c>
      <c r="T2274" s="18"/>
      <c r="U2274" s="17">
        <v>1000</v>
      </c>
      <c r="V2274" s="18" t="s">
        <v>77</v>
      </c>
      <c r="W2274" s="18" t="s">
        <v>69</v>
      </c>
      <c r="X2274" s="16">
        <v>10</v>
      </c>
      <c r="Y2274" s="43" t="str">
        <f>HYPERLINK("https://api-enni.alpina.ru/FilePrivilegesApproval/197","https://api-enni.alpina.ru/FilePrivilegesApproval/197")</f>
        <v>https://api-enni.alpina.ru/FilePrivilegesApproval/197</v>
      </c>
      <c r="Z2274" s="18" t="s">
        <v>410</v>
      </c>
      <c r="AS2274" s="1">
        <f>IF($A2274&lt;&gt;0,1,0)</f>
        <v>0</v>
      </c>
      <c r="AT2274" s="1">
        <f>$A2274*$B2274</f>
        <v>0</v>
      </c>
      <c r="AU2274" s="1">
        <f>$A2274*$O2274</f>
        <v>0</v>
      </c>
      <c r="AV2274" s="1">
        <f>IF($R2274=0,0,INT($A2274/$R2274))</f>
        <v>0</v>
      </c>
      <c r="AW2274" s="1">
        <f>$A2274-$AV2274*$R2274</f>
        <v>0</v>
      </c>
    </row>
    <row r="2275" ht="24.95" customHeight="1" outlineLevel="3" s="1" customFormat="1">
      <c r="A2275" s="15"/>
      <c r="B2275" s="16">
        <v>550</v>
      </c>
      <c r="C2275" s="16">
        <v>852</v>
      </c>
      <c r="D2275" s="16">
        <v>33154</v>
      </c>
      <c r="E2275" s="18"/>
      <c r="F2275" s="18" t="s">
        <v>7444</v>
      </c>
      <c r="G2275" s="18" t="s">
        <v>7445</v>
      </c>
      <c r="H2275" s="18" t="s">
        <v>64</v>
      </c>
      <c r="I2275" s="18" t="s">
        <v>160</v>
      </c>
      <c r="J2275" s="16">
        <v>2025</v>
      </c>
      <c r="K2275" s="18" t="s">
        <v>7446</v>
      </c>
      <c r="L2275" s="16">
        <v>9785006303836</v>
      </c>
      <c r="M2275" s="18" t="s">
        <v>7447</v>
      </c>
      <c r="N2275" s="16">
        <v>176</v>
      </c>
      <c r="O2275" s="19">
        <v>0.13</v>
      </c>
      <c r="P2275" s="16">
        <v>140</v>
      </c>
      <c r="Q2275" s="16">
        <v>200</v>
      </c>
      <c r="R2275" s="16">
        <v>20</v>
      </c>
      <c r="S2275" s="18" t="s">
        <v>43</v>
      </c>
      <c r="T2275" s="18" t="s">
        <v>7448</v>
      </c>
      <c r="U2275" s="17">
        <v>3000</v>
      </c>
      <c r="V2275" s="18" t="s">
        <v>44</v>
      </c>
      <c r="W2275" s="18" t="s">
        <v>69</v>
      </c>
      <c r="X2275" s="16">
        <v>10</v>
      </c>
      <c r="Y2275" s="43" t="str">
        <f>HYPERLINK("https://api-enni.alpina.ru/FilePrivilegesApproval/999","https://api-enni.alpina.ru/FilePrivilegesApproval/999")</f>
        <v>https://api-enni.alpina.ru/FilePrivilegesApproval/999</v>
      </c>
      <c r="Z2275" s="18"/>
      <c r="AS2275" s="1">
        <f>IF($A2275&lt;&gt;0,1,0)</f>
        <v>0</v>
      </c>
      <c r="AT2275" s="1">
        <f>$A2275*$B2275</f>
        <v>0</v>
      </c>
      <c r="AU2275" s="1">
        <f>$A2275*$O2275</f>
        <v>0</v>
      </c>
      <c r="AV2275" s="1">
        <f>IF($R2275=0,0,INT($A2275/$R2275))</f>
        <v>0</v>
      </c>
      <c r="AW2275" s="1">
        <f>$A2275-$AV2275*$R2275</f>
        <v>0</v>
      </c>
    </row>
    <row r="2276" ht="24.95" customHeight="1" outlineLevel="3" s="1" customFormat="1">
      <c r="A2276" s="25"/>
      <c r="B2276" s="26">
        <v>630</v>
      </c>
      <c r="C2276" s="26">
        <v>945</v>
      </c>
      <c r="D2276" s="26">
        <v>34979</v>
      </c>
      <c r="E2276" s="27"/>
      <c r="F2276" s="27" t="s">
        <v>749</v>
      </c>
      <c r="G2276" s="27" t="s">
        <v>750</v>
      </c>
      <c r="H2276" s="27" t="s">
        <v>64</v>
      </c>
      <c r="I2276" s="27" t="s">
        <v>160</v>
      </c>
      <c r="J2276" s="26">
        <v>2026</v>
      </c>
      <c r="K2276" s="27" t="s">
        <v>751</v>
      </c>
      <c r="L2276" s="26">
        <v>9785006309708</v>
      </c>
      <c r="M2276" s="27" t="s">
        <v>752</v>
      </c>
      <c r="N2276" s="26">
        <v>372</v>
      </c>
      <c r="O2276" s="28">
        <v>0.33</v>
      </c>
      <c r="P2276" s="26">
        <v>140</v>
      </c>
      <c r="Q2276" s="26">
        <v>200</v>
      </c>
      <c r="R2276" s="26">
        <v>6</v>
      </c>
      <c r="S2276" s="27" t="s">
        <v>43</v>
      </c>
      <c r="T2276" s="27"/>
      <c r="U2276" s="29">
        <v>4000</v>
      </c>
      <c r="V2276" s="27" t="s">
        <v>44</v>
      </c>
      <c r="W2276" s="27" t="s">
        <v>69</v>
      </c>
      <c r="X2276" s="26">
        <v>10</v>
      </c>
      <c r="Y2276" s="45" t="str">
        <f>HYPERLINK("https://api-enni.alpina.ru/FilePrivilegesApproval/1178","https://api-enni.alpina.ru/FilePrivilegesApproval/1178")</f>
        <v>https://api-enni.alpina.ru/FilePrivilegesApproval/1178</v>
      </c>
      <c r="Z2276" s="27" t="s">
        <v>753</v>
      </c>
      <c r="AS2276" s="1">
        <f>IF($A2276&lt;&gt;0,1,0)</f>
        <v>0</v>
      </c>
      <c r="AT2276" s="1">
        <f>$A2276*$B2276</f>
        <v>0</v>
      </c>
      <c r="AU2276" s="1">
        <f>$A2276*$O2276</f>
        <v>0</v>
      </c>
      <c r="AV2276" s="1">
        <f>IF($R2276=0,0,INT($A2276/$R2276))</f>
        <v>0</v>
      </c>
      <c r="AW2276" s="1">
        <f>$A2276-$AV2276*$R2276</f>
        <v>0</v>
      </c>
    </row>
    <row r="2277" ht="24.95" customHeight="1" outlineLevel="3" s="1" customFormat="1">
      <c r="A2277" s="15"/>
      <c r="B2277" s="16">
        <v>610</v>
      </c>
      <c r="C2277" s="16">
        <v>915</v>
      </c>
      <c r="D2277" s="16">
        <v>33498</v>
      </c>
      <c r="E2277" s="18"/>
      <c r="F2277" s="18" t="s">
        <v>7449</v>
      </c>
      <c r="G2277" s="18" t="s">
        <v>7450</v>
      </c>
      <c r="H2277" s="18" t="s">
        <v>64</v>
      </c>
      <c r="I2277" s="18" t="s">
        <v>74</v>
      </c>
      <c r="J2277" s="16">
        <v>2026</v>
      </c>
      <c r="K2277" s="18" t="s">
        <v>7451</v>
      </c>
      <c r="L2277" s="16">
        <v>9785006304987</v>
      </c>
      <c r="M2277" s="18" t="s">
        <v>7452</v>
      </c>
      <c r="N2277" s="16">
        <v>436</v>
      </c>
      <c r="O2277" s="19">
        <v>0.38</v>
      </c>
      <c r="P2277" s="16">
        <v>140</v>
      </c>
      <c r="Q2277" s="16">
        <v>200</v>
      </c>
      <c r="R2277" s="16">
        <v>4</v>
      </c>
      <c r="S2277" s="18" t="s">
        <v>43</v>
      </c>
      <c r="T2277" s="18"/>
      <c r="U2277" s="17">
        <v>3000</v>
      </c>
      <c r="V2277" s="18" t="s">
        <v>44</v>
      </c>
      <c r="W2277" s="18" t="s">
        <v>69</v>
      </c>
      <c r="X2277" s="16">
        <v>10</v>
      </c>
      <c r="Y2277" s="43" t="str">
        <f>HYPERLINK("https://api-enni.alpina.ru/FilePrivilegesApproval/1156","https://api-enni.alpina.ru/FilePrivilegesApproval/1156")</f>
        <v>https://api-enni.alpina.ru/FilePrivilegesApproval/1156</v>
      </c>
      <c r="Z2277" s="18" t="s">
        <v>753</v>
      </c>
      <c r="AS2277" s="1">
        <f>IF($A2277&lt;&gt;0,1,0)</f>
        <v>0</v>
      </c>
      <c r="AT2277" s="1">
        <f>$A2277*$B2277</f>
        <v>0</v>
      </c>
      <c r="AU2277" s="1">
        <f>$A2277*$O2277</f>
        <v>0</v>
      </c>
      <c r="AV2277" s="1">
        <f>IF($R2277=0,0,INT($A2277/$R2277))</f>
        <v>0</v>
      </c>
      <c r="AW2277" s="1">
        <f>$A2277-$AV2277*$R2277</f>
        <v>0</v>
      </c>
    </row>
    <row r="2278" ht="24.95" customHeight="1" outlineLevel="3" s="1" customFormat="1">
      <c r="A2278" s="15"/>
      <c r="B2278" s="16">
        <v>790</v>
      </c>
      <c r="C2278" s="17">
        <v>1146</v>
      </c>
      <c r="D2278" s="16">
        <v>2312</v>
      </c>
      <c r="E2278" s="18"/>
      <c r="F2278" s="18" t="s">
        <v>496</v>
      </c>
      <c r="G2278" s="18" t="s">
        <v>767</v>
      </c>
      <c r="H2278" s="18" t="s">
        <v>86</v>
      </c>
      <c r="I2278" s="18" t="s">
        <v>74</v>
      </c>
      <c r="J2278" s="16">
        <v>2026</v>
      </c>
      <c r="K2278" s="18" t="s">
        <v>768</v>
      </c>
      <c r="L2278" s="16">
        <v>9785961467468</v>
      </c>
      <c r="M2278" s="18" t="s">
        <v>769</v>
      </c>
      <c r="N2278" s="16">
        <v>480</v>
      </c>
      <c r="O2278" s="19">
        <v>0.57</v>
      </c>
      <c r="P2278" s="16">
        <v>150</v>
      </c>
      <c r="Q2278" s="16">
        <v>220</v>
      </c>
      <c r="R2278" s="16">
        <v>5</v>
      </c>
      <c r="S2278" s="18" t="s">
        <v>43</v>
      </c>
      <c r="T2278" s="18"/>
      <c r="U2278" s="17">
        <v>5000</v>
      </c>
      <c r="V2278" s="18" t="s">
        <v>77</v>
      </c>
      <c r="W2278" s="18" t="s">
        <v>184</v>
      </c>
      <c r="X2278" s="16">
        <v>10</v>
      </c>
      <c r="Y2278" s="43" t="str">
        <f>HYPERLINK("https://api-enni.alpina.ru/FilePrivilegesApproval/141","https://api-enni.alpina.ru/FilePrivilegesApproval/141")</f>
        <v>https://api-enni.alpina.ru/FilePrivilegesApproval/141</v>
      </c>
      <c r="Z2278" s="18"/>
      <c r="AS2278" s="1">
        <f>IF($A2278&lt;&gt;0,1,0)</f>
        <v>0</v>
      </c>
      <c r="AT2278" s="1">
        <f>$A2278*$B2278</f>
        <v>0</v>
      </c>
      <c r="AU2278" s="1">
        <f>$A2278*$O2278</f>
        <v>0</v>
      </c>
      <c r="AV2278" s="1">
        <f>IF($R2278=0,0,INT($A2278/$R2278))</f>
        <v>0</v>
      </c>
      <c r="AW2278" s="1">
        <f>$A2278-$AV2278*$R2278</f>
        <v>0</v>
      </c>
    </row>
    <row r="2279" ht="24.95" customHeight="1" outlineLevel="3" s="1" customFormat="1">
      <c r="A2279" s="15"/>
      <c r="B2279" s="16">
        <v>690</v>
      </c>
      <c r="C2279" s="17">
        <v>1035</v>
      </c>
      <c r="D2279" s="16">
        <v>28969</v>
      </c>
      <c r="E2279" s="18"/>
      <c r="F2279" s="18" t="s">
        <v>7453</v>
      </c>
      <c r="G2279" s="18" t="s">
        <v>7454</v>
      </c>
      <c r="H2279" s="18" t="s">
        <v>171</v>
      </c>
      <c r="I2279" s="18" t="s">
        <v>65</v>
      </c>
      <c r="J2279" s="16">
        <v>2025</v>
      </c>
      <c r="K2279" s="18" t="s">
        <v>7455</v>
      </c>
      <c r="L2279" s="16">
        <v>9785002230884</v>
      </c>
      <c r="M2279" s="18" t="s">
        <v>7456</v>
      </c>
      <c r="N2279" s="16">
        <v>192</v>
      </c>
      <c r="O2279" s="19">
        <v>0.25</v>
      </c>
      <c r="P2279" s="16">
        <v>150</v>
      </c>
      <c r="Q2279" s="16">
        <v>200</v>
      </c>
      <c r="R2279" s="16">
        <v>16</v>
      </c>
      <c r="S2279" s="18" t="s">
        <v>43</v>
      </c>
      <c r="T2279" s="18"/>
      <c r="U2279" s="17">
        <v>2000</v>
      </c>
      <c r="V2279" s="18" t="s">
        <v>77</v>
      </c>
      <c r="W2279" s="18" t="s">
        <v>45</v>
      </c>
      <c r="X2279" s="16">
        <v>22</v>
      </c>
      <c r="Y2279" s="43" t="str">
        <f>HYPERLINK("https://api-enni.alpina.ru/FilePrivilegesApproval/733","https://api-enni.alpina.ru/FilePrivilegesApproval/733")</f>
        <v>https://api-enni.alpina.ru/FilePrivilegesApproval/733</v>
      </c>
      <c r="Z2279" s="18"/>
      <c r="AS2279" s="1">
        <f>IF($A2279&lt;&gt;0,1,0)</f>
        <v>0</v>
      </c>
      <c r="AT2279" s="1">
        <f>$A2279*$B2279</f>
        <v>0</v>
      </c>
      <c r="AU2279" s="1">
        <f>$A2279*$O2279</f>
        <v>0</v>
      </c>
      <c r="AV2279" s="1">
        <f>IF($R2279=0,0,INT($A2279/$R2279))</f>
        <v>0</v>
      </c>
      <c r="AW2279" s="1">
        <f>$A2279-$AV2279*$R2279</f>
        <v>0</v>
      </c>
    </row>
    <row r="2280" ht="24.95" customHeight="1" outlineLevel="3" s="1" customFormat="1">
      <c r="A2280" s="15"/>
      <c r="B2280" s="16">
        <v>590</v>
      </c>
      <c r="C2280" s="16">
        <v>885</v>
      </c>
      <c r="D2280" s="16">
        <v>27946</v>
      </c>
      <c r="E2280" s="18"/>
      <c r="F2280" s="18" t="s">
        <v>7457</v>
      </c>
      <c r="G2280" s="18" t="s">
        <v>7458</v>
      </c>
      <c r="H2280" s="18" t="s">
        <v>64</v>
      </c>
      <c r="I2280" s="18" t="s">
        <v>74</v>
      </c>
      <c r="J2280" s="16">
        <v>2025</v>
      </c>
      <c r="K2280" s="18" t="s">
        <v>7459</v>
      </c>
      <c r="L2280" s="16">
        <v>9785961486889</v>
      </c>
      <c r="M2280" s="18" t="s">
        <v>7460</v>
      </c>
      <c r="N2280" s="16">
        <v>470</v>
      </c>
      <c r="O2280" s="19">
        <v>0.5</v>
      </c>
      <c r="P2280" s="16">
        <v>140</v>
      </c>
      <c r="Q2280" s="16">
        <v>200</v>
      </c>
      <c r="R2280" s="16">
        <v>8</v>
      </c>
      <c r="S2280" s="18" t="s">
        <v>43</v>
      </c>
      <c r="T2280" s="18"/>
      <c r="U2280" s="17">
        <v>2000</v>
      </c>
      <c r="V2280" s="18" t="s">
        <v>44</v>
      </c>
      <c r="W2280" s="18" t="s">
        <v>45</v>
      </c>
      <c r="X2280" s="16">
        <v>10</v>
      </c>
      <c r="Y2280" s="43" t="str">
        <f>HYPERLINK("https://api-enni.alpina.ru/FilePrivilegesApproval/327","https://api-enni.alpina.ru/FilePrivilegesApproval/327")</f>
        <v>https://api-enni.alpina.ru/FilePrivilegesApproval/327</v>
      </c>
      <c r="Z2280" s="18"/>
      <c r="AS2280" s="1">
        <f>IF($A2280&lt;&gt;0,1,0)</f>
        <v>0</v>
      </c>
      <c r="AT2280" s="1">
        <f>$A2280*$B2280</f>
        <v>0</v>
      </c>
      <c r="AU2280" s="1">
        <f>$A2280*$O2280</f>
        <v>0</v>
      </c>
      <c r="AV2280" s="1">
        <f>IF($R2280=0,0,INT($A2280/$R2280))</f>
        <v>0</v>
      </c>
      <c r="AW2280" s="1">
        <f>$A2280-$AV2280*$R2280</f>
        <v>0</v>
      </c>
    </row>
    <row r="2281" ht="21.95" customHeight="1" outlineLevel="3" s="1" customFormat="1">
      <c r="A2281" s="25"/>
      <c r="B2281" s="26">
        <v>549</v>
      </c>
      <c r="C2281" s="26">
        <v>851</v>
      </c>
      <c r="D2281" s="26">
        <v>32985</v>
      </c>
      <c r="E2281" s="27"/>
      <c r="F2281" s="27" t="s">
        <v>7461</v>
      </c>
      <c r="G2281" s="27" t="s">
        <v>7462</v>
      </c>
      <c r="H2281" s="27" t="s">
        <v>592</v>
      </c>
      <c r="I2281" s="27"/>
      <c r="J2281" s="26">
        <v>2025</v>
      </c>
      <c r="K2281" s="27" t="s">
        <v>7463</v>
      </c>
      <c r="L2281" s="26">
        <v>9786018223082</v>
      </c>
      <c r="M2281" s="27" t="s">
        <v>7464</v>
      </c>
      <c r="N2281" s="26">
        <v>128</v>
      </c>
      <c r="O2281" s="28">
        <v>0.26</v>
      </c>
      <c r="P2281" s="26">
        <v>150</v>
      </c>
      <c r="Q2281" s="26">
        <v>220</v>
      </c>
      <c r="R2281" s="26">
        <v>10</v>
      </c>
      <c r="S2281" s="27" t="s">
        <v>43</v>
      </c>
      <c r="T2281" s="27"/>
      <c r="U2281" s="29">
        <v>1500</v>
      </c>
      <c r="V2281" s="27" t="s">
        <v>77</v>
      </c>
      <c r="W2281" s="27" t="s">
        <v>45</v>
      </c>
      <c r="X2281" s="26">
        <v>22</v>
      </c>
      <c r="Y2281" s="45" t="str">
        <f>HYPERLINK("","")</f>
      </c>
      <c r="Z2281" s="27"/>
      <c r="AS2281" s="1">
        <f>IF($A2281&lt;&gt;0,1,0)</f>
        <v>0</v>
      </c>
      <c r="AT2281" s="1">
        <f>$A2281*$B2281</f>
        <v>0</v>
      </c>
      <c r="AU2281" s="1">
        <f>$A2281*$O2281</f>
        <v>0</v>
      </c>
      <c r="AV2281" s="1">
        <f>IF($R2281=0,0,INT($A2281/$R2281))</f>
        <v>0</v>
      </c>
      <c r="AW2281" s="1">
        <f>$A2281-$AV2281*$R2281</f>
        <v>0</v>
      </c>
    </row>
    <row r="2282" ht="24.95" customHeight="1" outlineLevel="3" s="1" customFormat="1">
      <c r="A2282" s="15"/>
      <c r="B2282" s="16">
        <v>540</v>
      </c>
      <c r="C2282" s="16">
        <v>837</v>
      </c>
      <c r="D2282" s="16">
        <v>31070</v>
      </c>
      <c r="E2282" s="18"/>
      <c r="F2282" s="18" t="s">
        <v>7465</v>
      </c>
      <c r="G2282" s="18" t="s">
        <v>7466</v>
      </c>
      <c r="H2282" s="18" t="s">
        <v>64</v>
      </c>
      <c r="I2282" s="18" t="s">
        <v>160</v>
      </c>
      <c r="J2282" s="16">
        <v>2025</v>
      </c>
      <c r="K2282" s="18" t="s">
        <v>7467</v>
      </c>
      <c r="L2282" s="16">
        <v>9785961497397</v>
      </c>
      <c r="M2282" s="18" t="s">
        <v>7468</v>
      </c>
      <c r="N2282" s="16">
        <v>352</v>
      </c>
      <c r="O2282" s="19">
        <v>0.3</v>
      </c>
      <c r="P2282" s="16">
        <v>140</v>
      </c>
      <c r="Q2282" s="16">
        <v>200</v>
      </c>
      <c r="R2282" s="16">
        <v>12</v>
      </c>
      <c r="S2282" s="18" t="s">
        <v>43</v>
      </c>
      <c r="T2282" s="18"/>
      <c r="U2282" s="17">
        <v>4000</v>
      </c>
      <c r="V2282" s="18" t="s">
        <v>44</v>
      </c>
      <c r="W2282" s="18" t="s">
        <v>69</v>
      </c>
      <c r="X2282" s="16">
        <v>10</v>
      </c>
      <c r="Y2282" s="43" t="str">
        <f>HYPERLINK("https://api-enni.alpina.ru/FilePrivilegesApproval/772","https://api-enni.alpina.ru/FilePrivilegesApproval/772")</f>
        <v>https://api-enni.alpina.ru/FilePrivilegesApproval/772</v>
      </c>
      <c r="Z2282" s="18"/>
      <c r="AS2282" s="1">
        <f>IF($A2282&lt;&gt;0,1,0)</f>
        <v>0</v>
      </c>
      <c r="AT2282" s="1">
        <f>$A2282*$B2282</f>
        <v>0</v>
      </c>
      <c r="AU2282" s="1">
        <f>$A2282*$O2282</f>
        <v>0</v>
      </c>
      <c r="AV2282" s="1">
        <f>IF($R2282=0,0,INT($A2282/$R2282))</f>
        <v>0</v>
      </c>
      <c r="AW2282" s="1">
        <f>$A2282-$AV2282*$R2282</f>
        <v>0</v>
      </c>
    </row>
    <row r="2283" ht="24.95" customHeight="1" outlineLevel="3" s="1" customFormat="1">
      <c r="A2283" s="15"/>
      <c r="B2283" s="16">
        <v>773</v>
      </c>
      <c r="C2283" s="17">
        <v>1121</v>
      </c>
      <c r="D2283" s="16">
        <v>33305</v>
      </c>
      <c r="E2283" s="18"/>
      <c r="F2283" s="18" t="s">
        <v>7453</v>
      </c>
      <c r="G2283" s="18" t="s">
        <v>7469</v>
      </c>
      <c r="H2283" s="18" t="s">
        <v>171</v>
      </c>
      <c r="I2283" s="18" t="s">
        <v>7470</v>
      </c>
      <c r="J2283" s="16">
        <v>2026</v>
      </c>
      <c r="K2283" s="18" t="s">
        <v>7471</v>
      </c>
      <c r="L2283" s="16">
        <v>9785002235568</v>
      </c>
      <c r="M2283" s="18" t="s">
        <v>7472</v>
      </c>
      <c r="N2283" s="16">
        <v>400</v>
      </c>
      <c r="O2283" s="19">
        <v>0.47</v>
      </c>
      <c r="P2283" s="16">
        <v>140</v>
      </c>
      <c r="Q2283" s="16">
        <v>210</v>
      </c>
      <c r="R2283" s="16">
        <v>8</v>
      </c>
      <c r="S2283" s="18" t="s">
        <v>43</v>
      </c>
      <c r="T2283" s="18"/>
      <c r="U2283" s="17">
        <v>4000</v>
      </c>
      <c r="V2283" s="18" t="s">
        <v>77</v>
      </c>
      <c r="W2283" s="18" t="s">
        <v>45</v>
      </c>
      <c r="X2283" s="16">
        <v>10</v>
      </c>
      <c r="Y2283" s="43" t="str">
        <f>HYPERLINK("https://api-enni.alpina.ru/FilePrivilegesApproval/1145","https://api-enni.alpina.ru/FilePrivilegesApproval/1145")</f>
        <v>https://api-enni.alpina.ru/FilePrivilegesApproval/1145</v>
      </c>
      <c r="Z2283" s="18"/>
      <c r="AS2283" s="1">
        <f>IF($A2283&lt;&gt;0,1,0)</f>
        <v>0</v>
      </c>
      <c r="AT2283" s="1">
        <f>$A2283*$B2283</f>
        <v>0</v>
      </c>
      <c r="AU2283" s="1">
        <f>$A2283*$O2283</f>
        <v>0</v>
      </c>
      <c r="AV2283" s="1">
        <f>IF($R2283=0,0,INT($A2283/$R2283))</f>
        <v>0</v>
      </c>
      <c r="AW2283" s="1">
        <f>$A2283-$AV2283*$R2283</f>
        <v>0</v>
      </c>
    </row>
    <row r="2284" ht="24.95" customHeight="1" outlineLevel="3" s="1" customFormat="1">
      <c r="A2284" s="15"/>
      <c r="B2284" s="16">
        <v>590</v>
      </c>
      <c r="C2284" s="16">
        <v>885</v>
      </c>
      <c r="D2284" s="16">
        <v>27480</v>
      </c>
      <c r="E2284" s="18"/>
      <c r="F2284" s="18" t="s">
        <v>386</v>
      </c>
      <c r="G2284" s="18" t="s">
        <v>7473</v>
      </c>
      <c r="H2284" s="18" t="s">
        <v>64</v>
      </c>
      <c r="I2284" s="18" t="s">
        <v>160</v>
      </c>
      <c r="J2284" s="16">
        <v>2026</v>
      </c>
      <c r="K2284" s="18" t="s">
        <v>7474</v>
      </c>
      <c r="L2284" s="16">
        <v>9785961485295</v>
      </c>
      <c r="M2284" s="18" t="s">
        <v>7475</v>
      </c>
      <c r="N2284" s="16">
        <v>350</v>
      </c>
      <c r="O2284" s="19">
        <v>0.4</v>
      </c>
      <c r="P2284" s="16">
        <v>140</v>
      </c>
      <c r="Q2284" s="16">
        <v>200</v>
      </c>
      <c r="R2284" s="16">
        <v>6</v>
      </c>
      <c r="S2284" s="18" t="s">
        <v>43</v>
      </c>
      <c r="T2284" s="18"/>
      <c r="U2284" s="17">
        <v>3000</v>
      </c>
      <c r="V2284" s="18" t="s">
        <v>44</v>
      </c>
      <c r="W2284" s="18" t="s">
        <v>69</v>
      </c>
      <c r="X2284" s="16">
        <v>10</v>
      </c>
      <c r="Y2284" s="43" t="str">
        <f>HYPERLINK("https://api-enni.alpina.ru/FilePrivilegesApproval/307","https://api-enni.alpina.ru/FilePrivilegesApproval/307")</f>
        <v>https://api-enni.alpina.ru/FilePrivilegesApproval/307</v>
      </c>
      <c r="Z2284" s="18" t="s">
        <v>70</v>
      </c>
      <c r="AS2284" s="1">
        <f>IF($A2284&lt;&gt;0,1,0)</f>
        <v>0</v>
      </c>
      <c r="AT2284" s="1">
        <f>$A2284*$B2284</f>
        <v>0</v>
      </c>
      <c r="AU2284" s="1">
        <f>$A2284*$O2284</f>
        <v>0</v>
      </c>
      <c r="AV2284" s="1">
        <f>IF($R2284=0,0,INT($A2284/$R2284))</f>
        <v>0</v>
      </c>
      <c r="AW2284" s="1">
        <f>$A2284-$AV2284*$R2284</f>
        <v>0</v>
      </c>
    </row>
    <row r="2285" ht="24.95" customHeight="1" outlineLevel="3" s="1" customFormat="1">
      <c r="A2285" s="15"/>
      <c r="B2285" s="16">
        <v>540</v>
      </c>
      <c r="C2285" s="16">
        <v>837</v>
      </c>
      <c r="D2285" s="16">
        <v>27973</v>
      </c>
      <c r="E2285" s="18"/>
      <c r="F2285" s="18" t="s">
        <v>7476</v>
      </c>
      <c r="G2285" s="18" t="s">
        <v>7477</v>
      </c>
      <c r="H2285" s="18" t="s">
        <v>64</v>
      </c>
      <c r="I2285" s="18" t="s">
        <v>160</v>
      </c>
      <c r="J2285" s="16">
        <v>2024</v>
      </c>
      <c r="K2285" s="18" t="s">
        <v>7478</v>
      </c>
      <c r="L2285" s="16">
        <v>9785961486971</v>
      </c>
      <c r="M2285" s="18" t="s">
        <v>7479</v>
      </c>
      <c r="N2285" s="16">
        <v>240</v>
      </c>
      <c r="O2285" s="19">
        <v>0.2</v>
      </c>
      <c r="P2285" s="16">
        <v>140</v>
      </c>
      <c r="Q2285" s="16">
        <v>200</v>
      </c>
      <c r="R2285" s="16">
        <v>20</v>
      </c>
      <c r="S2285" s="18" t="s">
        <v>43</v>
      </c>
      <c r="T2285" s="18"/>
      <c r="U2285" s="17">
        <v>3000</v>
      </c>
      <c r="V2285" s="18" t="s">
        <v>44</v>
      </c>
      <c r="W2285" s="18" t="s">
        <v>45</v>
      </c>
      <c r="X2285" s="16">
        <v>10</v>
      </c>
      <c r="Y2285" s="43" t="str">
        <f>HYPERLINK("https://api-enni.alpina.ru/FilePrivilegesApproval/387","https://api-enni.alpina.ru/FilePrivilegesApproval/387")</f>
        <v>https://api-enni.alpina.ru/FilePrivilegesApproval/387</v>
      </c>
      <c r="Z2285" s="18"/>
      <c r="AS2285" s="1">
        <f>IF($A2285&lt;&gt;0,1,0)</f>
        <v>0</v>
      </c>
      <c r="AT2285" s="1">
        <f>$A2285*$B2285</f>
        <v>0</v>
      </c>
      <c r="AU2285" s="1">
        <f>$A2285*$O2285</f>
        <v>0</v>
      </c>
      <c r="AV2285" s="1">
        <f>IF($R2285=0,0,INT($A2285/$R2285))</f>
        <v>0</v>
      </c>
      <c r="AW2285" s="1">
        <f>$A2285-$AV2285*$R2285</f>
        <v>0</v>
      </c>
    </row>
    <row r="2286" ht="24.95" customHeight="1" outlineLevel="3" s="1" customFormat="1">
      <c r="A2286" s="15"/>
      <c r="B2286" s="16">
        <v>540</v>
      </c>
      <c r="C2286" s="16">
        <v>837</v>
      </c>
      <c r="D2286" s="16">
        <v>31681</v>
      </c>
      <c r="E2286" s="18"/>
      <c r="F2286" s="18" t="s">
        <v>7480</v>
      </c>
      <c r="G2286" s="18" t="s">
        <v>7481</v>
      </c>
      <c r="H2286" s="18" t="s">
        <v>64</v>
      </c>
      <c r="I2286" s="18" t="s">
        <v>160</v>
      </c>
      <c r="J2286" s="16">
        <v>2025</v>
      </c>
      <c r="K2286" s="18" t="s">
        <v>7482</v>
      </c>
      <c r="L2286" s="16">
        <v>9785961499926</v>
      </c>
      <c r="M2286" s="18" t="s">
        <v>7483</v>
      </c>
      <c r="N2286" s="16">
        <v>318</v>
      </c>
      <c r="O2286" s="19">
        <v>0.3</v>
      </c>
      <c r="P2286" s="16">
        <v>140</v>
      </c>
      <c r="Q2286" s="16">
        <v>210</v>
      </c>
      <c r="R2286" s="16">
        <v>12</v>
      </c>
      <c r="S2286" s="18" t="s">
        <v>43</v>
      </c>
      <c r="T2286" s="18"/>
      <c r="U2286" s="17">
        <v>2000</v>
      </c>
      <c r="V2286" s="18" t="s">
        <v>44</v>
      </c>
      <c r="W2286" s="18" t="s">
        <v>69</v>
      </c>
      <c r="X2286" s="16">
        <v>10</v>
      </c>
      <c r="Y2286" s="43" t="str">
        <f>HYPERLINK("https://api-enni.alpina.ru/FilePrivilegesApproval/828","https://api-enni.alpina.ru/FilePrivilegesApproval/828")</f>
        <v>https://api-enni.alpina.ru/FilePrivilegesApproval/828</v>
      </c>
      <c r="Z2286" s="18"/>
      <c r="AS2286" s="1">
        <f>IF($A2286&lt;&gt;0,1,0)</f>
        <v>0</v>
      </c>
      <c r="AT2286" s="1">
        <f>$A2286*$B2286</f>
        <v>0</v>
      </c>
      <c r="AU2286" s="1">
        <f>$A2286*$O2286</f>
        <v>0</v>
      </c>
      <c r="AV2286" s="1">
        <f>IF($R2286=0,0,INT($A2286/$R2286))</f>
        <v>0</v>
      </c>
      <c r="AW2286" s="1">
        <f>$A2286-$AV2286*$R2286</f>
        <v>0</v>
      </c>
    </row>
    <row r="2287" ht="24.95" customHeight="1" outlineLevel="3" s="1" customFormat="1">
      <c r="A2287" s="15"/>
      <c r="B2287" s="16">
        <v>510</v>
      </c>
      <c r="C2287" s="16">
        <v>790</v>
      </c>
      <c r="D2287" s="16">
        <v>27967</v>
      </c>
      <c r="E2287" s="18"/>
      <c r="F2287" s="18" t="s">
        <v>7476</v>
      </c>
      <c r="G2287" s="18" t="s">
        <v>7484</v>
      </c>
      <c r="H2287" s="18" t="s">
        <v>64</v>
      </c>
      <c r="I2287" s="18" t="s">
        <v>160</v>
      </c>
      <c r="J2287" s="16">
        <v>2026</v>
      </c>
      <c r="K2287" s="18" t="s">
        <v>7485</v>
      </c>
      <c r="L2287" s="16">
        <v>9785961486957</v>
      </c>
      <c r="M2287" s="18" t="s">
        <v>7486</v>
      </c>
      <c r="N2287" s="16">
        <v>218</v>
      </c>
      <c r="O2287" s="19">
        <v>0.27</v>
      </c>
      <c r="P2287" s="16">
        <v>140</v>
      </c>
      <c r="Q2287" s="16">
        <v>200</v>
      </c>
      <c r="R2287" s="16">
        <v>8</v>
      </c>
      <c r="S2287" s="18" t="s">
        <v>43</v>
      </c>
      <c r="T2287" s="18"/>
      <c r="U2287" s="17">
        <v>2000</v>
      </c>
      <c r="V2287" s="18" t="s">
        <v>44</v>
      </c>
      <c r="W2287" s="18" t="s">
        <v>69</v>
      </c>
      <c r="X2287" s="16">
        <v>10</v>
      </c>
      <c r="Y2287" s="43" t="str">
        <f>HYPERLINK("https://api-enni.alpina.ru/FilePrivilegesApproval/313","https://api-enni.alpina.ru/FilePrivilegesApproval/313")</f>
        <v>https://api-enni.alpina.ru/FilePrivilegesApproval/313</v>
      </c>
      <c r="Z2287" s="18" t="s">
        <v>78</v>
      </c>
      <c r="AS2287" s="1">
        <f>IF($A2287&lt;&gt;0,1,0)</f>
        <v>0</v>
      </c>
      <c r="AT2287" s="1">
        <f>$A2287*$B2287</f>
        <v>0</v>
      </c>
      <c r="AU2287" s="1">
        <f>$A2287*$O2287</f>
        <v>0</v>
      </c>
      <c r="AV2287" s="1">
        <f>IF($R2287=0,0,INT($A2287/$R2287))</f>
        <v>0</v>
      </c>
      <c r="AW2287" s="1">
        <f>$A2287-$AV2287*$R2287</f>
        <v>0</v>
      </c>
    </row>
    <row r="2288" ht="21.95" customHeight="1" outlineLevel="3" s="1" customFormat="1">
      <c r="A2288" s="15"/>
      <c r="B2288" s="16">
        <v>640</v>
      </c>
      <c r="C2288" s="16">
        <v>960</v>
      </c>
      <c r="D2288" s="16">
        <v>30079</v>
      </c>
      <c r="E2288" s="18"/>
      <c r="F2288" s="18" t="s">
        <v>7377</v>
      </c>
      <c r="G2288" s="18" t="s">
        <v>7487</v>
      </c>
      <c r="H2288" s="18" t="s">
        <v>3948</v>
      </c>
      <c r="I2288" s="18" t="s">
        <v>74</v>
      </c>
      <c r="J2288" s="16">
        <v>2024</v>
      </c>
      <c r="K2288" s="18" t="s">
        <v>7488</v>
      </c>
      <c r="L2288" s="16">
        <v>9785002160358</v>
      </c>
      <c r="M2288" s="18" t="s">
        <v>7489</v>
      </c>
      <c r="N2288" s="16">
        <v>336</v>
      </c>
      <c r="O2288" s="19">
        <v>0.36</v>
      </c>
      <c r="P2288" s="16">
        <v>150</v>
      </c>
      <c r="Q2288" s="16">
        <v>210</v>
      </c>
      <c r="R2288" s="16">
        <v>10</v>
      </c>
      <c r="S2288" s="18" t="s">
        <v>43</v>
      </c>
      <c r="T2288" s="18" t="s">
        <v>7364</v>
      </c>
      <c r="U2288" s="17">
        <v>2017</v>
      </c>
      <c r="V2288" s="18" t="s">
        <v>44</v>
      </c>
      <c r="W2288" s="18" t="s">
        <v>69</v>
      </c>
      <c r="X2288" s="16">
        <v>10</v>
      </c>
      <c r="Y2288" s="43" t="str">
        <f>HYPERLINK("","")</f>
      </c>
      <c r="Z2288" s="18"/>
      <c r="AS2288" s="1">
        <f>IF($A2288&lt;&gt;0,1,0)</f>
        <v>0</v>
      </c>
      <c r="AT2288" s="1">
        <f>$A2288*$B2288</f>
        <v>0</v>
      </c>
      <c r="AU2288" s="1">
        <f>$A2288*$O2288</f>
        <v>0</v>
      </c>
      <c r="AV2288" s="1">
        <f>IF($R2288=0,0,INT($A2288/$R2288))</f>
        <v>0</v>
      </c>
      <c r="AW2288" s="1">
        <f>$A2288-$AV2288*$R2288</f>
        <v>0</v>
      </c>
    </row>
    <row r="2289" ht="24.95" customHeight="1" outlineLevel="3" s="1" customFormat="1">
      <c r="A2289" s="15"/>
      <c r="B2289" s="16">
        <v>940</v>
      </c>
      <c r="C2289" s="17">
        <v>1316</v>
      </c>
      <c r="D2289" s="16">
        <v>26671</v>
      </c>
      <c r="E2289" s="18"/>
      <c r="F2289" s="18" t="s">
        <v>7377</v>
      </c>
      <c r="G2289" s="18" t="s">
        <v>7490</v>
      </c>
      <c r="H2289" s="18" t="s">
        <v>3948</v>
      </c>
      <c r="I2289" s="18" t="s">
        <v>74</v>
      </c>
      <c r="J2289" s="16">
        <v>2023</v>
      </c>
      <c r="K2289" s="18" t="s">
        <v>7491</v>
      </c>
      <c r="L2289" s="16">
        <v>9785907625037</v>
      </c>
      <c r="M2289" s="18" t="s">
        <v>7492</v>
      </c>
      <c r="N2289" s="16">
        <v>352</v>
      </c>
      <c r="O2289" s="19">
        <v>0.5</v>
      </c>
      <c r="P2289" s="16">
        <v>146</v>
      </c>
      <c r="Q2289" s="16">
        <v>216</v>
      </c>
      <c r="R2289" s="16">
        <v>6</v>
      </c>
      <c r="S2289" s="18" t="s">
        <v>43</v>
      </c>
      <c r="T2289" s="18" t="s">
        <v>7493</v>
      </c>
      <c r="U2289" s="17">
        <v>3017</v>
      </c>
      <c r="V2289" s="18" t="s">
        <v>77</v>
      </c>
      <c r="W2289" s="18" t="s">
        <v>69</v>
      </c>
      <c r="X2289" s="16">
        <v>10</v>
      </c>
      <c r="Y2289" s="43" t="str">
        <f>HYPERLINK("https://api-enni.alpina.ru/FilePrivilegesApproval/355","https://api-enni.alpina.ru/FilePrivilegesApproval/355")</f>
        <v>https://api-enni.alpina.ru/FilePrivilegesApproval/355</v>
      </c>
      <c r="Z2289" s="18"/>
      <c r="AS2289" s="1">
        <f>IF($A2289&lt;&gt;0,1,0)</f>
        <v>0</v>
      </c>
      <c r="AT2289" s="1">
        <f>$A2289*$B2289</f>
        <v>0</v>
      </c>
      <c r="AU2289" s="1">
        <f>$A2289*$O2289</f>
        <v>0</v>
      </c>
      <c r="AV2289" s="1">
        <f>IF($R2289=0,0,INT($A2289/$R2289))</f>
        <v>0</v>
      </c>
      <c r="AW2289" s="1">
        <f>$A2289-$AV2289*$R2289</f>
        <v>0</v>
      </c>
    </row>
    <row r="2290" ht="24.95" customHeight="1" outlineLevel="3" s="1" customFormat="1">
      <c r="A2290" s="15"/>
      <c r="B2290" s="16">
        <v>590</v>
      </c>
      <c r="C2290" s="16">
        <v>885</v>
      </c>
      <c r="D2290" s="16">
        <v>26672</v>
      </c>
      <c r="E2290" s="18"/>
      <c r="F2290" s="18" t="s">
        <v>7377</v>
      </c>
      <c r="G2290" s="18" t="s">
        <v>7494</v>
      </c>
      <c r="H2290" s="18" t="s">
        <v>3948</v>
      </c>
      <c r="I2290" s="18" t="s">
        <v>74</v>
      </c>
      <c r="J2290" s="16">
        <v>2023</v>
      </c>
      <c r="K2290" s="18" t="s">
        <v>7495</v>
      </c>
      <c r="L2290" s="16">
        <v>9785907625044</v>
      </c>
      <c r="M2290" s="18" t="s">
        <v>7496</v>
      </c>
      <c r="N2290" s="16">
        <v>352</v>
      </c>
      <c r="O2290" s="19">
        <v>0.4</v>
      </c>
      <c r="P2290" s="16">
        <v>143</v>
      </c>
      <c r="Q2290" s="16">
        <v>210</v>
      </c>
      <c r="R2290" s="16">
        <v>7</v>
      </c>
      <c r="S2290" s="18" t="s">
        <v>43</v>
      </c>
      <c r="T2290" s="18" t="s">
        <v>7493</v>
      </c>
      <c r="U2290" s="17">
        <v>4017</v>
      </c>
      <c r="V2290" s="18" t="s">
        <v>44</v>
      </c>
      <c r="W2290" s="18" t="s">
        <v>69</v>
      </c>
      <c r="X2290" s="16">
        <v>10</v>
      </c>
      <c r="Y2290" s="43" t="str">
        <f>HYPERLINK("https://api-enni.alpina.ru/FilePrivilegesApproval/355","https://api-enni.alpina.ru/FilePrivilegesApproval/355")</f>
        <v>https://api-enni.alpina.ru/FilePrivilegesApproval/355</v>
      </c>
      <c r="Z2290" s="18"/>
      <c r="AS2290" s="1">
        <f>IF($A2290&lt;&gt;0,1,0)</f>
        <v>0</v>
      </c>
      <c r="AT2290" s="1">
        <f>$A2290*$B2290</f>
        <v>0</v>
      </c>
      <c r="AU2290" s="1">
        <f>$A2290*$O2290</f>
        <v>0</v>
      </c>
      <c r="AV2290" s="1">
        <f>IF($R2290=0,0,INT($A2290/$R2290))</f>
        <v>0</v>
      </c>
      <c r="AW2290" s="1">
        <f>$A2290-$AV2290*$R2290</f>
        <v>0</v>
      </c>
    </row>
    <row r="2291" ht="24.95" customHeight="1" outlineLevel="3" s="1" customFormat="1">
      <c r="A2291" s="15"/>
      <c r="B2291" s="16">
        <v>590</v>
      </c>
      <c r="C2291" s="16">
        <v>885</v>
      </c>
      <c r="D2291" s="16">
        <v>27780</v>
      </c>
      <c r="E2291" s="18"/>
      <c r="F2291" s="18" t="s">
        <v>7497</v>
      </c>
      <c r="G2291" s="18" t="s">
        <v>7498</v>
      </c>
      <c r="H2291" s="18" t="s">
        <v>64</v>
      </c>
      <c r="I2291" s="18" t="s">
        <v>160</v>
      </c>
      <c r="J2291" s="16">
        <v>2026</v>
      </c>
      <c r="K2291" s="18" t="s">
        <v>7499</v>
      </c>
      <c r="L2291" s="16">
        <v>9785961486346</v>
      </c>
      <c r="M2291" s="18" t="s">
        <v>7500</v>
      </c>
      <c r="N2291" s="16">
        <v>336</v>
      </c>
      <c r="O2291" s="19">
        <v>0.3</v>
      </c>
      <c r="P2291" s="16">
        <v>140</v>
      </c>
      <c r="Q2291" s="16">
        <v>200</v>
      </c>
      <c r="R2291" s="16">
        <v>10</v>
      </c>
      <c r="S2291" s="18" t="s">
        <v>43</v>
      </c>
      <c r="T2291" s="18"/>
      <c r="U2291" s="17">
        <v>1500</v>
      </c>
      <c r="V2291" s="18" t="s">
        <v>44</v>
      </c>
      <c r="W2291" s="18" t="s">
        <v>69</v>
      </c>
      <c r="X2291" s="16">
        <v>10</v>
      </c>
      <c r="Y2291" s="43" t="str">
        <f>HYPERLINK("https://api-enni.alpina.ru/FilePrivilegesApproval/404","https://api-enni.alpina.ru/FilePrivilegesApproval/404")</f>
        <v>https://api-enni.alpina.ru/FilePrivilegesApproval/404</v>
      </c>
      <c r="Z2291" s="18" t="s">
        <v>1869</v>
      </c>
      <c r="AS2291" s="1">
        <f>IF($A2291&lt;&gt;0,1,0)</f>
        <v>0</v>
      </c>
      <c r="AT2291" s="1">
        <f>$A2291*$B2291</f>
        <v>0</v>
      </c>
      <c r="AU2291" s="1">
        <f>$A2291*$O2291</f>
        <v>0</v>
      </c>
      <c r="AV2291" s="1">
        <f>IF($R2291=0,0,INT($A2291/$R2291))</f>
        <v>0</v>
      </c>
      <c r="AW2291" s="1">
        <f>$A2291-$AV2291*$R2291</f>
        <v>0</v>
      </c>
    </row>
    <row r="2292" ht="24.95" customHeight="1" outlineLevel="3" s="1" customFormat="1">
      <c r="A2292" s="15"/>
      <c r="B2292" s="16">
        <v>590</v>
      </c>
      <c r="C2292" s="16">
        <v>885</v>
      </c>
      <c r="D2292" s="16">
        <v>29153</v>
      </c>
      <c r="E2292" s="18"/>
      <c r="F2292" s="18" t="s">
        <v>150</v>
      </c>
      <c r="G2292" s="18" t="s">
        <v>306</v>
      </c>
      <c r="H2292" s="18" t="s">
        <v>64</v>
      </c>
      <c r="I2292" s="18" t="s">
        <v>65</v>
      </c>
      <c r="J2292" s="16">
        <v>2026</v>
      </c>
      <c r="K2292" s="18" t="s">
        <v>821</v>
      </c>
      <c r="L2292" s="16">
        <v>9785961491647</v>
      </c>
      <c r="M2292" s="18" t="s">
        <v>822</v>
      </c>
      <c r="N2292" s="16">
        <v>592</v>
      </c>
      <c r="O2292" s="19">
        <v>0.5</v>
      </c>
      <c r="P2292" s="16">
        <v>140</v>
      </c>
      <c r="Q2292" s="16">
        <v>200</v>
      </c>
      <c r="R2292" s="16">
        <v>6</v>
      </c>
      <c r="S2292" s="18" t="s">
        <v>43</v>
      </c>
      <c r="T2292" s="18"/>
      <c r="U2292" s="17">
        <v>10000</v>
      </c>
      <c r="V2292" s="18" t="s">
        <v>44</v>
      </c>
      <c r="W2292" s="18" t="s">
        <v>91</v>
      </c>
      <c r="X2292" s="16">
        <v>10</v>
      </c>
      <c r="Y2292" s="43" t="str">
        <f>HYPERLINK("https://api-enni.alpina.ru/FilePrivilegesApproval/510","https://api-enni.alpina.ru/FilePrivilegesApproval/510")</f>
        <v>https://api-enni.alpina.ru/FilePrivilegesApproval/510</v>
      </c>
      <c r="Z2292" s="18" t="s">
        <v>46</v>
      </c>
      <c r="AS2292" s="1">
        <f>IF($A2292&lt;&gt;0,1,0)</f>
        <v>0</v>
      </c>
      <c r="AT2292" s="1">
        <f>$A2292*$B2292</f>
        <v>0</v>
      </c>
      <c r="AU2292" s="1">
        <f>$A2292*$O2292</f>
        <v>0</v>
      </c>
      <c r="AV2292" s="1">
        <f>IF($R2292=0,0,INT($A2292/$R2292))</f>
        <v>0</v>
      </c>
      <c r="AW2292" s="1">
        <f>$A2292-$AV2292*$R2292</f>
        <v>0</v>
      </c>
    </row>
    <row r="2293" ht="24.95" customHeight="1" outlineLevel="3" s="1" customFormat="1">
      <c r="A2293" s="15"/>
      <c r="B2293" s="17">
        <v>1470</v>
      </c>
      <c r="C2293" s="17">
        <v>1984</v>
      </c>
      <c r="D2293" s="16">
        <v>35406</v>
      </c>
      <c r="E2293" s="18"/>
      <c r="F2293" s="18" t="s">
        <v>150</v>
      </c>
      <c r="G2293" s="18" t="s">
        <v>306</v>
      </c>
      <c r="H2293" s="18" t="s">
        <v>64</v>
      </c>
      <c r="I2293" s="18" t="s">
        <v>65</v>
      </c>
      <c r="J2293" s="16">
        <v>2025</v>
      </c>
      <c r="K2293" s="18" t="s">
        <v>7501</v>
      </c>
      <c r="L2293" s="16">
        <v>9785006312012</v>
      </c>
      <c r="M2293" s="18" t="s">
        <v>7502</v>
      </c>
      <c r="N2293" s="16">
        <v>592</v>
      </c>
      <c r="O2293" s="19">
        <v>0.76</v>
      </c>
      <c r="P2293" s="16">
        <v>150</v>
      </c>
      <c r="Q2293" s="16">
        <v>200</v>
      </c>
      <c r="R2293" s="16">
        <v>8</v>
      </c>
      <c r="S2293" s="18" t="s">
        <v>43</v>
      </c>
      <c r="T2293" s="18"/>
      <c r="U2293" s="17">
        <v>3000</v>
      </c>
      <c r="V2293" s="18" t="s">
        <v>77</v>
      </c>
      <c r="W2293" s="18" t="s">
        <v>91</v>
      </c>
      <c r="X2293" s="16">
        <v>10</v>
      </c>
      <c r="Y2293" s="43" t="str">
        <f>HYPERLINK("https://api-enni.alpina.ru/FilePrivilegesApproval/1037","https://api-enni.alpina.ru/FilePrivilegesApproval/1037")</f>
        <v>https://api-enni.alpina.ru/FilePrivilegesApproval/1037</v>
      </c>
      <c r="Z2293" s="18"/>
      <c r="AS2293" s="1">
        <f>IF($A2293&lt;&gt;0,1,0)</f>
        <v>0</v>
      </c>
      <c r="AT2293" s="1">
        <f>$A2293*$B2293</f>
        <v>0</v>
      </c>
      <c r="AU2293" s="1">
        <f>$A2293*$O2293</f>
        <v>0</v>
      </c>
      <c r="AV2293" s="1">
        <f>IF($R2293=0,0,INT($A2293/$R2293))</f>
        <v>0</v>
      </c>
      <c r="AW2293" s="1">
        <f>$A2293-$AV2293*$R2293</f>
        <v>0</v>
      </c>
    </row>
    <row r="2294" ht="21.95" customHeight="1" outlineLevel="3" s="1" customFormat="1">
      <c r="A2294" s="15"/>
      <c r="B2294" s="16">
        <v>850</v>
      </c>
      <c r="C2294" s="17">
        <v>1232</v>
      </c>
      <c r="D2294" s="16">
        <v>37706</v>
      </c>
      <c r="E2294" s="18"/>
      <c r="F2294" s="18" t="s">
        <v>150</v>
      </c>
      <c r="G2294" s="18" t="s">
        <v>306</v>
      </c>
      <c r="H2294" s="18" t="s">
        <v>64</v>
      </c>
      <c r="I2294" s="18" t="s">
        <v>65</v>
      </c>
      <c r="J2294" s="16">
        <v>2026</v>
      </c>
      <c r="K2294" s="18" t="s">
        <v>307</v>
      </c>
      <c r="L2294" s="16">
        <v>9785006306776</v>
      </c>
      <c r="M2294" s="18" t="s">
        <v>308</v>
      </c>
      <c r="N2294" s="16">
        <v>592</v>
      </c>
      <c r="O2294" s="19">
        <v>0.59</v>
      </c>
      <c r="P2294" s="16">
        <v>150</v>
      </c>
      <c r="Q2294" s="16">
        <v>200</v>
      </c>
      <c r="R2294" s="16">
        <v>8</v>
      </c>
      <c r="S2294" s="18" t="s">
        <v>43</v>
      </c>
      <c r="T2294" s="18"/>
      <c r="U2294" s="17">
        <v>2000</v>
      </c>
      <c r="V2294" s="18" t="s">
        <v>77</v>
      </c>
      <c r="W2294" s="18" t="s">
        <v>91</v>
      </c>
      <c r="X2294" s="16">
        <v>10</v>
      </c>
      <c r="Y2294" s="43" t="str">
        <f>HYPERLINK("","")</f>
      </c>
      <c r="Z2294" s="18" t="s">
        <v>98</v>
      </c>
      <c r="AS2294" s="1">
        <f>IF($A2294&lt;&gt;0,1,0)</f>
        <v>0</v>
      </c>
      <c r="AT2294" s="1">
        <f>$A2294*$B2294</f>
        <v>0</v>
      </c>
      <c r="AU2294" s="1">
        <f>$A2294*$O2294</f>
        <v>0</v>
      </c>
      <c r="AV2294" s="1">
        <f>IF($R2294=0,0,INT($A2294/$R2294))</f>
        <v>0</v>
      </c>
      <c r="AW2294" s="1">
        <f>$A2294-$AV2294*$R2294</f>
        <v>0</v>
      </c>
    </row>
    <row r="2295" ht="24.95" customHeight="1" outlineLevel="3" s="1" customFormat="1">
      <c r="A2295" s="15"/>
      <c r="B2295" s="16">
        <v>490</v>
      </c>
      <c r="C2295" s="16">
        <v>760</v>
      </c>
      <c r="D2295" s="16">
        <v>28010</v>
      </c>
      <c r="E2295" s="18"/>
      <c r="F2295" s="18" t="s">
        <v>7476</v>
      </c>
      <c r="G2295" s="18" t="s">
        <v>7503</v>
      </c>
      <c r="H2295" s="18" t="s">
        <v>64</v>
      </c>
      <c r="I2295" s="18" t="s">
        <v>160</v>
      </c>
      <c r="J2295" s="16">
        <v>2024</v>
      </c>
      <c r="K2295" s="18" t="s">
        <v>7504</v>
      </c>
      <c r="L2295" s="16">
        <v>9785961487015</v>
      </c>
      <c r="M2295" s="18" t="s">
        <v>7505</v>
      </c>
      <c r="N2295" s="16">
        <v>280</v>
      </c>
      <c r="O2295" s="19">
        <v>0.33</v>
      </c>
      <c r="P2295" s="16">
        <v>140</v>
      </c>
      <c r="Q2295" s="16">
        <v>200</v>
      </c>
      <c r="R2295" s="16">
        <v>12</v>
      </c>
      <c r="S2295" s="18" t="s">
        <v>43</v>
      </c>
      <c r="T2295" s="18"/>
      <c r="U2295" s="17">
        <v>4000</v>
      </c>
      <c r="V2295" s="18" t="s">
        <v>44</v>
      </c>
      <c r="W2295" s="18" t="s">
        <v>45</v>
      </c>
      <c r="X2295" s="16">
        <v>10</v>
      </c>
      <c r="Y2295" s="43" t="str">
        <f>HYPERLINK("https://api-enni.alpina.ru/FilePrivilegesApproval/740","https://api-enni.alpina.ru/FilePrivilegesApproval/740")</f>
        <v>https://api-enni.alpina.ru/FilePrivilegesApproval/740</v>
      </c>
      <c r="Z2295" s="18"/>
      <c r="AS2295" s="1">
        <f>IF($A2295&lt;&gt;0,1,0)</f>
        <v>0</v>
      </c>
      <c r="AT2295" s="1">
        <f>$A2295*$B2295</f>
        <v>0</v>
      </c>
      <c r="AU2295" s="1">
        <f>$A2295*$O2295</f>
        <v>0</v>
      </c>
      <c r="AV2295" s="1">
        <f>IF($R2295=0,0,INT($A2295/$R2295))</f>
        <v>0</v>
      </c>
      <c r="AW2295" s="1">
        <f>$A2295-$AV2295*$R2295</f>
        <v>0</v>
      </c>
    </row>
    <row r="2296" ht="24.95" customHeight="1" outlineLevel="3" s="1" customFormat="1">
      <c r="A2296" s="15"/>
      <c r="B2296" s="16">
        <v>590</v>
      </c>
      <c r="C2296" s="16">
        <v>885</v>
      </c>
      <c r="D2296" s="16">
        <v>28617</v>
      </c>
      <c r="E2296" s="18"/>
      <c r="F2296" s="18" t="s">
        <v>7356</v>
      </c>
      <c r="G2296" s="18" t="s">
        <v>7506</v>
      </c>
      <c r="H2296" s="18" t="s">
        <v>64</v>
      </c>
      <c r="I2296" s="18" t="s">
        <v>74</v>
      </c>
      <c r="J2296" s="16">
        <v>2024</v>
      </c>
      <c r="K2296" s="18" t="s">
        <v>7507</v>
      </c>
      <c r="L2296" s="16">
        <v>9785961489491</v>
      </c>
      <c r="M2296" s="18" t="s">
        <v>7508</v>
      </c>
      <c r="N2296" s="16">
        <v>544</v>
      </c>
      <c r="O2296" s="19">
        <v>0.47</v>
      </c>
      <c r="P2296" s="16">
        <v>140</v>
      </c>
      <c r="Q2296" s="16">
        <v>200</v>
      </c>
      <c r="R2296" s="16">
        <v>10</v>
      </c>
      <c r="S2296" s="18" t="s">
        <v>43</v>
      </c>
      <c r="T2296" s="18"/>
      <c r="U2296" s="17">
        <v>3000</v>
      </c>
      <c r="V2296" s="18" t="s">
        <v>44</v>
      </c>
      <c r="W2296" s="18" t="s">
        <v>69</v>
      </c>
      <c r="X2296" s="16">
        <v>10</v>
      </c>
      <c r="Y2296" s="43" t="str">
        <f>HYPERLINK("https://api-enni.alpina.ru/FilePrivilegesApproval/380","https://api-enni.alpina.ru/FilePrivilegesApproval/380")</f>
        <v>https://api-enni.alpina.ru/FilePrivilegesApproval/380</v>
      </c>
      <c r="Z2296" s="18"/>
      <c r="AS2296" s="1">
        <f>IF($A2296&lt;&gt;0,1,0)</f>
        <v>0</v>
      </c>
      <c r="AT2296" s="1">
        <f>$A2296*$B2296</f>
        <v>0</v>
      </c>
      <c r="AU2296" s="1">
        <f>$A2296*$O2296</f>
        <v>0</v>
      </c>
      <c r="AV2296" s="1">
        <f>IF($R2296=0,0,INT($A2296/$R2296))</f>
        <v>0</v>
      </c>
      <c r="AW2296" s="1">
        <f>$A2296-$AV2296*$R2296</f>
        <v>0</v>
      </c>
    </row>
    <row r="2297" ht="24.95" customHeight="1" outlineLevel="3" s="1" customFormat="1">
      <c r="A2297" s="15"/>
      <c r="B2297" s="16">
        <v>940</v>
      </c>
      <c r="C2297" s="17">
        <v>1316</v>
      </c>
      <c r="D2297" s="16">
        <v>26352</v>
      </c>
      <c r="E2297" s="18"/>
      <c r="F2297" s="18" t="s">
        <v>7377</v>
      </c>
      <c r="G2297" s="18" t="s">
        <v>7509</v>
      </c>
      <c r="H2297" s="18" t="s">
        <v>3948</v>
      </c>
      <c r="I2297" s="18" t="s">
        <v>74</v>
      </c>
      <c r="J2297" s="16">
        <v>2022</v>
      </c>
      <c r="K2297" s="18" t="s">
        <v>7510</v>
      </c>
      <c r="L2297" s="16">
        <v>9785907625006</v>
      </c>
      <c r="M2297" s="18" t="s">
        <v>7511</v>
      </c>
      <c r="N2297" s="16">
        <v>288</v>
      </c>
      <c r="O2297" s="19">
        <v>0.45</v>
      </c>
      <c r="P2297" s="16">
        <v>147</v>
      </c>
      <c r="Q2297" s="16">
        <v>216</v>
      </c>
      <c r="R2297" s="16">
        <v>7</v>
      </c>
      <c r="S2297" s="18" t="s">
        <v>43</v>
      </c>
      <c r="T2297" s="18" t="s">
        <v>7493</v>
      </c>
      <c r="U2297" s="17">
        <v>3017</v>
      </c>
      <c r="V2297" s="18" t="s">
        <v>77</v>
      </c>
      <c r="W2297" s="18" t="s">
        <v>69</v>
      </c>
      <c r="X2297" s="16">
        <v>10</v>
      </c>
      <c r="Y2297" s="43" t="str">
        <f>HYPERLINK("https://api-enni.alpina.ru/FilePrivilegesApproval/306","https://api-enni.alpina.ru/FilePrivilegesApproval/306")</f>
        <v>https://api-enni.alpina.ru/FilePrivilegesApproval/306</v>
      </c>
      <c r="Z2297" s="18"/>
      <c r="AS2297" s="1">
        <f>IF($A2297&lt;&gt;0,1,0)</f>
        <v>0</v>
      </c>
      <c r="AT2297" s="1">
        <f>$A2297*$B2297</f>
        <v>0</v>
      </c>
      <c r="AU2297" s="1">
        <f>$A2297*$O2297</f>
        <v>0</v>
      </c>
      <c r="AV2297" s="1">
        <f>IF($R2297=0,0,INT($A2297/$R2297))</f>
        <v>0</v>
      </c>
      <c r="AW2297" s="1">
        <f>$A2297-$AV2297*$R2297</f>
        <v>0</v>
      </c>
    </row>
    <row r="2298" ht="24.95" customHeight="1" outlineLevel="3" s="1" customFormat="1">
      <c r="A2298" s="15"/>
      <c r="B2298" s="16">
        <v>540</v>
      </c>
      <c r="C2298" s="16">
        <v>837</v>
      </c>
      <c r="D2298" s="16">
        <v>26353</v>
      </c>
      <c r="E2298" s="18"/>
      <c r="F2298" s="18" t="s">
        <v>7377</v>
      </c>
      <c r="G2298" s="18" t="s">
        <v>7512</v>
      </c>
      <c r="H2298" s="18" t="s">
        <v>3948</v>
      </c>
      <c r="I2298" s="18" t="s">
        <v>74</v>
      </c>
      <c r="J2298" s="16">
        <v>2022</v>
      </c>
      <c r="K2298" s="18" t="s">
        <v>7513</v>
      </c>
      <c r="L2298" s="16">
        <v>9785907625013</v>
      </c>
      <c r="M2298" s="18" t="s">
        <v>7514</v>
      </c>
      <c r="N2298" s="16">
        <v>288</v>
      </c>
      <c r="O2298" s="19">
        <v>0.37</v>
      </c>
      <c r="P2298" s="16">
        <v>141</v>
      </c>
      <c r="Q2298" s="16">
        <v>210</v>
      </c>
      <c r="R2298" s="16">
        <v>7</v>
      </c>
      <c r="S2298" s="18" t="s">
        <v>43</v>
      </c>
      <c r="T2298" s="18" t="s">
        <v>7493</v>
      </c>
      <c r="U2298" s="17">
        <v>4017</v>
      </c>
      <c r="V2298" s="18" t="s">
        <v>44</v>
      </c>
      <c r="W2298" s="18" t="s">
        <v>69</v>
      </c>
      <c r="X2298" s="16">
        <v>10</v>
      </c>
      <c r="Y2298" s="43" t="str">
        <f>HYPERLINK("https://api-enni.alpina.ru/FilePrivilegesApproval/306","https://api-enni.alpina.ru/FilePrivilegesApproval/306")</f>
        <v>https://api-enni.alpina.ru/FilePrivilegesApproval/306</v>
      </c>
      <c r="Z2298" s="18"/>
      <c r="AS2298" s="1">
        <f>IF($A2298&lt;&gt;0,1,0)</f>
        <v>0</v>
      </c>
      <c r="AT2298" s="1">
        <f>$A2298*$B2298</f>
        <v>0</v>
      </c>
      <c r="AU2298" s="1">
        <f>$A2298*$O2298</f>
        <v>0</v>
      </c>
      <c r="AV2298" s="1">
        <f>IF($R2298=0,0,INT($A2298/$R2298))</f>
        <v>0</v>
      </c>
      <c r="AW2298" s="1">
        <f>$A2298-$AV2298*$R2298</f>
        <v>0</v>
      </c>
    </row>
    <row r="2299" ht="24.95" customHeight="1" outlineLevel="3" s="1" customFormat="1">
      <c r="A2299" s="15"/>
      <c r="B2299" s="16">
        <v>550</v>
      </c>
      <c r="C2299" s="16">
        <v>852</v>
      </c>
      <c r="D2299" s="16">
        <v>34840</v>
      </c>
      <c r="E2299" s="18"/>
      <c r="F2299" s="18" t="s">
        <v>348</v>
      </c>
      <c r="G2299" s="18" t="s">
        <v>349</v>
      </c>
      <c r="H2299" s="18" t="s">
        <v>64</v>
      </c>
      <c r="I2299" s="18" t="s">
        <v>160</v>
      </c>
      <c r="J2299" s="16">
        <v>2026</v>
      </c>
      <c r="K2299" s="18" t="s">
        <v>350</v>
      </c>
      <c r="L2299" s="16">
        <v>9785006309272</v>
      </c>
      <c r="M2299" s="18" t="s">
        <v>351</v>
      </c>
      <c r="N2299" s="16">
        <v>380</v>
      </c>
      <c r="O2299" s="19">
        <v>0.34</v>
      </c>
      <c r="P2299" s="16">
        <v>140</v>
      </c>
      <c r="Q2299" s="16">
        <v>200</v>
      </c>
      <c r="R2299" s="16">
        <v>6</v>
      </c>
      <c r="S2299" s="18" t="s">
        <v>43</v>
      </c>
      <c r="T2299" s="18"/>
      <c r="U2299" s="17">
        <v>3000</v>
      </c>
      <c r="V2299" s="18" t="s">
        <v>44</v>
      </c>
      <c r="W2299" s="18" t="s">
        <v>69</v>
      </c>
      <c r="X2299" s="16">
        <v>10</v>
      </c>
      <c r="Y2299" s="43" t="str">
        <f>HYPERLINK("https://api-enni.alpina.ru/FilePrivilegesApproval/1205","https://api-enni.alpina.ru/FilePrivilegesApproval/1205")</f>
        <v>https://api-enni.alpina.ru/FilePrivilegesApproval/1205</v>
      </c>
      <c r="Z2299" s="18" t="s">
        <v>46</v>
      </c>
      <c r="AS2299" s="1">
        <f>IF($A2299&lt;&gt;0,1,0)</f>
        <v>0</v>
      </c>
      <c r="AT2299" s="1">
        <f>$A2299*$B2299</f>
        <v>0</v>
      </c>
      <c r="AU2299" s="1">
        <f>$A2299*$O2299</f>
        <v>0</v>
      </c>
      <c r="AV2299" s="1">
        <f>IF($R2299=0,0,INT($A2299/$R2299))</f>
        <v>0</v>
      </c>
      <c r="AW2299" s="1">
        <f>$A2299-$AV2299*$R2299</f>
        <v>0</v>
      </c>
    </row>
    <row r="2300" ht="24.95" customHeight="1" outlineLevel="3" s="1" customFormat="1">
      <c r="A2300" s="25"/>
      <c r="B2300" s="26">
        <v>540</v>
      </c>
      <c r="C2300" s="26">
        <v>837</v>
      </c>
      <c r="D2300" s="26">
        <v>28157</v>
      </c>
      <c r="E2300" s="27"/>
      <c r="F2300" s="27" t="s">
        <v>7515</v>
      </c>
      <c r="G2300" s="27" t="s">
        <v>7516</v>
      </c>
      <c r="H2300" s="27" t="s">
        <v>64</v>
      </c>
      <c r="I2300" s="27" t="s">
        <v>74</v>
      </c>
      <c r="J2300" s="26">
        <v>2024</v>
      </c>
      <c r="K2300" s="27" t="s">
        <v>7517</v>
      </c>
      <c r="L2300" s="26">
        <v>9785961487442</v>
      </c>
      <c r="M2300" s="27" t="s">
        <v>7518</v>
      </c>
      <c r="N2300" s="26">
        <v>506</v>
      </c>
      <c r="O2300" s="28">
        <v>0.42</v>
      </c>
      <c r="P2300" s="26">
        <v>140</v>
      </c>
      <c r="Q2300" s="26">
        <v>200</v>
      </c>
      <c r="R2300" s="26">
        <v>8</v>
      </c>
      <c r="S2300" s="27" t="s">
        <v>43</v>
      </c>
      <c r="T2300" s="27"/>
      <c r="U2300" s="29">
        <v>3000</v>
      </c>
      <c r="V2300" s="27" t="s">
        <v>44</v>
      </c>
      <c r="W2300" s="27" t="s">
        <v>69</v>
      </c>
      <c r="X2300" s="26">
        <v>10</v>
      </c>
      <c r="Y2300" s="45" t="str">
        <f>HYPERLINK("https://api-enni.alpina.ru/FilePrivilegesApproval/387","https://api-enni.alpina.ru/FilePrivilegesApproval/387")</f>
        <v>https://api-enni.alpina.ru/FilePrivilegesApproval/387</v>
      </c>
      <c r="Z2300" s="27"/>
      <c r="AS2300" s="1">
        <f>IF($A2300&lt;&gt;0,1,0)</f>
        <v>0</v>
      </c>
      <c r="AT2300" s="1">
        <f>$A2300*$B2300</f>
        <v>0</v>
      </c>
      <c r="AU2300" s="1">
        <f>$A2300*$O2300</f>
        <v>0</v>
      </c>
      <c r="AV2300" s="1">
        <f>IF($R2300=0,0,INT($A2300/$R2300))</f>
        <v>0</v>
      </c>
      <c r="AW2300" s="1">
        <f>$A2300-$AV2300*$R2300</f>
        <v>0</v>
      </c>
    </row>
    <row r="2301" ht="24.95" customHeight="1" outlineLevel="3" s="1" customFormat="1">
      <c r="A2301" s="15"/>
      <c r="B2301" s="16">
        <v>420</v>
      </c>
      <c r="C2301" s="16">
        <v>651</v>
      </c>
      <c r="D2301" s="16">
        <v>27703</v>
      </c>
      <c r="E2301" s="18"/>
      <c r="F2301" s="18" t="s">
        <v>7519</v>
      </c>
      <c r="G2301" s="18" t="s">
        <v>7520</v>
      </c>
      <c r="H2301" s="18" t="s">
        <v>64</v>
      </c>
      <c r="I2301" s="18" t="s">
        <v>160</v>
      </c>
      <c r="J2301" s="16">
        <v>2024</v>
      </c>
      <c r="K2301" s="18" t="s">
        <v>7521</v>
      </c>
      <c r="L2301" s="16">
        <v>9785961486070</v>
      </c>
      <c r="M2301" s="18" t="s">
        <v>7522</v>
      </c>
      <c r="N2301" s="16">
        <v>192</v>
      </c>
      <c r="O2301" s="19">
        <v>0.23</v>
      </c>
      <c r="P2301" s="16">
        <v>140</v>
      </c>
      <c r="Q2301" s="16">
        <v>200</v>
      </c>
      <c r="R2301" s="16">
        <v>11</v>
      </c>
      <c r="S2301" s="18" t="s">
        <v>43</v>
      </c>
      <c r="T2301" s="18"/>
      <c r="U2301" s="17">
        <v>4000</v>
      </c>
      <c r="V2301" s="18" t="s">
        <v>44</v>
      </c>
      <c r="W2301" s="18" t="s">
        <v>69</v>
      </c>
      <c r="X2301" s="16">
        <v>10</v>
      </c>
      <c r="Y2301" s="43" t="str">
        <f>HYPERLINK("https://api-enni.alpina.ru/FilePrivilegesApproval/296","https://api-enni.alpina.ru/FilePrivilegesApproval/296")</f>
        <v>https://api-enni.alpina.ru/FilePrivilegesApproval/296</v>
      </c>
      <c r="Z2301" s="18"/>
      <c r="AS2301" s="1">
        <f>IF($A2301&lt;&gt;0,1,0)</f>
        <v>0</v>
      </c>
      <c r="AT2301" s="1">
        <f>$A2301*$B2301</f>
        <v>0</v>
      </c>
      <c r="AU2301" s="1">
        <f>$A2301*$O2301</f>
        <v>0</v>
      </c>
      <c r="AV2301" s="1">
        <f>IF($R2301=0,0,INT($A2301/$R2301))</f>
        <v>0</v>
      </c>
      <c r="AW2301" s="1">
        <f>$A2301-$AV2301*$R2301</f>
        <v>0</v>
      </c>
    </row>
    <row r="2302" ht="21.95" customHeight="1" outlineLevel="3" s="1" customFormat="1">
      <c r="A2302" s="25"/>
      <c r="B2302" s="26">
        <v>600</v>
      </c>
      <c r="C2302" s="26">
        <v>885</v>
      </c>
      <c r="D2302" s="26">
        <v>33025</v>
      </c>
      <c r="E2302" s="27"/>
      <c r="F2302" s="27" t="s">
        <v>7523</v>
      </c>
      <c r="G2302" s="27" t="s">
        <v>7524</v>
      </c>
      <c r="H2302" s="27" t="s">
        <v>592</v>
      </c>
      <c r="I2302" s="27"/>
      <c r="J2302" s="26">
        <v>2025</v>
      </c>
      <c r="K2302" s="27" t="s">
        <v>7525</v>
      </c>
      <c r="L2302" s="26">
        <v>9786018215551</v>
      </c>
      <c r="M2302" s="27" t="s">
        <v>7526</v>
      </c>
      <c r="N2302" s="26">
        <v>155</v>
      </c>
      <c r="O2302" s="28">
        <v>0.3</v>
      </c>
      <c r="P2302" s="26">
        <v>150</v>
      </c>
      <c r="Q2302" s="26">
        <v>220</v>
      </c>
      <c r="R2302" s="26">
        <v>10</v>
      </c>
      <c r="S2302" s="27" t="s">
        <v>43</v>
      </c>
      <c r="T2302" s="27"/>
      <c r="U2302" s="29">
        <v>1000</v>
      </c>
      <c r="V2302" s="27" t="s">
        <v>77</v>
      </c>
      <c r="W2302" s="27" t="s">
        <v>45</v>
      </c>
      <c r="X2302" s="26">
        <v>22</v>
      </c>
      <c r="Y2302" s="45" t="str">
        <f>HYPERLINK("","")</f>
      </c>
      <c r="Z2302" s="27"/>
      <c r="AS2302" s="1">
        <f>IF($A2302&lt;&gt;0,1,0)</f>
        <v>0</v>
      </c>
      <c r="AT2302" s="1">
        <f>$A2302*$B2302</f>
        <v>0</v>
      </c>
      <c r="AU2302" s="1">
        <f>$A2302*$O2302</f>
        <v>0</v>
      </c>
      <c r="AV2302" s="1">
        <f>IF($R2302=0,0,INT($A2302/$R2302))</f>
        <v>0</v>
      </c>
      <c r="AW2302" s="1">
        <f>$A2302-$AV2302*$R2302</f>
        <v>0</v>
      </c>
    </row>
    <row r="2303" ht="24.95" customHeight="1" outlineLevel="3" s="1" customFormat="1">
      <c r="A2303" s="15"/>
      <c r="B2303" s="16">
        <v>590</v>
      </c>
      <c r="C2303" s="16">
        <v>885</v>
      </c>
      <c r="D2303" s="16">
        <v>30520</v>
      </c>
      <c r="E2303" s="18"/>
      <c r="F2303" s="18" t="s">
        <v>7457</v>
      </c>
      <c r="G2303" s="18" t="s">
        <v>7527</v>
      </c>
      <c r="H2303" s="18" t="s">
        <v>64</v>
      </c>
      <c r="I2303" s="18" t="s">
        <v>74</v>
      </c>
      <c r="J2303" s="16">
        <v>2025</v>
      </c>
      <c r="K2303" s="18" t="s">
        <v>7528</v>
      </c>
      <c r="L2303" s="16">
        <v>9785961495690</v>
      </c>
      <c r="M2303" s="18" t="s">
        <v>7529</v>
      </c>
      <c r="N2303" s="16">
        <v>460</v>
      </c>
      <c r="O2303" s="19">
        <v>0.37</v>
      </c>
      <c r="P2303" s="16">
        <v>150</v>
      </c>
      <c r="Q2303" s="16">
        <v>200</v>
      </c>
      <c r="R2303" s="16">
        <v>8</v>
      </c>
      <c r="S2303" s="18" t="s">
        <v>43</v>
      </c>
      <c r="T2303" s="18"/>
      <c r="U2303" s="17">
        <v>3000</v>
      </c>
      <c r="V2303" s="18" t="s">
        <v>44</v>
      </c>
      <c r="W2303" s="18" t="s">
        <v>45</v>
      </c>
      <c r="X2303" s="16">
        <v>10</v>
      </c>
      <c r="Y2303" s="43" t="str">
        <f>HYPERLINK("https://api-enni.alpina.ru/FilePrivilegesApproval/840","https://api-enni.alpina.ru/FilePrivilegesApproval/840")</f>
        <v>https://api-enni.alpina.ru/FilePrivilegesApproval/840</v>
      </c>
      <c r="Z2303" s="18"/>
      <c r="AS2303" s="1">
        <f>IF($A2303&lt;&gt;0,1,0)</f>
        <v>0</v>
      </c>
      <c r="AT2303" s="1">
        <f>$A2303*$B2303</f>
        <v>0</v>
      </c>
      <c r="AU2303" s="1">
        <f>$A2303*$O2303</f>
        <v>0</v>
      </c>
      <c r="AV2303" s="1">
        <f>IF($R2303=0,0,INT($A2303/$R2303))</f>
        <v>0</v>
      </c>
      <c r="AW2303" s="1">
        <f>$A2303-$AV2303*$R2303</f>
        <v>0</v>
      </c>
    </row>
    <row r="2304" ht="24.95" customHeight="1" outlineLevel="3" s="1" customFormat="1">
      <c r="A2304" s="15"/>
      <c r="B2304" s="16">
        <v>590</v>
      </c>
      <c r="C2304" s="16">
        <v>885</v>
      </c>
      <c r="D2304" s="16">
        <v>30413</v>
      </c>
      <c r="E2304" s="18"/>
      <c r="F2304" s="18" t="s">
        <v>348</v>
      </c>
      <c r="G2304" s="18" t="s">
        <v>7530</v>
      </c>
      <c r="H2304" s="18" t="s">
        <v>64</v>
      </c>
      <c r="I2304" s="18" t="s">
        <v>160</v>
      </c>
      <c r="J2304" s="16">
        <v>2026</v>
      </c>
      <c r="K2304" s="18" t="s">
        <v>7531</v>
      </c>
      <c r="L2304" s="16">
        <v>9785961495447</v>
      </c>
      <c r="M2304" s="18" t="s">
        <v>7532</v>
      </c>
      <c r="N2304" s="16">
        <v>324</v>
      </c>
      <c r="O2304" s="19">
        <v>0.27</v>
      </c>
      <c r="P2304" s="16">
        <v>140</v>
      </c>
      <c r="Q2304" s="16">
        <v>200</v>
      </c>
      <c r="R2304" s="16">
        <v>6</v>
      </c>
      <c r="S2304" s="18" t="s">
        <v>43</v>
      </c>
      <c r="T2304" s="18"/>
      <c r="U2304" s="17">
        <v>2000</v>
      </c>
      <c r="V2304" s="18" t="s">
        <v>44</v>
      </c>
      <c r="W2304" s="18" t="s">
        <v>69</v>
      </c>
      <c r="X2304" s="16">
        <v>10</v>
      </c>
      <c r="Y2304" s="43" t="str">
        <f>HYPERLINK("https://api-enni.alpina.ru/FilePrivilegesApproval/759","https://api-enni.alpina.ru/FilePrivilegesApproval/759")</f>
        <v>https://api-enni.alpina.ru/FilePrivilegesApproval/759</v>
      </c>
      <c r="Z2304" s="18" t="s">
        <v>744</v>
      </c>
      <c r="AS2304" s="1">
        <f>IF($A2304&lt;&gt;0,1,0)</f>
        <v>0</v>
      </c>
      <c r="AT2304" s="1">
        <f>$A2304*$B2304</f>
        <v>0</v>
      </c>
      <c r="AU2304" s="1">
        <f>$A2304*$O2304</f>
        <v>0</v>
      </c>
      <c r="AV2304" s="1">
        <f>IF($R2304=0,0,INT($A2304/$R2304))</f>
        <v>0</v>
      </c>
      <c r="AW2304" s="1">
        <f>$A2304-$AV2304*$R2304</f>
        <v>0</v>
      </c>
    </row>
    <row r="2305" ht="24.95" customHeight="1" outlineLevel="3" s="1" customFormat="1">
      <c r="A2305" s="15"/>
      <c r="B2305" s="16">
        <v>590</v>
      </c>
      <c r="C2305" s="16">
        <v>885</v>
      </c>
      <c r="D2305" s="16">
        <v>34389</v>
      </c>
      <c r="E2305" s="18"/>
      <c r="F2305" s="18" t="s">
        <v>348</v>
      </c>
      <c r="G2305" s="18" t="s">
        <v>7530</v>
      </c>
      <c r="H2305" s="18" t="s">
        <v>64</v>
      </c>
      <c r="I2305" s="18" t="s">
        <v>160</v>
      </c>
      <c r="J2305" s="16">
        <v>2025</v>
      </c>
      <c r="K2305" s="18" t="s">
        <v>7533</v>
      </c>
      <c r="L2305" s="16">
        <v>9785006307414</v>
      </c>
      <c r="M2305" s="18" t="s">
        <v>7534</v>
      </c>
      <c r="N2305" s="16">
        <v>324</v>
      </c>
      <c r="O2305" s="19">
        <v>0.26</v>
      </c>
      <c r="P2305" s="16">
        <v>140</v>
      </c>
      <c r="Q2305" s="16">
        <v>200</v>
      </c>
      <c r="R2305" s="16">
        <v>5</v>
      </c>
      <c r="S2305" s="18" t="s">
        <v>43</v>
      </c>
      <c r="T2305" s="18"/>
      <c r="U2305" s="17">
        <v>1000</v>
      </c>
      <c r="V2305" s="18" t="s">
        <v>44</v>
      </c>
      <c r="W2305" s="18" t="s">
        <v>69</v>
      </c>
      <c r="X2305" s="16">
        <v>10</v>
      </c>
      <c r="Y2305" s="43" t="str">
        <f>HYPERLINK("https://api-enni.alpina.ru/FilePrivilegesApproval/940","https://api-enni.alpina.ru/FilePrivilegesApproval/940")</f>
        <v>https://api-enni.alpina.ru/FilePrivilegesApproval/940</v>
      </c>
      <c r="Z2305" s="18"/>
      <c r="AS2305" s="1">
        <f>IF($A2305&lt;&gt;0,1,0)</f>
        <v>0</v>
      </c>
      <c r="AT2305" s="1">
        <f>$A2305*$B2305</f>
        <v>0</v>
      </c>
      <c r="AU2305" s="1">
        <f>$A2305*$O2305</f>
        <v>0</v>
      </c>
      <c r="AV2305" s="1">
        <f>IF($R2305=0,0,INT($A2305/$R2305))</f>
        <v>0</v>
      </c>
      <c r="AW2305" s="1">
        <f>$A2305-$AV2305*$R2305</f>
        <v>0</v>
      </c>
    </row>
    <row r="2306" ht="24.95" customHeight="1" outlineLevel="3" s="1" customFormat="1">
      <c r="A2306" s="15"/>
      <c r="B2306" s="16">
        <v>590</v>
      </c>
      <c r="C2306" s="16">
        <v>885</v>
      </c>
      <c r="D2306" s="16">
        <v>30114</v>
      </c>
      <c r="E2306" s="18"/>
      <c r="F2306" s="18" t="s">
        <v>7535</v>
      </c>
      <c r="G2306" s="18" t="s">
        <v>7536</v>
      </c>
      <c r="H2306" s="18" t="s">
        <v>64</v>
      </c>
      <c r="I2306" s="18" t="s">
        <v>74</v>
      </c>
      <c r="J2306" s="16">
        <v>2025</v>
      </c>
      <c r="K2306" s="18" t="s">
        <v>7537</v>
      </c>
      <c r="L2306" s="16">
        <v>9785961494785</v>
      </c>
      <c r="M2306" s="18" t="s">
        <v>7538</v>
      </c>
      <c r="N2306" s="16">
        <v>430</v>
      </c>
      <c r="O2306" s="19">
        <v>0.37</v>
      </c>
      <c r="P2306" s="16">
        <v>140</v>
      </c>
      <c r="Q2306" s="16">
        <v>200</v>
      </c>
      <c r="R2306" s="16">
        <v>8</v>
      </c>
      <c r="S2306" s="18" t="s">
        <v>43</v>
      </c>
      <c r="T2306" s="18"/>
      <c r="U2306" s="17">
        <v>2000</v>
      </c>
      <c r="V2306" s="18" t="s">
        <v>44</v>
      </c>
      <c r="W2306" s="18" t="s">
        <v>69</v>
      </c>
      <c r="X2306" s="16">
        <v>10</v>
      </c>
      <c r="Y2306" s="43" t="str">
        <f>HYPERLINK("https://api-enni.alpina.ru/FilePrivilegesApproval/897","https://api-enni.alpina.ru/FilePrivilegesApproval/897")</f>
        <v>https://api-enni.alpina.ru/FilePrivilegesApproval/897</v>
      </c>
      <c r="Z2306" s="18"/>
      <c r="AS2306" s="1">
        <f>IF($A2306&lt;&gt;0,1,0)</f>
        <v>0</v>
      </c>
      <c r="AT2306" s="1">
        <f>$A2306*$B2306</f>
        <v>0</v>
      </c>
      <c r="AU2306" s="1">
        <f>$A2306*$O2306</f>
        <v>0</v>
      </c>
      <c r="AV2306" s="1">
        <f>IF($R2306=0,0,INT($A2306/$R2306))</f>
        <v>0</v>
      </c>
      <c r="AW2306" s="1">
        <f>$A2306-$AV2306*$R2306</f>
        <v>0</v>
      </c>
    </row>
    <row r="2307" ht="24.95" customHeight="1" outlineLevel="3" s="1" customFormat="1">
      <c r="A2307" s="15"/>
      <c r="B2307" s="16">
        <v>620</v>
      </c>
      <c r="C2307" s="16">
        <v>930</v>
      </c>
      <c r="D2307" s="16">
        <v>34600</v>
      </c>
      <c r="E2307" s="18"/>
      <c r="F2307" s="18" t="s">
        <v>7539</v>
      </c>
      <c r="G2307" s="18" t="s">
        <v>7540</v>
      </c>
      <c r="H2307" s="18" t="s">
        <v>64</v>
      </c>
      <c r="I2307" s="18" t="s">
        <v>74</v>
      </c>
      <c r="J2307" s="16">
        <v>2026</v>
      </c>
      <c r="K2307" s="18" t="s">
        <v>7541</v>
      </c>
      <c r="L2307" s="16">
        <v>9785006308251</v>
      </c>
      <c r="M2307" s="18" t="s">
        <v>7542</v>
      </c>
      <c r="N2307" s="16">
        <v>470</v>
      </c>
      <c r="O2307" s="19">
        <v>0.41</v>
      </c>
      <c r="P2307" s="16">
        <v>140</v>
      </c>
      <c r="Q2307" s="16">
        <v>200</v>
      </c>
      <c r="R2307" s="16">
        <v>6</v>
      </c>
      <c r="S2307" s="18" t="s">
        <v>43</v>
      </c>
      <c r="T2307" s="18"/>
      <c r="U2307" s="17">
        <v>3000</v>
      </c>
      <c r="V2307" s="18" t="s">
        <v>44</v>
      </c>
      <c r="W2307" s="18" t="s">
        <v>69</v>
      </c>
      <c r="X2307" s="16">
        <v>10</v>
      </c>
      <c r="Y2307" s="43" t="str">
        <f>HYPERLINK("https://api-enni.alpina.ru/FilePrivilegesApproval/1178","https://api-enni.alpina.ru/FilePrivilegesApproval/1178")</f>
        <v>https://api-enni.alpina.ru/FilePrivilegesApproval/1178</v>
      </c>
      <c r="Z2307" s="18" t="s">
        <v>251</v>
      </c>
      <c r="AS2307" s="1">
        <f>IF($A2307&lt;&gt;0,1,0)</f>
        <v>0</v>
      </c>
      <c r="AT2307" s="1">
        <f>$A2307*$B2307</f>
        <v>0</v>
      </c>
      <c r="AU2307" s="1">
        <f>$A2307*$O2307</f>
        <v>0</v>
      </c>
      <c r="AV2307" s="1">
        <f>IF($R2307=0,0,INT($A2307/$R2307))</f>
        <v>0</v>
      </c>
      <c r="AW2307" s="1">
        <f>$A2307-$AV2307*$R2307</f>
        <v>0</v>
      </c>
    </row>
    <row r="2308" ht="24.95" customHeight="1" outlineLevel="3" s="1" customFormat="1">
      <c r="A2308" s="15"/>
      <c r="B2308" s="16">
        <v>590</v>
      </c>
      <c r="C2308" s="16">
        <v>885</v>
      </c>
      <c r="D2308" s="16">
        <v>32789</v>
      </c>
      <c r="E2308" s="18"/>
      <c r="F2308" s="18" t="s">
        <v>386</v>
      </c>
      <c r="G2308" s="18" t="s">
        <v>387</v>
      </c>
      <c r="H2308" s="18" t="s">
        <v>64</v>
      </c>
      <c r="I2308" s="18" t="s">
        <v>160</v>
      </c>
      <c r="J2308" s="16">
        <v>2026</v>
      </c>
      <c r="K2308" s="18" t="s">
        <v>7543</v>
      </c>
      <c r="L2308" s="16">
        <v>9785006303065</v>
      </c>
      <c r="M2308" s="18" t="s">
        <v>7544</v>
      </c>
      <c r="N2308" s="16">
        <v>360</v>
      </c>
      <c r="O2308" s="19">
        <v>0.29</v>
      </c>
      <c r="P2308" s="16">
        <v>150</v>
      </c>
      <c r="Q2308" s="16">
        <v>200</v>
      </c>
      <c r="R2308" s="16">
        <v>6</v>
      </c>
      <c r="S2308" s="18" t="s">
        <v>43</v>
      </c>
      <c r="T2308" s="18"/>
      <c r="U2308" s="17">
        <v>4000</v>
      </c>
      <c r="V2308" s="18" t="s">
        <v>44</v>
      </c>
      <c r="W2308" s="18" t="s">
        <v>69</v>
      </c>
      <c r="X2308" s="16">
        <v>10</v>
      </c>
      <c r="Y2308" s="43" t="str">
        <f>HYPERLINK("https://api-enni.alpina.ru/FilePrivilegesApproval/956","https://api-enni.alpina.ru/FilePrivilegesApproval/956")</f>
        <v>https://api-enni.alpina.ru/FilePrivilegesApproval/956</v>
      </c>
      <c r="Z2308" s="18" t="s">
        <v>874</v>
      </c>
      <c r="AS2308" s="1">
        <f>IF($A2308&lt;&gt;0,1,0)</f>
        <v>0</v>
      </c>
      <c r="AT2308" s="1">
        <f>$A2308*$B2308</f>
        <v>0</v>
      </c>
      <c r="AU2308" s="1">
        <f>$A2308*$O2308</f>
        <v>0</v>
      </c>
      <c r="AV2308" s="1">
        <f>IF($R2308=0,0,INT($A2308/$R2308))</f>
        <v>0</v>
      </c>
      <c r="AW2308" s="1">
        <f>$A2308-$AV2308*$R2308</f>
        <v>0</v>
      </c>
    </row>
    <row r="2309" ht="21.95" customHeight="1" outlineLevel="3" s="1" customFormat="1">
      <c r="A2309" s="15"/>
      <c r="B2309" s="16">
        <v>790</v>
      </c>
      <c r="C2309" s="17">
        <v>1146</v>
      </c>
      <c r="D2309" s="16">
        <v>37704</v>
      </c>
      <c r="E2309" s="18"/>
      <c r="F2309" s="18" t="s">
        <v>386</v>
      </c>
      <c r="G2309" s="18" t="s">
        <v>387</v>
      </c>
      <c r="H2309" s="18" t="s">
        <v>64</v>
      </c>
      <c r="I2309" s="18" t="s">
        <v>160</v>
      </c>
      <c r="J2309" s="16">
        <v>2026</v>
      </c>
      <c r="K2309" s="18" t="s">
        <v>388</v>
      </c>
      <c r="L2309" s="16">
        <v>9785006306714</v>
      </c>
      <c r="M2309" s="18" t="s">
        <v>389</v>
      </c>
      <c r="N2309" s="16">
        <v>360</v>
      </c>
      <c r="O2309" s="19">
        <v>0.41</v>
      </c>
      <c r="P2309" s="16">
        <v>150</v>
      </c>
      <c r="Q2309" s="16">
        <v>200</v>
      </c>
      <c r="R2309" s="16">
        <v>10</v>
      </c>
      <c r="S2309" s="18" t="s">
        <v>43</v>
      </c>
      <c r="T2309" s="18"/>
      <c r="U2309" s="17">
        <v>2000</v>
      </c>
      <c r="V2309" s="18" t="s">
        <v>77</v>
      </c>
      <c r="W2309" s="18" t="s">
        <v>69</v>
      </c>
      <c r="X2309" s="16">
        <v>10</v>
      </c>
      <c r="Y2309" s="43" t="str">
        <f>HYPERLINK("","")</f>
      </c>
      <c r="Z2309" s="18" t="s">
        <v>98</v>
      </c>
      <c r="AS2309" s="1">
        <f>IF($A2309&lt;&gt;0,1,0)</f>
        <v>0</v>
      </c>
      <c r="AT2309" s="1">
        <f>$A2309*$B2309</f>
        <v>0</v>
      </c>
      <c r="AU2309" s="1">
        <f>$A2309*$O2309</f>
        <v>0</v>
      </c>
      <c r="AV2309" s="1">
        <f>IF($R2309=0,0,INT($A2309/$R2309))</f>
        <v>0</v>
      </c>
      <c r="AW2309" s="1">
        <f>$A2309-$AV2309*$R2309</f>
        <v>0</v>
      </c>
    </row>
    <row r="2310" ht="24.95" customHeight="1" outlineLevel="3" s="1" customFormat="1">
      <c r="A2310" s="15"/>
      <c r="B2310" s="16">
        <v>750</v>
      </c>
      <c r="C2310" s="17">
        <v>1088</v>
      </c>
      <c r="D2310" s="16">
        <v>32278</v>
      </c>
      <c r="E2310" s="18"/>
      <c r="F2310" s="18" t="s">
        <v>7545</v>
      </c>
      <c r="G2310" s="18" t="s">
        <v>7546</v>
      </c>
      <c r="H2310" s="18" t="s">
        <v>64</v>
      </c>
      <c r="I2310" s="18" t="s">
        <v>74</v>
      </c>
      <c r="J2310" s="16">
        <v>2025</v>
      </c>
      <c r="K2310" s="18" t="s">
        <v>7547</v>
      </c>
      <c r="L2310" s="16">
        <v>9785006301818</v>
      </c>
      <c r="M2310" s="18" t="s">
        <v>7548</v>
      </c>
      <c r="N2310" s="16">
        <v>446</v>
      </c>
      <c r="O2310" s="19">
        <v>0.38</v>
      </c>
      <c r="P2310" s="16">
        <v>140</v>
      </c>
      <c r="Q2310" s="16">
        <v>200</v>
      </c>
      <c r="R2310" s="16">
        <v>6</v>
      </c>
      <c r="S2310" s="18" t="s">
        <v>43</v>
      </c>
      <c r="T2310" s="18"/>
      <c r="U2310" s="17">
        <v>3000</v>
      </c>
      <c r="V2310" s="18" t="s">
        <v>44</v>
      </c>
      <c r="W2310" s="18" t="s">
        <v>69</v>
      </c>
      <c r="X2310" s="16">
        <v>10</v>
      </c>
      <c r="Y2310" s="43" t="str">
        <f>HYPERLINK("https://api-enni.alpina.ru/FilePrivilegesApproval/1028","https://api-enni.alpina.ru/FilePrivilegesApproval/1028")</f>
        <v>https://api-enni.alpina.ru/FilePrivilegesApproval/1028</v>
      </c>
      <c r="Z2310" s="18"/>
      <c r="AS2310" s="1">
        <f>IF($A2310&lt;&gt;0,1,0)</f>
        <v>0</v>
      </c>
      <c r="AT2310" s="1">
        <f>$A2310*$B2310</f>
        <v>0</v>
      </c>
      <c r="AU2310" s="1">
        <f>$A2310*$O2310</f>
        <v>0</v>
      </c>
      <c r="AV2310" s="1">
        <f>IF($R2310=0,0,INT($A2310/$R2310))</f>
        <v>0</v>
      </c>
      <c r="AW2310" s="1">
        <f>$A2310-$AV2310*$R2310</f>
        <v>0</v>
      </c>
    </row>
    <row r="2311" ht="24.95" customHeight="1" outlineLevel="3" s="1" customFormat="1">
      <c r="A2311" s="15"/>
      <c r="B2311" s="16">
        <v>540</v>
      </c>
      <c r="C2311" s="16">
        <v>837</v>
      </c>
      <c r="D2311" s="16">
        <v>30619</v>
      </c>
      <c r="E2311" s="18"/>
      <c r="F2311" s="18" t="s">
        <v>7549</v>
      </c>
      <c r="G2311" s="18" t="s">
        <v>7550</v>
      </c>
      <c r="H2311" s="18" t="s">
        <v>64</v>
      </c>
      <c r="I2311" s="18" t="s">
        <v>40</v>
      </c>
      <c r="J2311" s="16">
        <v>2025</v>
      </c>
      <c r="K2311" s="18" t="s">
        <v>7551</v>
      </c>
      <c r="L2311" s="16">
        <v>9785961496086</v>
      </c>
      <c r="M2311" s="18" t="s">
        <v>7552</v>
      </c>
      <c r="N2311" s="16">
        <v>288</v>
      </c>
      <c r="O2311" s="19">
        <v>0.25</v>
      </c>
      <c r="P2311" s="16">
        <v>140</v>
      </c>
      <c r="Q2311" s="16">
        <v>200</v>
      </c>
      <c r="R2311" s="16">
        <v>12</v>
      </c>
      <c r="S2311" s="18" t="s">
        <v>43</v>
      </c>
      <c r="T2311" s="18"/>
      <c r="U2311" s="17">
        <v>2000</v>
      </c>
      <c r="V2311" s="18" t="s">
        <v>44</v>
      </c>
      <c r="W2311" s="18" t="s">
        <v>45</v>
      </c>
      <c r="X2311" s="16">
        <v>10</v>
      </c>
      <c r="Y2311" s="43" t="str">
        <f>HYPERLINK("https://api-enni.alpina.ru/FilePrivilegesApproval/828","https://api-enni.alpina.ru/FilePrivilegesApproval/828")</f>
        <v>https://api-enni.alpina.ru/FilePrivilegesApproval/828</v>
      </c>
      <c r="Z2311" s="18"/>
      <c r="AS2311" s="1">
        <f>IF($A2311&lt;&gt;0,1,0)</f>
        <v>0</v>
      </c>
      <c r="AT2311" s="1">
        <f>$A2311*$B2311</f>
        <v>0</v>
      </c>
      <c r="AU2311" s="1">
        <f>$A2311*$O2311</f>
        <v>0</v>
      </c>
      <c r="AV2311" s="1">
        <f>IF($R2311=0,0,INT($A2311/$R2311))</f>
        <v>0</v>
      </c>
      <c r="AW2311" s="1">
        <f>$A2311-$AV2311*$R2311</f>
        <v>0</v>
      </c>
    </row>
    <row r="2312" ht="24.95" customHeight="1" outlineLevel="3" s="1" customFormat="1">
      <c r="A2312" s="15"/>
      <c r="B2312" s="16">
        <v>590</v>
      </c>
      <c r="C2312" s="16">
        <v>885</v>
      </c>
      <c r="D2312" s="16">
        <v>31984</v>
      </c>
      <c r="E2312" s="18"/>
      <c r="F2312" s="18" t="s">
        <v>7553</v>
      </c>
      <c r="G2312" s="18" t="s">
        <v>7554</v>
      </c>
      <c r="H2312" s="18" t="s">
        <v>64</v>
      </c>
      <c r="I2312" s="18" t="s">
        <v>65</v>
      </c>
      <c r="J2312" s="16">
        <v>2025</v>
      </c>
      <c r="K2312" s="18" t="s">
        <v>7555</v>
      </c>
      <c r="L2312" s="16">
        <v>9785006300811</v>
      </c>
      <c r="M2312" s="18" t="s">
        <v>7556</v>
      </c>
      <c r="N2312" s="16">
        <v>238</v>
      </c>
      <c r="O2312" s="19">
        <v>0.2</v>
      </c>
      <c r="P2312" s="16">
        <v>140</v>
      </c>
      <c r="Q2312" s="16">
        <v>200</v>
      </c>
      <c r="R2312" s="16">
        <v>14</v>
      </c>
      <c r="S2312" s="18" t="s">
        <v>43</v>
      </c>
      <c r="T2312" s="18"/>
      <c r="U2312" s="17">
        <v>3000</v>
      </c>
      <c r="V2312" s="18" t="s">
        <v>44</v>
      </c>
      <c r="W2312" s="18" t="s">
        <v>69</v>
      </c>
      <c r="X2312" s="16">
        <v>10</v>
      </c>
      <c r="Y2312" s="43" t="str">
        <f>HYPERLINK("https://api-enni.alpina.ru/FilePrivilegesApproval/897","https://api-enni.alpina.ru/FilePrivilegesApproval/897")</f>
        <v>https://api-enni.alpina.ru/FilePrivilegesApproval/897</v>
      </c>
      <c r="Z2312" s="18"/>
      <c r="AS2312" s="1">
        <f>IF($A2312&lt;&gt;0,1,0)</f>
        <v>0</v>
      </c>
      <c r="AT2312" s="1">
        <f>$A2312*$B2312</f>
        <v>0</v>
      </c>
      <c r="AU2312" s="1">
        <f>$A2312*$O2312</f>
        <v>0</v>
      </c>
      <c r="AV2312" s="1">
        <f>IF($R2312=0,0,INT($A2312/$R2312))</f>
        <v>0</v>
      </c>
      <c r="AW2312" s="1">
        <f>$A2312-$AV2312*$R2312</f>
        <v>0</v>
      </c>
    </row>
    <row r="2313" ht="21.95" customHeight="1" outlineLevel="3" s="1" customFormat="1">
      <c r="A2313" s="15"/>
      <c r="B2313" s="16">
        <v>651</v>
      </c>
      <c r="C2313" s="16">
        <v>976</v>
      </c>
      <c r="D2313" s="16">
        <v>33352</v>
      </c>
      <c r="E2313" s="18"/>
      <c r="F2313" s="18" t="s">
        <v>7557</v>
      </c>
      <c r="G2313" s="18" t="s">
        <v>7558</v>
      </c>
      <c r="H2313" s="18" t="s">
        <v>592</v>
      </c>
      <c r="I2313" s="18"/>
      <c r="J2313" s="16">
        <v>2025</v>
      </c>
      <c r="K2313" s="18" t="s">
        <v>7559</v>
      </c>
      <c r="L2313" s="16">
        <v>9786018223099</v>
      </c>
      <c r="M2313" s="18" t="s">
        <v>7560</v>
      </c>
      <c r="N2313" s="16">
        <v>128</v>
      </c>
      <c r="O2313" s="19">
        <v>0.26</v>
      </c>
      <c r="P2313" s="16">
        <v>150</v>
      </c>
      <c r="Q2313" s="16">
        <v>220</v>
      </c>
      <c r="R2313" s="16">
        <v>10</v>
      </c>
      <c r="S2313" s="18" t="s">
        <v>43</v>
      </c>
      <c r="T2313" s="18"/>
      <c r="U2313" s="17">
        <v>1000</v>
      </c>
      <c r="V2313" s="18" t="s">
        <v>77</v>
      </c>
      <c r="W2313" s="18" t="s">
        <v>45</v>
      </c>
      <c r="X2313" s="16">
        <v>22</v>
      </c>
      <c r="Y2313" s="43" t="str">
        <f>HYPERLINK("","")</f>
      </c>
      <c r="Z2313" s="18"/>
      <c r="AS2313" s="1">
        <f>IF($A2313&lt;&gt;0,1,0)</f>
        <v>0</v>
      </c>
      <c r="AT2313" s="1">
        <f>$A2313*$B2313</f>
        <v>0</v>
      </c>
      <c r="AU2313" s="1">
        <f>$A2313*$O2313</f>
        <v>0</v>
      </c>
      <c r="AV2313" s="1">
        <f>IF($R2313=0,0,INT($A2313/$R2313))</f>
        <v>0</v>
      </c>
      <c r="AW2313" s="1">
        <f>$A2313-$AV2313*$R2313</f>
        <v>0</v>
      </c>
    </row>
    <row r="2314" ht="24.95" customHeight="1" outlineLevel="3" s="1" customFormat="1">
      <c r="A2314" s="15"/>
      <c r="B2314" s="16">
        <v>540</v>
      </c>
      <c r="C2314" s="16">
        <v>837</v>
      </c>
      <c r="D2314" s="16">
        <v>27481</v>
      </c>
      <c r="E2314" s="18"/>
      <c r="F2314" s="18" t="s">
        <v>386</v>
      </c>
      <c r="G2314" s="18" t="s">
        <v>7561</v>
      </c>
      <c r="H2314" s="18" t="s">
        <v>64</v>
      </c>
      <c r="I2314" s="18" t="s">
        <v>160</v>
      </c>
      <c r="J2314" s="16">
        <v>2024</v>
      </c>
      <c r="K2314" s="18" t="s">
        <v>7562</v>
      </c>
      <c r="L2314" s="16">
        <v>9785961485301</v>
      </c>
      <c r="M2314" s="18" t="s">
        <v>7563</v>
      </c>
      <c r="N2314" s="16">
        <v>348</v>
      </c>
      <c r="O2314" s="19">
        <v>0.41</v>
      </c>
      <c r="P2314" s="16">
        <v>140</v>
      </c>
      <c r="Q2314" s="16">
        <v>200</v>
      </c>
      <c r="R2314" s="16">
        <v>10</v>
      </c>
      <c r="S2314" s="18" t="s">
        <v>43</v>
      </c>
      <c r="T2314" s="18"/>
      <c r="U2314" s="17">
        <v>3800</v>
      </c>
      <c r="V2314" s="18" t="s">
        <v>44</v>
      </c>
      <c r="W2314" s="18" t="s">
        <v>69</v>
      </c>
      <c r="X2314" s="16">
        <v>10</v>
      </c>
      <c r="Y2314" s="43" t="str">
        <f>HYPERLINK("https://api-enni.alpina.ru/FilePrivilegesApproval/380","https://api-enni.alpina.ru/FilePrivilegesApproval/380")</f>
        <v>https://api-enni.alpina.ru/FilePrivilegesApproval/380</v>
      </c>
      <c r="Z2314" s="18"/>
      <c r="AS2314" s="1">
        <f>IF($A2314&lt;&gt;0,1,0)</f>
        <v>0</v>
      </c>
      <c r="AT2314" s="1">
        <f>$A2314*$B2314</f>
        <v>0</v>
      </c>
      <c r="AU2314" s="1">
        <f>$A2314*$O2314</f>
        <v>0</v>
      </c>
      <c r="AV2314" s="1">
        <f>IF($R2314=0,0,INT($A2314/$R2314))</f>
        <v>0</v>
      </c>
      <c r="AW2314" s="1">
        <f>$A2314-$AV2314*$R2314</f>
        <v>0</v>
      </c>
    </row>
    <row r="2315" ht="24.95" customHeight="1" outlineLevel="3" s="1" customFormat="1">
      <c r="A2315" s="15"/>
      <c r="B2315" s="16">
        <v>790</v>
      </c>
      <c r="C2315" s="17">
        <v>1146</v>
      </c>
      <c r="D2315" s="16">
        <v>26686</v>
      </c>
      <c r="E2315" s="18"/>
      <c r="F2315" s="18" t="s">
        <v>7449</v>
      </c>
      <c r="G2315" s="18" t="s">
        <v>7564</v>
      </c>
      <c r="H2315" s="18" t="s">
        <v>3948</v>
      </c>
      <c r="I2315" s="18" t="s">
        <v>74</v>
      </c>
      <c r="J2315" s="16">
        <v>2023</v>
      </c>
      <c r="K2315" s="18" t="s">
        <v>7565</v>
      </c>
      <c r="L2315" s="16">
        <v>9785907625075</v>
      </c>
      <c r="M2315" s="18" t="s">
        <v>7566</v>
      </c>
      <c r="N2315" s="16">
        <v>368</v>
      </c>
      <c r="O2315" s="19">
        <v>0.46</v>
      </c>
      <c r="P2315" s="16">
        <v>150</v>
      </c>
      <c r="Q2315" s="16">
        <v>210</v>
      </c>
      <c r="R2315" s="16">
        <v>6</v>
      </c>
      <c r="S2315" s="18" t="s">
        <v>43</v>
      </c>
      <c r="T2315" s="18" t="s">
        <v>7347</v>
      </c>
      <c r="U2315" s="17">
        <v>4017</v>
      </c>
      <c r="V2315" s="18" t="s">
        <v>44</v>
      </c>
      <c r="W2315" s="18" t="s">
        <v>69</v>
      </c>
      <c r="X2315" s="16">
        <v>10</v>
      </c>
      <c r="Y2315" s="43" t="str">
        <f>HYPERLINK("https://api-enni.alpina.ru/FilePrivilegesApproval/356","https://api-enni.alpina.ru/FilePrivilegesApproval/356")</f>
        <v>https://api-enni.alpina.ru/FilePrivilegesApproval/356</v>
      </c>
      <c r="Z2315" s="18"/>
      <c r="AS2315" s="1">
        <f>IF($A2315&lt;&gt;0,1,0)</f>
        <v>0</v>
      </c>
      <c r="AT2315" s="1">
        <f>$A2315*$B2315</f>
        <v>0</v>
      </c>
      <c r="AU2315" s="1">
        <f>$A2315*$O2315</f>
        <v>0</v>
      </c>
      <c r="AV2315" s="1">
        <f>IF($R2315=0,0,INT($A2315/$R2315))</f>
        <v>0</v>
      </c>
      <c r="AW2315" s="1">
        <f>$A2315-$AV2315*$R2315</f>
        <v>0</v>
      </c>
    </row>
    <row r="2316" ht="24.95" customHeight="1" outlineLevel="3" s="1" customFormat="1">
      <c r="A2316" s="15"/>
      <c r="B2316" s="16">
        <v>650</v>
      </c>
      <c r="C2316" s="16">
        <v>975</v>
      </c>
      <c r="D2316" s="16">
        <v>32983</v>
      </c>
      <c r="E2316" s="18"/>
      <c r="F2316" s="18" t="s">
        <v>348</v>
      </c>
      <c r="G2316" s="18" t="s">
        <v>7567</v>
      </c>
      <c r="H2316" s="18" t="s">
        <v>64</v>
      </c>
      <c r="I2316" s="18" t="s">
        <v>160</v>
      </c>
      <c r="J2316" s="16">
        <v>2026</v>
      </c>
      <c r="K2316" s="18" t="s">
        <v>7568</v>
      </c>
      <c r="L2316" s="16">
        <v>9785006303607</v>
      </c>
      <c r="M2316" s="18" t="s">
        <v>7569</v>
      </c>
      <c r="N2316" s="16">
        <v>264</v>
      </c>
      <c r="O2316" s="19">
        <v>0.24</v>
      </c>
      <c r="P2316" s="16">
        <v>140</v>
      </c>
      <c r="Q2316" s="16">
        <v>200</v>
      </c>
      <c r="R2316" s="16">
        <v>16</v>
      </c>
      <c r="S2316" s="18" t="s">
        <v>43</v>
      </c>
      <c r="T2316" s="18"/>
      <c r="U2316" s="17">
        <v>3000</v>
      </c>
      <c r="V2316" s="18" t="s">
        <v>44</v>
      </c>
      <c r="W2316" s="18" t="s">
        <v>69</v>
      </c>
      <c r="X2316" s="16">
        <v>10</v>
      </c>
      <c r="Y2316" s="43" t="str">
        <f>HYPERLINK("https://api-enni.alpina.ru/FilePrivilegesApproval/1028","https://api-enni.alpina.ru/FilePrivilegesApproval/1028")</f>
        <v>https://api-enni.alpina.ru/FilePrivilegesApproval/1028</v>
      </c>
      <c r="Z2316" s="18"/>
      <c r="AS2316" s="1">
        <f>IF($A2316&lt;&gt;0,1,0)</f>
        <v>0</v>
      </c>
      <c r="AT2316" s="1">
        <f>$A2316*$B2316</f>
        <v>0</v>
      </c>
      <c r="AU2316" s="1">
        <f>$A2316*$O2316</f>
        <v>0</v>
      </c>
      <c r="AV2316" s="1">
        <f>IF($R2316=0,0,INT($A2316/$R2316))</f>
        <v>0</v>
      </c>
      <c r="AW2316" s="1">
        <f>$A2316-$AV2316*$R2316</f>
        <v>0</v>
      </c>
    </row>
    <row r="2317" ht="24.95" customHeight="1" outlineLevel="3" s="1" customFormat="1">
      <c r="A2317" s="15"/>
      <c r="B2317" s="16">
        <v>540</v>
      </c>
      <c r="C2317" s="16">
        <v>837</v>
      </c>
      <c r="D2317" s="16">
        <v>27959</v>
      </c>
      <c r="E2317" s="18"/>
      <c r="F2317" s="18" t="s">
        <v>7412</v>
      </c>
      <c r="G2317" s="18" t="s">
        <v>7570</v>
      </c>
      <c r="H2317" s="18" t="s">
        <v>64</v>
      </c>
      <c r="I2317" s="18" t="s">
        <v>65</v>
      </c>
      <c r="J2317" s="16">
        <v>2026</v>
      </c>
      <c r="K2317" s="18" t="s">
        <v>7571</v>
      </c>
      <c r="L2317" s="16">
        <v>9785961486926</v>
      </c>
      <c r="M2317" s="18" t="s">
        <v>7572</v>
      </c>
      <c r="N2317" s="16">
        <v>312</v>
      </c>
      <c r="O2317" s="19">
        <v>0.36</v>
      </c>
      <c r="P2317" s="16">
        <v>140</v>
      </c>
      <c r="Q2317" s="16">
        <v>200</v>
      </c>
      <c r="R2317" s="16">
        <v>6</v>
      </c>
      <c r="S2317" s="18" t="s">
        <v>43</v>
      </c>
      <c r="T2317" s="18"/>
      <c r="U2317" s="17">
        <v>3000</v>
      </c>
      <c r="V2317" s="18" t="s">
        <v>44</v>
      </c>
      <c r="W2317" s="18" t="s">
        <v>69</v>
      </c>
      <c r="X2317" s="16">
        <v>10</v>
      </c>
      <c r="Y2317" s="43" t="str">
        <f>HYPERLINK("https://api-enni.alpina.ru/FilePrivilegesApproval/313","https://api-enni.alpina.ru/FilePrivilegesApproval/313")</f>
        <v>https://api-enni.alpina.ru/FilePrivilegesApproval/313</v>
      </c>
      <c r="Z2317" s="18" t="s">
        <v>46</v>
      </c>
      <c r="AS2317" s="1">
        <f>IF($A2317&lt;&gt;0,1,0)</f>
        <v>0</v>
      </c>
      <c r="AT2317" s="1">
        <f>$A2317*$B2317</f>
        <v>0</v>
      </c>
      <c r="AU2317" s="1">
        <f>$A2317*$O2317</f>
        <v>0</v>
      </c>
      <c r="AV2317" s="1">
        <f>IF($R2317=0,0,INT($A2317/$R2317))</f>
        <v>0</v>
      </c>
      <c r="AW2317" s="1">
        <f>$A2317-$AV2317*$R2317</f>
        <v>0</v>
      </c>
    </row>
    <row r="2318" ht="24.95" customHeight="1" outlineLevel="3" s="1" customFormat="1">
      <c r="A2318" s="15"/>
      <c r="B2318" s="16">
        <v>540</v>
      </c>
      <c r="C2318" s="16">
        <v>837</v>
      </c>
      <c r="D2318" s="16">
        <v>28818</v>
      </c>
      <c r="E2318" s="18"/>
      <c r="F2318" s="18" t="s">
        <v>7573</v>
      </c>
      <c r="G2318" s="18" t="s">
        <v>7574</v>
      </c>
      <c r="H2318" s="18" t="s">
        <v>64</v>
      </c>
      <c r="I2318" s="18" t="s">
        <v>160</v>
      </c>
      <c r="J2318" s="16">
        <v>2024</v>
      </c>
      <c r="K2318" s="18" t="s">
        <v>7575</v>
      </c>
      <c r="L2318" s="16">
        <v>9785961490169</v>
      </c>
      <c r="M2318" s="18" t="s">
        <v>7576</v>
      </c>
      <c r="N2318" s="16">
        <v>384</v>
      </c>
      <c r="O2318" s="19">
        <v>0.31</v>
      </c>
      <c r="P2318" s="16">
        <v>140</v>
      </c>
      <c r="Q2318" s="16">
        <v>200</v>
      </c>
      <c r="R2318" s="16">
        <v>10</v>
      </c>
      <c r="S2318" s="18" t="s">
        <v>43</v>
      </c>
      <c r="T2318" s="18"/>
      <c r="U2318" s="17">
        <v>3000</v>
      </c>
      <c r="V2318" s="18" t="s">
        <v>44</v>
      </c>
      <c r="W2318" s="18" t="s">
        <v>69</v>
      </c>
      <c r="X2318" s="16">
        <v>10</v>
      </c>
      <c r="Y2318" s="43" t="str">
        <f>HYPERLINK("https://api-enni.alpina.ru/FilePrivilegesApproval/395","https://api-enni.alpina.ru/FilePrivilegesApproval/395")</f>
        <v>https://api-enni.alpina.ru/FilePrivilegesApproval/395</v>
      </c>
      <c r="Z2318" s="18"/>
      <c r="AS2318" s="1">
        <f>IF($A2318&lt;&gt;0,1,0)</f>
        <v>0</v>
      </c>
      <c r="AT2318" s="1">
        <f>$A2318*$B2318</f>
        <v>0</v>
      </c>
      <c r="AU2318" s="1">
        <f>$A2318*$O2318</f>
        <v>0</v>
      </c>
      <c r="AV2318" s="1">
        <f>IF($R2318=0,0,INT($A2318/$R2318))</f>
        <v>0</v>
      </c>
      <c r="AW2318" s="1">
        <f>$A2318-$AV2318*$R2318</f>
        <v>0</v>
      </c>
    </row>
    <row r="2319" ht="24.95" customHeight="1" outlineLevel="3" s="1" customFormat="1">
      <c r="A2319" s="15"/>
      <c r="B2319" s="16">
        <v>490</v>
      </c>
      <c r="C2319" s="16">
        <v>760</v>
      </c>
      <c r="D2319" s="16">
        <v>27508</v>
      </c>
      <c r="E2319" s="18"/>
      <c r="F2319" s="18" t="s">
        <v>7577</v>
      </c>
      <c r="G2319" s="18" t="s">
        <v>7578</v>
      </c>
      <c r="H2319" s="18" t="s">
        <v>64</v>
      </c>
      <c r="I2319" s="18" t="s">
        <v>160</v>
      </c>
      <c r="J2319" s="16">
        <v>2025</v>
      </c>
      <c r="K2319" s="18" t="s">
        <v>7579</v>
      </c>
      <c r="L2319" s="16">
        <v>9785961485424</v>
      </c>
      <c r="M2319" s="18" t="s">
        <v>7580</v>
      </c>
      <c r="N2319" s="16">
        <v>168</v>
      </c>
      <c r="O2319" s="19">
        <v>0.2</v>
      </c>
      <c r="P2319" s="16">
        <v>140</v>
      </c>
      <c r="Q2319" s="16">
        <v>200</v>
      </c>
      <c r="R2319" s="16">
        <v>24</v>
      </c>
      <c r="S2319" s="18" t="s">
        <v>43</v>
      </c>
      <c r="T2319" s="18"/>
      <c r="U2319" s="17">
        <v>1500</v>
      </c>
      <c r="V2319" s="18" t="s">
        <v>44</v>
      </c>
      <c r="W2319" s="18" t="s">
        <v>69</v>
      </c>
      <c r="X2319" s="16">
        <v>10</v>
      </c>
      <c r="Y2319" s="43" t="str">
        <f>HYPERLINK("https://api-enni.alpina.ru/FilePrivilegesApproval/296","https://api-enni.alpina.ru/FilePrivilegesApproval/296")</f>
        <v>https://api-enni.alpina.ru/FilePrivilegesApproval/296</v>
      </c>
      <c r="Z2319" s="18"/>
      <c r="AS2319" s="1">
        <f>IF($A2319&lt;&gt;0,1,0)</f>
        <v>0</v>
      </c>
      <c r="AT2319" s="1">
        <f>$A2319*$B2319</f>
        <v>0</v>
      </c>
      <c r="AU2319" s="1">
        <f>$A2319*$O2319</f>
        <v>0</v>
      </c>
      <c r="AV2319" s="1">
        <f>IF($R2319=0,0,INT($A2319/$R2319))</f>
        <v>0</v>
      </c>
      <c r="AW2319" s="1">
        <f>$A2319-$AV2319*$R2319</f>
        <v>0</v>
      </c>
    </row>
    <row r="2320" ht="21.95" customHeight="1" outlineLevel="3" s="1" customFormat="1">
      <c r="A2320" s="25"/>
      <c r="B2320" s="26">
        <v>702</v>
      </c>
      <c r="C2320" s="29">
        <v>1018</v>
      </c>
      <c r="D2320" s="26">
        <v>34107</v>
      </c>
      <c r="E2320" s="27"/>
      <c r="F2320" s="27" t="s">
        <v>7581</v>
      </c>
      <c r="G2320" s="27" t="s">
        <v>7582</v>
      </c>
      <c r="H2320" s="27" t="s">
        <v>592</v>
      </c>
      <c r="I2320" s="27"/>
      <c r="J2320" s="26">
        <v>2025</v>
      </c>
      <c r="K2320" s="27" t="s">
        <v>7583</v>
      </c>
      <c r="L2320" s="26">
        <v>9786018230530</v>
      </c>
      <c r="M2320" s="27" t="s">
        <v>7584</v>
      </c>
      <c r="N2320" s="26">
        <v>160</v>
      </c>
      <c r="O2320" s="28">
        <v>0.3</v>
      </c>
      <c r="P2320" s="26">
        <v>150</v>
      </c>
      <c r="Q2320" s="26">
        <v>220</v>
      </c>
      <c r="R2320" s="26">
        <v>10</v>
      </c>
      <c r="S2320" s="27" t="s">
        <v>43</v>
      </c>
      <c r="T2320" s="27"/>
      <c r="U2320" s="29">
        <v>1000</v>
      </c>
      <c r="V2320" s="27" t="s">
        <v>77</v>
      </c>
      <c r="W2320" s="27" t="s">
        <v>45</v>
      </c>
      <c r="X2320" s="26">
        <v>22</v>
      </c>
      <c r="Y2320" s="45" t="str">
        <f>HYPERLINK("","")</f>
      </c>
      <c r="Z2320" s="27"/>
      <c r="AS2320" s="1">
        <f>IF($A2320&lt;&gt;0,1,0)</f>
        <v>0</v>
      </c>
      <c r="AT2320" s="1">
        <f>$A2320*$B2320</f>
        <v>0</v>
      </c>
      <c r="AU2320" s="1">
        <f>$A2320*$O2320</f>
        <v>0</v>
      </c>
      <c r="AV2320" s="1">
        <f>IF($R2320=0,0,INT($A2320/$R2320))</f>
        <v>0</v>
      </c>
      <c r="AW2320" s="1">
        <f>$A2320-$AV2320*$R2320</f>
        <v>0</v>
      </c>
    </row>
    <row r="2321" ht="24.95" customHeight="1" outlineLevel="3" s="1" customFormat="1">
      <c r="A2321" s="15"/>
      <c r="B2321" s="16">
        <v>550</v>
      </c>
      <c r="C2321" s="16">
        <v>852</v>
      </c>
      <c r="D2321" s="16">
        <v>27483</v>
      </c>
      <c r="E2321" s="18"/>
      <c r="F2321" s="18" t="s">
        <v>386</v>
      </c>
      <c r="G2321" s="18" t="s">
        <v>7585</v>
      </c>
      <c r="H2321" s="18" t="s">
        <v>64</v>
      </c>
      <c r="I2321" s="18" t="s">
        <v>160</v>
      </c>
      <c r="J2321" s="16">
        <v>2025</v>
      </c>
      <c r="K2321" s="18" t="s">
        <v>7586</v>
      </c>
      <c r="L2321" s="16">
        <v>9785961485332</v>
      </c>
      <c r="M2321" s="18" t="s">
        <v>7587</v>
      </c>
      <c r="N2321" s="16">
        <v>334</v>
      </c>
      <c r="O2321" s="19">
        <v>0.39</v>
      </c>
      <c r="P2321" s="16">
        <v>140</v>
      </c>
      <c r="Q2321" s="16">
        <v>200</v>
      </c>
      <c r="R2321" s="16">
        <v>6</v>
      </c>
      <c r="S2321" s="18" t="s">
        <v>43</v>
      </c>
      <c r="T2321" s="18"/>
      <c r="U2321" s="17">
        <v>3000</v>
      </c>
      <c r="V2321" s="18" t="s">
        <v>44</v>
      </c>
      <c r="W2321" s="18" t="s">
        <v>69</v>
      </c>
      <c r="X2321" s="16">
        <v>10</v>
      </c>
      <c r="Y2321" s="43" t="str">
        <f>HYPERLINK("https://api-enni.alpina.ru/FilePrivilegesApproval/351","https://api-enni.alpina.ru/FilePrivilegesApproval/351")</f>
        <v>https://api-enni.alpina.ru/FilePrivilegesApproval/351</v>
      </c>
      <c r="Z2321" s="18"/>
      <c r="AS2321" s="1">
        <f>IF($A2321&lt;&gt;0,1,0)</f>
        <v>0</v>
      </c>
      <c r="AT2321" s="1">
        <f>$A2321*$B2321</f>
        <v>0</v>
      </c>
      <c r="AU2321" s="1">
        <f>$A2321*$O2321</f>
        <v>0</v>
      </c>
      <c r="AV2321" s="1">
        <f>IF($R2321=0,0,INT($A2321/$R2321))</f>
        <v>0</v>
      </c>
      <c r="AW2321" s="1">
        <f>$A2321-$AV2321*$R2321</f>
        <v>0</v>
      </c>
    </row>
    <row r="2322" ht="11.1" customHeight="1" outlineLevel="2">
      <c r="A2322" s="41" t="s">
        <v>7588</v>
      </c>
      <c r="B2322" s="41"/>
      <c r="C2322" s="41"/>
      <c r="D2322" s="41"/>
      <c r="E2322" s="41"/>
      <c r="F2322" s="41"/>
      <c r="G2322" s="41"/>
      <c r="H2322" s="41"/>
      <c r="I2322" s="41"/>
      <c r="J2322" s="41"/>
      <c r="K2322" s="41"/>
      <c r="L2322" s="41"/>
      <c r="M2322" s="41"/>
      <c r="N2322" s="41"/>
      <c r="O2322" s="41"/>
      <c r="P2322" s="41"/>
      <c r="Q2322" s="41"/>
      <c r="R2322" s="41"/>
      <c r="S2322" s="41"/>
      <c r="T2322" s="41"/>
      <c r="U2322" s="41"/>
      <c r="V2322" s="41"/>
      <c r="W2322" s="41"/>
      <c r="X2322" s="41"/>
      <c r="Y2322" s="41"/>
      <c r="Z2322" s="24"/>
    </row>
    <row r="2323" ht="24.95" customHeight="1" outlineLevel="3" s="1" customFormat="1">
      <c r="A2323" s="15"/>
      <c r="B2323" s="16">
        <v>620</v>
      </c>
      <c r="C2323" s="16">
        <v>930</v>
      </c>
      <c r="D2323" s="16">
        <v>32716</v>
      </c>
      <c r="E2323" s="18"/>
      <c r="F2323" s="18" t="s">
        <v>62</v>
      </c>
      <c r="G2323" s="18" t="s">
        <v>63</v>
      </c>
      <c r="H2323" s="18" t="s">
        <v>64</v>
      </c>
      <c r="I2323" s="18" t="s">
        <v>65</v>
      </c>
      <c r="J2323" s="16">
        <v>2026</v>
      </c>
      <c r="K2323" s="18" t="s">
        <v>66</v>
      </c>
      <c r="L2323" s="16">
        <v>9785006302853</v>
      </c>
      <c r="M2323" s="18" t="s">
        <v>67</v>
      </c>
      <c r="N2323" s="16">
        <v>540</v>
      </c>
      <c r="O2323" s="19">
        <v>0.47</v>
      </c>
      <c r="P2323" s="16">
        <v>140</v>
      </c>
      <c r="Q2323" s="16">
        <v>200</v>
      </c>
      <c r="R2323" s="16">
        <v>6</v>
      </c>
      <c r="S2323" s="18" t="s">
        <v>43</v>
      </c>
      <c r="T2323" s="18" t="s">
        <v>68</v>
      </c>
      <c r="U2323" s="17">
        <v>3000</v>
      </c>
      <c r="V2323" s="18" t="s">
        <v>44</v>
      </c>
      <c r="W2323" s="18" t="s">
        <v>69</v>
      </c>
      <c r="X2323" s="16">
        <v>10</v>
      </c>
      <c r="Y2323" s="43" t="str">
        <f>HYPERLINK("https://api-enni.alpina.ru/FilePrivilegesApproval/1205","https://api-enni.alpina.ru/FilePrivilegesApproval/1205")</f>
        <v>https://api-enni.alpina.ru/FilePrivilegesApproval/1205</v>
      </c>
      <c r="Z2323" s="18" t="s">
        <v>70</v>
      </c>
      <c r="AS2323" s="1">
        <f>IF($A2323&lt;&gt;0,1,0)</f>
        <v>0</v>
      </c>
      <c r="AT2323" s="1">
        <f>$A2323*$B2323</f>
        <v>0</v>
      </c>
      <c r="AU2323" s="1">
        <f>$A2323*$O2323</f>
        <v>0</v>
      </c>
      <c r="AV2323" s="1">
        <f>IF($R2323=0,0,INT($A2323/$R2323))</f>
        <v>0</v>
      </c>
      <c r="AW2323" s="1">
        <f>$A2323-$AV2323*$R2323</f>
        <v>0</v>
      </c>
    </row>
    <row r="2324" ht="24.95" customHeight="1" outlineLevel="3" s="1" customFormat="1">
      <c r="A2324" s="15"/>
      <c r="B2324" s="16">
        <v>590</v>
      </c>
      <c r="C2324" s="16">
        <v>885</v>
      </c>
      <c r="D2324" s="16">
        <v>33501</v>
      </c>
      <c r="E2324" s="18"/>
      <c r="F2324" s="18" t="s">
        <v>7589</v>
      </c>
      <c r="G2324" s="18" t="s">
        <v>7590</v>
      </c>
      <c r="H2324" s="18" t="s">
        <v>64</v>
      </c>
      <c r="I2324" s="18" t="s">
        <v>65</v>
      </c>
      <c r="J2324" s="16">
        <v>2026</v>
      </c>
      <c r="K2324" s="18" t="s">
        <v>7591</v>
      </c>
      <c r="L2324" s="16">
        <v>9785006305014</v>
      </c>
      <c r="M2324" s="18" t="s">
        <v>7592</v>
      </c>
      <c r="N2324" s="16">
        <v>350</v>
      </c>
      <c r="O2324" s="19">
        <v>0.3</v>
      </c>
      <c r="P2324" s="16">
        <v>140</v>
      </c>
      <c r="Q2324" s="16">
        <v>190</v>
      </c>
      <c r="R2324" s="16">
        <v>6</v>
      </c>
      <c r="S2324" s="18" t="s">
        <v>43</v>
      </c>
      <c r="T2324" s="18"/>
      <c r="U2324" s="17">
        <v>3000</v>
      </c>
      <c r="V2324" s="18" t="s">
        <v>44</v>
      </c>
      <c r="W2324" s="18" t="s">
        <v>69</v>
      </c>
      <c r="X2324" s="16">
        <v>10</v>
      </c>
      <c r="Y2324" s="43" t="str">
        <f>HYPERLINK("https://api-enni.alpina.ru/FilePrivilegesApproval/1101","https://api-enni.alpina.ru/FilePrivilegesApproval/1101")</f>
        <v>https://api-enni.alpina.ru/FilePrivilegesApproval/1101</v>
      </c>
      <c r="Z2324" s="18"/>
      <c r="AS2324" s="1">
        <f>IF($A2324&lt;&gt;0,1,0)</f>
        <v>0</v>
      </c>
      <c r="AT2324" s="1">
        <f>$A2324*$B2324</f>
        <v>0</v>
      </c>
      <c r="AU2324" s="1">
        <f>$A2324*$O2324</f>
        <v>0</v>
      </c>
      <c r="AV2324" s="1">
        <f>IF($R2324=0,0,INT($A2324/$R2324))</f>
        <v>0</v>
      </c>
      <c r="AW2324" s="1">
        <f>$A2324-$AV2324*$R2324</f>
        <v>0</v>
      </c>
    </row>
    <row r="2325" ht="24.95" customHeight="1" outlineLevel="3" s="1" customFormat="1">
      <c r="A2325" s="15"/>
      <c r="B2325" s="16">
        <v>490</v>
      </c>
      <c r="C2325" s="16">
        <v>760</v>
      </c>
      <c r="D2325" s="16">
        <v>31388</v>
      </c>
      <c r="E2325" s="18"/>
      <c r="F2325" s="18" t="s">
        <v>7593</v>
      </c>
      <c r="G2325" s="18" t="s">
        <v>7594</v>
      </c>
      <c r="H2325" s="18" t="s">
        <v>64</v>
      </c>
      <c r="I2325" s="18" t="s">
        <v>65</v>
      </c>
      <c r="J2325" s="16">
        <v>2025</v>
      </c>
      <c r="K2325" s="18" t="s">
        <v>7595</v>
      </c>
      <c r="L2325" s="16">
        <v>9785961498493</v>
      </c>
      <c r="M2325" s="18" t="s">
        <v>7596</v>
      </c>
      <c r="N2325" s="16">
        <v>246</v>
      </c>
      <c r="O2325" s="19">
        <v>0.22</v>
      </c>
      <c r="P2325" s="16">
        <v>140</v>
      </c>
      <c r="Q2325" s="16">
        <v>200</v>
      </c>
      <c r="R2325" s="16">
        <v>8</v>
      </c>
      <c r="S2325" s="18" t="s">
        <v>43</v>
      </c>
      <c r="T2325" s="18" t="s">
        <v>68</v>
      </c>
      <c r="U2325" s="17">
        <v>3000</v>
      </c>
      <c r="V2325" s="18" t="s">
        <v>44</v>
      </c>
      <c r="W2325" s="18" t="s">
        <v>69</v>
      </c>
      <c r="X2325" s="16">
        <v>10</v>
      </c>
      <c r="Y2325" s="43" t="str">
        <f>HYPERLINK("https://api-enni.alpina.ru/FilePrivilegesApproval/897","https://api-enni.alpina.ru/FilePrivilegesApproval/897")</f>
        <v>https://api-enni.alpina.ru/FilePrivilegesApproval/897</v>
      </c>
      <c r="Z2325" s="18"/>
      <c r="AS2325" s="1">
        <f>IF($A2325&lt;&gt;0,1,0)</f>
        <v>0</v>
      </c>
      <c r="AT2325" s="1">
        <f>$A2325*$B2325</f>
        <v>0</v>
      </c>
      <c r="AU2325" s="1">
        <f>$A2325*$O2325</f>
        <v>0</v>
      </c>
      <c r="AV2325" s="1">
        <f>IF($R2325=0,0,INT($A2325/$R2325))</f>
        <v>0</v>
      </c>
      <c r="AW2325" s="1">
        <f>$A2325-$AV2325*$R2325</f>
        <v>0</v>
      </c>
    </row>
    <row r="2326" ht="24.95" customHeight="1" outlineLevel="3" s="1" customFormat="1">
      <c r="A2326" s="15"/>
      <c r="B2326" s="16">
        <v>540</v>
      </c>
      <c r="C2326" s="16">
        <v>837</v>
      </c>
      <c r="D2326" s="16">
        <v>31072</v>
      </c>
      <c r="E2326" s="18"/>
      <c r="F2326" s="18" t="s">
        <v>7597</v>
      </c>
      <c r="G2326" s="18" t="s">
        <v>7598</v>
      </c>
      <c r="H2326" s="18" t="s">
        <v>64</v>
      </c>
      <c r="I2326" s="18" t="s">
        <v>65</v>
      </c>
      <c r="J2326" s="16">
        <v>2025</v>
      </c>
      <c r="K2326" s="18" t="s">
        <v>7599</v>
      </c>
      <c r="L2326" s="16">
        <v>9785961497410</v>
      </c>
      <c r="M2326" s="18" t="s">
        <v>7600</v>
      </c>
      <c r="N2326" s="16">
        <v>348</v>
      </c>
      <c r="O2326" s="19">
        <v>0.29</v>
      </c>
      <c r="P2326" s="16">
        <v>140</v>
      </c>
      <c r="Q2326" s="16">
        <v>200</v>
      </c>
      <c r="R2326" s="16">
        <v>10</v>
      </c>
      <c r="S2326" s="18" t="s">
        <v>43</v>
      </c>
      <c r="T2326" s="18"/>
      <c r="U2326" s="17">
        <v>2000</v>
      </c>
      <c r="V2326" s="18" t="s">
        <v>44</v>
      </c>
      <c r="W2326" s="18" t="s">
        <v>45</v>
      </c>
      <c r="X2326" s="16">
        <v>10</v>
      </c>
      <c r="Y2326" s="43" t="str">
        <f>HYPERLINK("https://api-enni.alpina.ru/FilePrivilegesApproval/796","https://api-enni.alpina.ru/FilePrivilegesApproval/796")</f>
        <v>https://api-enni.alpina.ru/FilePrivilegesApproval/796</v>
      </c>
      <c r="Z2326" s="18"/>
      <c r="AS2326" s="1">
        <f>IF($A2326&lt;&gt;0,1,0)</f>
        <v>0</v>
      </c>
      <c r="AT2326" s="1">
        <f>$A2326*$B2326</f>
        <v>0</v>
      </c>
      <c r="AU2326" s="1">
        <f>$A2326*$O2326</f>
        <v>0</v>
      </c>
      <c r="AV2326" s="1">
        <f>IF($R2326=0,0,INT($A2326/$R2326))</f>
        <v>0</v>
      </c>
      <c r="AW2326" s="1">
        <f>$A2326-$AV2326*$R2326</f>
        <v>0</v>
      </c>
    </row>
    <row r="2327" ht="24.95" customHeight="1" outlineLevel="3" s="1" customFormat="1">
      <c r="A2327" s="15"/>
      <c r="B2327" s="16">
        <v>690</v>
      </c>
      <c r="C2327" s="17">
        <v>1035</v>
      </c>
      <c r="D2327" s="16">
        <v>31713</v>
      </c>
      <c r="E2327" s="18"/>
      <c r="F2327" s="18" t="s">
        <v>7422</v>
      </c>
      <c r="G2327" s="18" t="s">
        <v>7601</v>
      </c>
      <c r="H2327" s="18" t="s">
        <v>64</v>
      </c>
      <c r="I2327" s="18" t="s">
        <v>74</v>
      </c>
      <c r="J2327" s="16">
        <v>2025</v>
      </c>
      <c r="K2327" s="18" t="s">
        <v>7602</v>
      </c>
      <c r="L2327" s="16">
        <v>9785961499940</v>
      </c>
      <c r="M2327" s="18" t="s">
        <v>7603</v>
      </c>
      <c r="N2327" s="16">
        <v>564</v>
      </c>
      <c r="O2327" s="19">
        <v>0.47</v>
      </c>
      <c r="P2327" s="16">
        <v>150</v>
      </c>
      <c r="Q2327" s="16">
        <v>200</v>
      </c>
      <c r="R2327" s="16">
        <v>6</v>
      </c>
      <c r="S2327" s="18" t="s">
        <v>43</v>
      </c>
      <c r="T2327" s="18" t="s">
        <v>7448</v>
      </c>
      <c r="U2327" s="17">
        <v>3000</v>
      </c>
      <c r="V2327" s="18" t="s">
        <v>1667</v>
      </c>
      <c r="W2327" s="18" t="s">
        <v>69</v>
      </c>
      <c r="X2327" s="16">
        <v>10</v>
      </c>
      <c r="Y2327" s="43" t="str">
        <f>HYPERLINK("https://api-enni.alpina.ru/FilePrivilegesApproval/922","https://api-enni.alpina.ru/FilePrivilegesApproval/922")</f>
        <v>https://api-enni.alpina.ru/FilePrivilegesApproval/922</v>
      </c>
      <c r="Z2327" s="18"/>
      <c r="AS2327" s="1">
        <f>IF($A2327&lt;&gt;0,1,0)</f>
        <v>0</v>
      </c>
      <c r="AT2327" s="1">
        <f>$A2327*$B2327</f>
        <v>0</v>
      </c>
      <c r="AU2327" s="1">
        <f>$A2327*$O2327</f>
        <v>0</v>
      </c>
      <c r="AV2327" s="1">
        <f>IF($R2327=0,0,INT($A2327/$R2327))</f>
        <v>0</v>
      </c>
      <c r="AW2327" s="1">
        <f>$A2327-$AV2327*$R2327</f>
        <v>0</v>
      </c>
    </row>
    <row r="2328" ht="24.95" customHeight="1" outlineLevel="3" s="1" customFormat="1">
      <c r="A2328" s="15"/>
      <c r="B2328" s="16">
        <v>590</v>
      </c>
      <c r="C2328" s="16">
        <v>885</v>
      </c>
      <c r="D2328" s="16">
        <v>31679</v>
      </c>
      <c r="E2328" s="18"/>
      <c r="F2328" s="18" t="s">
        <v>7604</v>
      </c>
      <c r="G2328" s="18" t="s">
        <v>7605</v>
      </c>
      <c r="H2328" s="18" t="s">
        <v>64</v>
      </c>
      <c r="I2328" s="18" t="s">
        <v>160</v>
      </c>
      <c r="J2328" s="16">
        <v>2026</v>
      </c>
      <c r="K2328" s="18" t="s">
        <v>7606</v>
      </c>
      <c r="L2328" s="16">
        <v>9785961499919</v>
      </c>
      <c r="M2328" s="18" t="s">
        <v>7607</v>
      </c>
      <c r="N2328" s="16">
        <v>354</v>
      </c>
      <c r="O2328" s="19">
        <v>0.32</v>
      </c>
      <c r="P2328" s="16">
        <v>140</v>
      </c>
      <c r="Q2328" s="16">
        <v>200</v>
      </c>
      <c r="R2328" s="16">
        <v>6</v>
      </c>
      <c r="S2328" s="18" t="s">
        <v>43</v>
      </c>
      <c r="T2328" s="18" t="s">
        <v>68</v>
      </c>
      <c r="U2328" s="17">
        <v>3000</v>
      </c>
      <c r="V2328" s="18" t="s">
        <v>44</v>
      </c>
      <c r="W2328" s="18" t="s">
        <v>45</v>
      </c>
      <c r="X2328" s="16">
        <v>10</v>
      </c>
      <c r="Y2328" s="43" t="str">
        <f>HYPERLINK("https://api-enni.alpina.ru/FilePrivilegesApproval/1156","https://api-enni.alpina.ru/FilePrivilegesApproval/1156")</f>
        <v>https://api-enni.alpina.ru/FilePrivilegesApproval/1156</v>
      </c>
      <c r="Z2328" s="18"/>
      <c r="AS2328" s="1">
        <f>IF($A2328&lt;&gt;0,1,0)</f>
        <v>0</v>
      </c>
      <c r="AT2328" s="1">
        <f>$A2328*$B2328</f>
        <v>0</v>
      </c>
      <c r="AU2328" s="1">
        <f>$A2328*$O2328</f>
        <v>0</v>
      </c>
      <c r="AV2328" s="1">
        <f>IF($R2328=0,0,INT($A2328/$R2328))</f>
        <v>0</v>
      </c>
      <c r="AW2328" s="1">
        <f>$A2328-$AV2328*$R2328</f>
        <v>0</v>
      </c>
    </row>
    <row r="2329" ht="24.95" customHeight="1" outlineLevel="3" s="1" customFormat="1">
      <c r="A2329" s="15"/>
      <c r="B2329" s="16">
        <v>690</v>
      </c>
      <c r="C2329" s="17">
        <v>1035</v>
      </c>
      <c r="D2329" s="16">
        <v>30473</v>
      </c>
      <c r="E2329" s="18"/>
      <c r="F2329" s="18" t="s">
        <v>7608</v>
      </c>
      <c r="G2329" s="18" t="s">
        <v>7609</v>
      </c>
      <c r="H2329" s="18" t="s">
        <v>64</v>
      </c>
      <c r="I2329" s="18" t="s">
        <v>65</v>
      </c>
      <c r="J2329" s="16">
        <v>2025</v>
      </c>
      <c r="K2329" s="18" t="s">
        <v>7610</v>
      </c>
      <c r="L2329" s="16">
        <v>9785961495591</v>
      </c>
      <c r="M2329" s="18" t="s">
        <v>7611</v>
      </c>
      <c r="N2329" s="16">
        <v>504</v>
      </c>
      <c r="O2329" s="19">
        <v>0.43</v>
      </c>
      <c r="P2329" s="16">
        <v>140</v>
      </c>
      <c r="Q2329" s="16">
        <v>200</v>
      </c>
      <c r="R2329" s="16">
        <v>10</v>
      </c>
      <c r="S2329" s="18" t="s">
        <v>43</v>
      </c>
      <c r="T2329" s="18"/>
      <c r="U2329" s="17">
        <v>3000</v>
      </c>
      <c r="V2329" s="18" t="s">
        <v>44</v>
      </c>
      <c r="W2329" s="18" t="s">
        <v>69</v>
      </c>
      <c r="X2329" s="16">
        <v>10</v>
      </c>
      <c r="Y2329" s="43" t="str">
        <f>HYPERLINK("https://api-enni.alpina.ru/FilePrivilegesApproval/940","https://api-enni.alpina.ru/FilePrivilegesApproval/940")</f>
        <v>https://api-enni.alpina.ru/FilePrivilegesApproval/940</v>
      </c>
      <c r="Z2329" s="18"/>
      <c r="AS2329" s="1">
        <f>IF($A2329&lt;&gt;0,1,0)</f>
        <v>0</v>
      </c>
      <c r="AT2329" s="1">
        <f>$A2329*$B2329</f>
        <v>0</v>
      </c>
      <c r="AU2329" s="1">
        <f>$A2329*$O2329</f>
        <v>0</v>
      </c>
      <c r="AV2329" s="1">
        <f>IF($R2329=0,0,INT($A2329/$R2329))</f>
        <v>0</v>
      </c>
      <c r="AW2329" s="1">
        <f>$A2329-$AV2329*$R2329</f>
        <v>0</v>
      </c>
    </row>
    <row r="2330" ht="24.95" customHeight="1" outlineLevel="3" s="1" customFormat="1">
      <c r="A2330" s="15"/>
      <c r="B2330" s="16">
        <v>690</v>
      </c>
      <c r="C2330" s="17">
        <v>1035</v>
      </c>
      <c r="D2330" s="16">
        <v>30411</v>
      </c>
      <c r="E2330" s="18"/>
      <c r="F2330" s="18" t="s">
        <v>7612</v>
      </c>
      <c r="G2330" s="18" t="s">
        <v>7613</v>
      </c>
      <c r="H2330" s="18" t="s">
        <v>64</v>
      </c>
      <c r="I2330" s="18" t="s">
        <v>74</v>
      </c>
      <c r="J2330" s="16">
        <v>2026</v>
      </c>
      <c r="K2330" s="18" t="s">
        <v>7614</v>
      </c>
      <c r="L2330" s="16">
        <v>9785961495423</v>
      </c>
      <c r="M2330" s="18" t="s">
        <v>7615</v>
      </c>
      <c r="N2330" s="16">
        <v>598</v>
      </c>
      <c r="O2330" s="19">
        <v>0.5</v>
      </c>
      <c r="P2330" s="16">
        <v>140</v>
      </c>
      <c r="Q2330" s="16">
        <v>200</v>
      </c>
      <c r="R2330" s="16">
        <v>6</v>
      </c>
      <c r="S2330" s="18" t="s">
        <v>43</v>
      </c>
      <c r="T2330" s="18" t="s">
        <v>68</v>
      </c>
      <c r="U2330" s="17">
        <v>3000</v>
      </c>
      <c r="V2330" s="18" t="s">
        <v>44</v>
      </c>
      <c r="W2330" s="18" t="s">
        <v>69</v>
      </c>
      <c r="X2330" s="16">
        <v>10</v>
      </c>
      <c r="Y2330" s="43" t="str">
        <f>HYPERLINK("https://api-enni.alpina.ru/FilePrivilegesApproval/956","https://api-enni.alpina.ru/FilePrivilegesApproval/956")</f>
        <v>https://api-enni.alpina.ru/FilePrivilegesApproval/956</v>
      </c>
      <c r="Z2330" s="18" t="s">
        <v>7330</v>
      </c>
      <c r="AS2330" s="1">
        <f>IF($A2330&lt;&gt;0,1,0)</f>
        <v>0</v>
      </c>
      <c r="AT2330" s="1">
        <f>$A2330*$B2330</f>
        <v>0</v>
      </c>
      <c r="AU2330" s="1">
        <f>$A2330*$O2330</f>
        <v>0</v>
      </c>
      <c r="AV2330" s="1">
        <f>IF($R2330=0,0,INT($A2330/$R2330))</f>
        <v>0</v>
      </c>
      <c r="AW2330" s="1">
        <f>$A2330-$AV2330*$R2330</f>
        <v>0</v>
      </c>
    </row>
    <row r="2331" ht="24.95" customHeight="1" outlineLevel="3" s="1" customFormat="1">
      <c r="A2331" s="15"/>
      <c r="B2331" s="16">
        <v>590</v>
      </c>
      <c r="C2331" s="16">
        <v>885</v>
      </c>
      <c r="D2331" s="16">
        <v>31814</v>
      </c>
      <c r="E2331" s="18"/>
      <c r="F2331" s="18" t="s">
        <v>150</v>
      </c>
      <c r="G2331" s="18" t="s">
        <v>151</v>
      </c>
      <c r="H2331" s="18" t="s">
        <v>64</v>
      </c>
      <c r="I2331" s="18" t="s">
        <v>65</v>
      </c>
      <c r="J2331" s="16">
        <v>2025</v>
      </c>
      <c r="K2331" s="18" t="s">
        <v>7616</v>
      </c>
      <c r="L2331" s="16">
        <v>9785006300262</v>
      </c>
      <c r="M2331" s="18" t="s">
        <v>7617</v>
      </c>
      <c r="N2331" s="16">
        <v>422</v>
      </c>
      <c r="O2331" s="19">
        <v>0.38</v>
      </c>
      <c r="P2331" s="16">
        <v>140</v>
      </c>
      <c r="Q2331" s="16">
        <v>200</v>
      </c>
      <c r="R2331" s="16">
        <v>10</v>
      </c>
      <c r="S2331" s="18" t="s">
        <v>43</v>
      </c>
      <c r="T2331" s="18"/>
      <c r="U2331" s="17">
        <v>5000</v>
      </c>
      <c r="V2331" s="18" t="s">
        <v>1667</v>
      </c>
      <c r="W2331" s="18" t="s">
        <v>69</v>
      </c>
      <c r="X2331" s="16">
        <v>10</v>
      </c>
      <c r="Y2331" s="43" t="str">
        <f>HYPERLINK("https://api-enni.alpina.ru/FilePrivilegesApproval/922","https://api-enni.alpina.ru/FilePrivilegesApproval/922")</f>
        <v>https://api-enni.alpina.ru/FilePrivilegesApproval/922</v>
      </c>
      <c r="Z2331" s="18"/>
      <c r="AS2331" s="1">
        <f>IF($A2331&lt;&gt;0,1,0)</f>
        <v>0</v>
      </c>
      <c r="AT2331" s="1">
        <f>$A2331*$B2331</f>
        <v>0</v>
      </c>
      <c r="AU2331" s="1">
        <f>$A2331*$O2331</f>
        <v>0</v>
      </c>
      <c r="AV2331" s="1">
        <f>IF($R2331=0,0,INT($A2331/$R2331))</f>
        <v>0</v>
      </c>
      <c r="AW2331" s="1">
        <f>$A2331-$AV2331*$R2331</f>
        <v>0</v>
      </c>
    </row>
    <row r="2332" ht="21.95" customHeight="1" outlineLevel="3" s="1" customFormat="1">
      <c r="A2332" s="15"/>
      <c r="B2332" s="16">
        <v>850</v>
      </c>
      <c r="C2332" s="17">
        <v>1232</v>
      </c>
      <c r="D2332" s="16">
        <v>37705</v>
      </c>
      <c r="E2332" s="18"/>
      <c r="F2332" s="18" t="s">
        <v>150</v>
      </c>
      <c r="G2332" s="18" t="s">
        <v>151</v>
      </c>
      <c r="H2332" s="18" t="s">
        <v>64</v>
      </c>
      <c r="I2332" s="18" t="s">
        <v>65</v>
      </c>
      <c r="J2332" s="16">
        <v>2026</v>
      </c>
      <c r="K2332" s="18" t="s">
        <v>152</v>
      </c>
      <c r="L2332" s="16">
        <v>9785006306721</v>
      </c>
      <c r="M2332" s="18" t="s">
        <v>153</v>
      </c>
      <c r="N2332" s="16">
        <v>422</v>
      </c>
      <c r="O2332" s="19">
        <v>0.46</v>
      </c>
      <c r="P2332" s="16">
        <v>150</v>
      </c>
      <c r="Q2332" s="16">
        <v>200</v>
      </c>
      <c r="R2332" s="16">
        <v>10</v>
      </c>
      <c r="S2332" s="18" t="s">
        <v>43</v>
      </c>
      <c r="T2332" s="18"/>
      <c r="U2332" s="17">
        <v>2000</v>
      </c>
      <c r="V2332" s="18" t="s">
        <v>77</v>
      </c>
      <c r="W2332" s="18" t="s">
        <v>69</v>
      </c>
      <c r="X2332" s="16">
        <v>10</v>
      </c>
      <c r="Y2332" s="43" t="str">
        <f>HYPERLINK("","")</f>
      </c>
      <c r="Z2332" s="18" t="s">
        <v>135</v>
      </c>
      <c r="AS2332" s="1">
        <f>IF($A2332&lt;&gt;0,1,0)</f>
        <v>0</v>
      </c>
      <c r="AT2332" s="1">
        <f>$A2332*$B2332</f>
        <v>0</v>
      </c>
      <c r="AU2332" s="1">
        <f>$A2332*$O2332</f>
        <v>0</v>
      </c>
      <c r="AV2332" s="1">
        <f>IF($R2332=0,0,INT($A2332/$R2332))</f>
        <v>0</v>
      </c>
      <c r="AW2332" s="1">
        <f>$A2332-$AV2332*$R2332</f>
        <v>0</v>
      </c>
    </row>
    <row r="2333" ht="24.95" customHeight="1" outlineLevel="3" s="1" customFormat="1">
      <c r="A2333" s="15"/>
      <c r="B2333" s="16">
        <v>590</v>
      </c>
      <c r="C2333" s="16">
        <v>885</v>
      </c>
      <c r="D2333" s="16">
        <v>29511</v>
      </c>
      <c r="E2333" s="18"/>
      <c r="F2333" s="18" t="s">
        <v>7618</v>
      </c>
      <c r="G2333" s="18" t="s">
        <v>7619</v>
      </c>
      <c r="H2333" s="18" t="s">
        <v>64</v>
      </c>
      <c r="I2333" s="18" t="s">
        <v>160</v>
      </c>
      <c r="J2333" s="16">
        <v>2025</v>
      </c>
      <c r="K2333" s="18" t="s">
        <v>7620</v>
      </c>
      <c r="L2333" s="16">
        <v>9785961492910</v>
      </c>
      <c r="M2333" s="18" t="s">
        <v>7621</v>
      </c>
      <c r="N2333" s="16">
        <v>518</v>
      </c>
      <c r="O2333" s="19">
        <v>0.43</v>
      </c>
      <c r="P2333" s="16">
        <v>140</v>
      </c>
      <c r="Q2333" s="16">
        <v>200</v>
      </c>
      <c r="R2333" s="16">
        <v>8</v>
      </c>
      <c r="S2333" s="18" t="s">
        <v>43</v>
      </c>
      <c r="T2333" s="18"/>
      <c r="U2333" s="17">
        <v>3000</v>
      </c>
      <c r="V2333" s="18" t="s">
        <v>44</v>
      </c>
      <c r="W2333" s="18" t="s">
        <v>69</v>
      </c>
      <c r="X2333" s="16">
        <v>10</v>
      </c>
      <c r="Y2333" s="43" t="str">
        <f>HYPERLINK("https://api-enni.alpina.ru/FilePrivilegesApproval/738","https://api-enni.alpina.ru/FilePrivilegesApproval/738")</f>
        <v>https://api-enni.alpina.ru/FilePrivilegesApproval/738</v>
      </c>
      <c r="Z2333" s="18"/>
      <c r="AS2333" s="1">
        <f>IF($A2333&lt;&gt;0,1,0)</f>
        <v>0</v>
      </c>
      <c r="AT2333" s="1">
        <f>$A2333*$B2333</f>
        <v>0</v>
      </c>
      <c r="AU2333" s="1">
        <f>$A2333*$O2333</f>
        <v>0</v>
      </c>
      <c r="AV2333" s="1">
        <f>IF($R2333=0,0,INT($A2333/$R2333))</f>
        <v>0</v>
      </c>
      <c r="AW2333" s="1">
        <f>$A2333-$AV2333*$R2333</f>
        <v>0</v>
      </c>
    </row>
    <row r="2334" ht="24.95" customHeight="1" outlineLevel="3" s="1" customFormat="1">
      <c r="A2334" s="15"/>
      <c r="B2334" s="16">
        <v>610</v>
      </c>
      <c r="C2334" s="16">
        <v>915</v>
      </c>
      <c r="D2334" s="16">
        <v>34598</v>
      </c>
      <c r="E2334" s="18"/>
      <c r="F2334" s="18" t="s">
        <v>705</v>
      </c>
      <c r="G2334" s="18" t="s">
        <v>706</v>
      </c>
      <c r="H2334" s="18" t="s">
        <v>64</v>
      </c>
      <c r="I2334" s="18" t="s">
        <v>160</v>
      </c>
      <c r="J2334" s="16">
        <v>2026</v>
      </c>
      <c r="K2334" s="18" t="s">
        <v>707</v>
      </c>
      <c r="L2334" s="16">
        <v>9785006308237</v>
      </c>
      <c r="M2334" s="18" t="s">
        <v>708</v>
      </c>
      <c r="N2334" s="16">
        <v>252</v>
      </c>
      <c r="O2334" s="19">
        <v>0.23</v>
      </c>
      <c r="P2334" s="16">
        <v>140</v>
      </c>
      <c r="Q2334" s="16">
        <v>200</v>
      </c>
      <c r="R2334" s="16">
        <v>8</v>
      </c>
      <c r="S2334" s="18" t="s">
        <v>43</v>
      </c>
      <c r="T2334" s="18" t="s">
        <v>68</v>
      </c>
      <c r="U2334" s="17">
        <v>3000</v>
      </c>
      <c r="V2334" s="18" t="s">
        <v>44</v>
      </c>
      <c r="W2334" s="18" t="s">
        <v>45</v>
      </c>
      <c r="X2334" s="16">
        <v>10</v>
      </c>
      <c r="Y2334" s="43" t="str">
        <f>HYPERLINK("https://api-enni.alpina.ru/FilePrivilegesApproval/1178","https://api-enni.alpina.ru/FilePrivilegesApproval/1178")</f>
        <v>https://api-enni.alpina.ru/FilePrivilegesApproval/1178</v>
      </c>
      <c r="Z2334" s="18" t="s">
        <v>92</v>
      </c>
      <c r="AS2334" s="1">
        <f>IF($A2334&lt;&gt;0,1,0)</f>
        <v>0</v>
      </c>
      <c r="AT2334" s="1">
        <f>$A2334*$B2334</f>
        <v>0</v>
      </c>
      <c r="AU2334" s="1">
        <f>$A2334*$O2334</f>
        <v>0</v>
      </c>
      <c r="AV2334" s="1">
        <f>IF($R2334=0,0,INT($A2334/$R2334))</f>
        <v>0</v>
      </c>
      <c r="AW2334" s="1">
        <f>$A2334-$AV2334*$R2334</f>
        <v>0</v>
      </c>
    </row>
    <row r="2335" ht="24.95" customHeight="1" outlineLevel="3" s="1" customFormat="1">
      <c r="A2335" s="15"/>
      <c r="B2335" s="16">
        <v>590</v>
      </c>
      <c r="C2335" s="16">
        <v>885</v>
      </c>
      <c r="D2335" s="16">
        <v>33829</v>
      </c>
      <c r="E2335" s="18"/>
      <c r="F2335" s="18" t="s">
        <v>7622</v>
      </c>
      <c r="G2335" s="18" t="s">
        <v>7623</v>
      </c>
      <c r="H2335" s="18" t="s">
        <v>64</v>
      </c>
      <c r="I2335" s="18" t="s">
        <v>74</v>
      </c>
      <c r="J2335" s="16">
        <v>2026</v>
      </c>
      <c r="K2335" s="18" t="s">
        <v>7624</v>
      </c>
      <c r="L2335" s="16">
        <v>9785006305625</v>
      </c>
      <c r="M2335" s="18" t="s">
        <v>7625</v>
      </c>
      <c r="N2335" s="16">
        <v>432</v>
      </c>
      <c r="O2335" s="19">
        <v>0.38</v>
      </c>
      <c r="P2335" s="16">
        <v>140</v>
      </c>
      <c r="Q2335" s="16">
        <v>200</v>
      </c>
      <c r="R2335" s="16">
        <v>4</v>
      </c>
      <c r="S2335" s="18" t="s">
        <v>43</v>
      </c>
      <c r="T2335" s="18" t="s">
        <v>68</v>
      </c>
      <c r="U2335" s="17">
        <v>2000</v>
      </c>
      <c r="V2335" s="18" t="s">
        <v>44</v>
      </c>
      <c r="W2335" s="18" t="s">
        <v>69</v>
      </c>
      <c r="X2335" s="16">
        <v>10</v>
      </c>
      <c r="Y2335" s="43" t="str">
        <f>HYPERLINK("https://api-enni.alpina.ru/FilePrivilegesApproval/1037","https://api-enni.alpina.ru/FilePrivilegesApproval/1037")</f>
        <v>https://api-enni.alpina.ru/FilePrivilegesApproval/1037</v>
      </c>
      <c r="Z2335" s="18" t="s">
        <v>78</v>
      </c>
      <c r="AS2335" s="1">
        <f>IF($A2335&lt;&gt;0,1,0)</f>
        <v>0</v>
      </c>
      <c r="AT2335" s="1">
        <f>$A2335*$B2335</f>
        <v>0</v>
      </c>
      <c r="AU2335" s="1">
        <f>$A2335*$O2335</f>
        <v>0</v>
      </c>
      <c r="AV2335" s="1">
        <f>IF($R2335=0,0,INT($A2335/$R2335))</f>
        <v>0</v>
      </c>
      <c r="AW2335" s="1">
        <f>$A2335-$AV2335*$R2335</f>
        <v>0</v>
      </c>
    </row>
    <row r="2336" ht="24.95" customHeight="1" outlineLevel="3" s="1" customFormat="1">
      <c r="A2336" s="15"/>
      <c r="B2336" s="16">
        <v>540</v>
      </c>
      <c r="C2336" s="16">
        <v>837</v>
      </c>
      <c r="D2336" s="16">
        <v>28720</v>
      </c>
      <c r="E2336" s="18"/>
      <c r="F2336" s="18" t="s">
        <v>7626</v>
      </c>
      <c r="G2336" s="18" t="s">
        <v>7627</v>
      </c>
      <c r="H2336" s="18" t="s">
        <v>3948</v>
      </c>
      <c r="I2336" s="18" t="s">
        <v>74</v>
      </c>
      <c r="J2336" s="16">
        <v>2023</v>
      </c>
      <c r="K2336" s="18" t="s">
        <v>7628</v>
      </c>
      <c r="L2336" s="16">
        <v>9785002160389</v>
      </c>
      <c r="M2336" s="18" t="s">
        <v>7629</v>
      </c>
      <c r="N2336" s="16">
        <v>320</v>
      </c>
      <c r="O2336" s="19">
        <v>0.41</v>
      </c>
      <c r="P2336" s="16">
        <v>150</v>
      </c>
      <c r="Q2336" s="16">
        <v>210</v>
      </c>
      <c r="R2336" s="16">
        <v>8</v>
      </c>
      <c r="S2336" s="18" t="s">
        <v>43</v>
      </c>
      <c r="T2336" s="18" t="s">
        <v>7364</v>
      </c>
      <c r="U2336" s="17">
        <v>2517</v>
      </c>
      <c r="V2336" s="18" t="s">
        <v>44</v>
      </c>
      <c r="W2336" s="18" t="s">
        <v>69</v>
      </c>
      <c r="X2336" s="16">
        <v>10</v>
      </c>
      <c r="Y2336" s="43" t="str">
        <f>HYPERLINK("https://api-enni.alpina.ru/FilePrivilegesApproval/362","https://api-enni.alpina.ru/FilePrivilegesApproval/362")</f>
        <v>https://api-enni.alpina.ru/FilePrivilegesApproval/362</v>
      </c>
      <c r="Z2336" s="18"/>
      <c r="AS2336" s="1">
        <f>IF($A2336&lt;&gt;0,1,0)</f>
        <v>0</v>
      </c>
      <c r="AT2336" s="1">
        <f>$A2336*$B2336</f>
        <v>0</v>
      </c>
      <c r="AU2336" s="1">
        <f>$A2336*$O2336</f>
        <v>0</v>
      </c>
      <c r="AV2336" s="1">
        <f>IF($R2336=0,0,INT($A2336/$R2336))</f>
        <v>0</v>
      </c>
      <c r="AW2336" s="1">
        <f>$A2336-$AV2336*$R2336</f>
        <v>0</v>
      </c>
    </row>
    <row r="2337" ht="24.95" customHeight="1" outlineLevel="3" s="1" customFormat="1">
      <c r="A2337" s="15"/>
      <c r="B2337" s="16">
        <v>690</v>
      </c>
      <c r="C2337" s="17">
        <v>1035</v>
      </c>
      <c r="D2337" s="16">
        <v>31658</v>
      </c>
      <c r="E2337" s="18"/>
      <c r="F2337" s="18" t="s">
        <v>7630</v>
      </c>
      <c r="G2337" s="18" t="s">
        <v>7631</v>
      </c>
      <c r="H2337" s="18" t="s">
        <v>64</v>
      </c>
      <c r="I2337" s="18" t="s">
        <v>74</v>
      </c>
      <c r="J2337" s="16">
        <v>2026</v>
      </c>
      <c r="K2337" s="18" t="s">
        <v>7632</v>
      </c>
      <c r="L2337" s="16">
        <v>9785961499766</v>
      </c>
      <c r="M2337" s="18" t="s">
        <v>7633</v>
      </c>
      <c r="N2337" s="16">
        <v>420</v>
      </c>
      <c r="O2337" s="19">
        <v>0.37</v>
      </c>
      <c r="P2337" s="16">
        <v>140</v>
      </c>
      <c r="Q2337" s="16">
        <v>200</v>
      </c>
      <c r="R2337" s="16">
        <v>6</v>
      </c>
      <c r="S2337" s="18" t="s">
        <v>43</v>
      </c>
      <c r="T2337" s="18"/>
      <c r="U2337" s="17">
        <v>6000</v>
      </c>
      <c r="V2337" s="18" t="s">
        <v>44</v>
      </c>
      <c r="W2337" s="18" t="s">
        <v>45</v>
      </c>
      <c r="X2337" s="16">
        <v>10</v>
      </c>
      <c r="Y2337" s="43" t="str">
        <f>HYPERLINK("https://api-enni.alpina.ru/FilePrivilegesApproval/1053","https://api-enni.alpina.ru/FilePrivilegesApproval/1053")</f>
        <v>https://api-enni.alpina.ru/FilePrivilegesApproval/1053</v>
      </c>
      <c r="Z2337" s="18"/>
      <c r="AS2337" s="1">
        <f>IF($A2337&lt;&gt;0,1,0)</f>
        <v>0</v>
      </c>
      <c r="AT2337" s="1">
        <f>$A2337*$B2337</f>
        <v>0</v>
      </c>
      <c r="AU2337" s="1">
        <f>$A2337*$O2337</f>
        <v>0</v>
      </c>
      <c r="AV2337" s="1">
        <f>IF($R2337=0,0,INT($A2337/$R2337))</f>
        <v>0</v>
      </c>
      <c r="AW2337" s="1">
        <f>$A2337-$AV2337*$R2337</f>
        <v>0</v>
      </c>
    </row>
    <row r="2338" ht="24.95" customHeight="1" outlineLevel="3" s="1" customFormat="1">
      <c r="A2338" s="15"/>
      <c r="B2338" s="16">
        <v>580</v>
      </c>
      <c r="C2338" s="16">
        <v>870</v>
      </c>
      <c r="D2338" s="16">
        <v>31086</v>
      </c>
      <c r="E2338" s="18"/>
      <c r="F2338" s="18" t="s">
        <v>7634</v>
      </c>
      <c r="G2338" s="18" t="s">
        <v>7635</v>
      </c>
      <c r="H2338" s="18" t="s">
        <v>64</v>
      </c>
      <c r="I2338" s="18" t="s">
        <v>74</v>
      </c>
      <c r="J2338" s="16">
        <v>2025</v>
      </c>
      <c r="K2338" s="18" t="s">
        <v>7636</v>
      </c>
      <c r="L2338" s="16">
        <v>9785961497458</v>
      </c>
      <c r="M2338" s="18" t="s">
        <v>7637</v>
      </c>
      <c r="N2338" s="16">
        <v>552</v>
      </c>
      <c r="O2338" s="19">
        <v>0.47</v>
      </c>
      <c r="P2338" s="16">
        <v>140</v>
      </c>
      <c r="Q2338" s="16">
        <v>200</v>
      </c>
      <c r="R2338" s="16">
        <v>10</v>
      </c>
      <c r="S2338" s="18" t="s">
        <v>43</v>
      </c>
      <c r="T2338" s="18"/>
      <c r="U2338" s="17">
        <v>3000</v>
      </c>
      <c r="V2338" s="18" t="s">
        <v>44</v>
      </c>
      <c r="W2338" s="18" t="s">
        <v>69</v>
      </c>
      <c r="X2338" s="16">
        <v>10</v>
      </c>
      <c r="Y2338" s="43" t="str">
        <f>HYPERLINK("https://api-enni.alpina.ru/FilePrivilegesApproval/1014","https://api-enni.alpina.ru/FilePrivilegesApproval/1014")</f>
        <v>https://api-enni.alpina.ru/FilePrivilegesApproval/1014</v>
      </c>
      <c r="Z2338" s="18"/>
      <c r="AS2338" s="1">
        <f>IF($A2338&lt;&gt;0,1,0)</f>
        <v>0</v>
      </c>
      <c r="AT2338" s="1">
        <f>$A2338*$B2338</f>
        <v>0</v>
      </c>
      <c r="AU2338" s="1">
        <f>$A2338*$O2338</f>
        <v>0</v>
      </c>
      <c r="AV2338" s="1">
        <f>IF($R2338=0,0,INT($A2338/$R2338))</f>
        <v>0</v>
      </c>
      <c r="AW2338" s="1">
        <f>$A2338-$AV2338*$R2338</f>
        <v>0</v>
      </c>
    </row>
    <row r="2339" ht="24.95" customHeight="1" outlineLevel="3" s="1" customFormat="1">
      <c r="A2339" s="15"/>
      <c r="B2339" s="16">
        <v>610</v>
      </c>
      <c r="C2339" s="16">
        <v>915</v>
      </c>
      <c r="D2339" s="16">
        <v>32933</v>
      </c>
      <c r="E2339" s="18"/>
      <c r="F2339" s="18" t="s">
        <v>7638</v>
      </c>
      <c r="G2339" s="18" t="s">
        <v>7639</v>
      </c>
      <c r="H2339" s="18" t="s">
        <v>64</v>
      </c>
      <c r="I2339" s="18" t="s">
        <v>1213</v>
      </c>
      <c r="J2339" s="16">
        <v>2026</v>
      </c>
      <c r="K2339" s="18" t="s">
        <v>7640</v>
      </c>
      <c r="L2339" s="16">
        <v>9785006303447</v>
      </c>
      <c r="M2339" s="18" t="s">
        <v>7641</v>
      </c>
      <c r="N2339" s="16">
        <v>370</v>
      </c>
      <c r="O2339" s="19">
        <v>0.32</v>
      </c>
      <c r="P2339" s="16">
        <v>140</v>
      </c>
      <c r="Q2339" s="16">
        <v>200</v>
      </c>
      <c r="R2339" s="16">
        <v>6</v>
      </c>
      <c r="S2339" s="18" t="s">
        <v>43</v>
      </c>
      <c r="T2339" s="18"/>
      <c r="U2339" s="17">
        <v>4000</v>
      </c>
      <c r="V2339" s="18" t="s">
        <v>44</v>
      </c>
      <c r="W2339" s="18" t="s">
        <v>69</v>
      </c>
      <c r="X2339" s="16">
        <v>10</v>
      </c>
      <c r="Y2339" s="43" t="str">
        <f>HYPERLINK("https://api-enni.alpina.ru/FilePrivilegesApproval/1120","https://api-enni.alpina.ru/FilePrivilegesApproval/1120")</f>
        <v>https://api-enni.alpina.ru/FilePrivilegesApproval/1120</v>
      </c>
      <c r="Z2339" s="18"/>
      <c r="AS2339" s="1">
        <f>IF($A2339&lt;&gt;0,1,0)</f>
        <v>0</v>
      </c>
      <c r="AT2339" s="1">
        <f>$A2339*$B2339</f>
        <v>0</v>
      </c>
      <c r="AU2339" s="1">
        <f>$A2339*$O2339</f>
        <v>0</v>
      </c>
      <c r="AV2339" s="1">
        <f>IF($R2339=0,0,INT($A2339/$R2339))</f>
        <v>0</v>
      </c>
      <c r="AW2339" s="1">
        <f>$A2339-$AV2339*$R2339</f>
        <v>0</v>
      </c>
    </row>
    <row r="2340" ht="24.95" customHeight="1" outlineLevel="3" s="1" customFormat="1">
      <c r="A2340" s="15"/>
      <c r="B2340" s="16">
        <v>590</v>
      </c>
      <c r="C2340" s="16">
        <v>885</v>
      </c>
      <c r="D2340" s="16">
        <v>29542</v>
      </c>
      <c r="E2340" s="18"/>
      <c r="F2340" s="18" t="s">
        <v>7642</v>
      </c>
      <c r="G2340" s="18" t="s">
        <v>7643</v>
      </c>
      <c r="H2340" s="18" t="s">
        <v>64</v>
      </c>
      <c r="I2340" s="18" t="s">
        <v>40</v>
      </c>
      <c r="J2340" s="16">
        <v>2025</v>
      </c>
      <c r="K2340" s="18" t="s">
        <v>7644</v>
      </c>
      <c r="L2340" s="16">
        <v>9785961492972</v>
      </c>
      <c r="M2340" s="18" t="s">
        <v>7645</v>
      </c>
      <c r="N2340" s="16">
        <v>358</v>
      </c>
      <c r="O2340" s="19">
        <v>0.29</v>
      </c>
      <c r="P2340" s="16">
        <v>140</v>
      </c>
      <c r="Q2340" s="16">
        <v>200</v>
      </c>
      <c r="R2340" s="16">
        <v>10</v>
      </c>
      <c r="S2340" s="18" t="s">
        <v>43</v>
      </c>
      <c r="T2340" s="18" t="s">
        <v>7448</v>
      </c>
      <c r="U2340" s="17">
        <v>3000</v>
      </c>
      <c r="V2340" s="18" t="s">
        <v>44</v>
      </c>
      <c r="W2340" s="18" t="s">
        <v>69</v>
      </c>
      <c r="X2340" s="16">
        <v>10</v>
      </c>
      <c r="Y2340" s="43" t="str">
        <f>HYPERLINK("https://api-enni.alpina.ru/FilePrivilegesApproval/956","https://api-enni.alpina.ru/FilePrivilegesApproval/956")</f>
        <v>https://api-enni.alpina.ru/FilePrivilegesApproval/956</v>
      </c>
      <c r="Z2340" s="18"/>
      <c r="AS2340" s="1">
        <f>IF($A2340&lt;&gt;0,1,0)</f>
        <v>0</v>
      </c>
      <c r="AT2340" s="1">
        <f>$A2340*$B2340</f>
        <v>0</v>
      </c>
      <c r="AU2340" s="1">
        <f>$A2340*$O2340</f>
        <v>0</v>
      </c>
      <c r="AV2340" s="1">
        <f>IF($R2340=0,0,INT($A2340/$R2340))</f>
        <v>0</v>
      </c>
      <c r="AW2340" s="1">
        <f>$A2340-$AV2340*$R2340</f>
        <v>0</v>
      </c>
    </row>
    <row r="2341" ht="24.95" customHeight="1" outlineLevel="3" s="1" customFormat="1">
      <c r="A2341" s="15"/>
      <c r="B2341" s="16">
        <v>600</v>
      </c>
      <c r="C2341" s="16">
        <v>900</v>
      </c>
      <c r="D2341" s="16">
        <v>31114</v>
      </c>
      <c r="E2341" s="18"/>
      <c r="F2341" s="18" t="s">
        <v>7646</v>
      </c>
      <c r="G2341" s="18" t="s">
        <v>7647</v>
      </c>
      <c r="H2341" s="18" t="s">
        <v>64</v>
      </c>
      <c r="I2341" s="18" t="s">
        <v>74</v>
      </c>
      <c r="J2341" s="16">
        <v>2025</v>
      </c>
      <c r="K2341" s="18" t="s">
        <v>7648</v>
      </c>
      <c r="L2341" s="16">
        <v>9785961497601</v>
      </c>
      <c r="M2341" s="18" t="s">
        <v>7649</v>
      </c>
      <c r="N2341" s="16">
        <v>464</v>
      </c>
      <c r="O2341" s="19">
        <v>0.38</v>
      </c>
      <c r="P2341" s="16">
        <v>140</v>
      </c>
      <c r="Q2341" s="16">
        <v>200</v>
      </c>
      <c r="R2341" s="16">
        <v>6</v>
      </c>
      <c r="S2341" s="18" t="s">
        <v>43</v>
      </c>
      <c r="T2341" s="18" t="s">
        <v>68</v>
      </c>
      <c r="U2341" s="17">
        <v>3000</v>
      </c>
      <c r="V2341" s="18" t="s">
        <v>44</v>
      </c>
      <c r="W2341" s="18" t="s">
        <v>69</v>
      </c>
      <c r="X2341" s="16">
        <v>10</v>
      </c>
      <c r="Y2341" s="43" t="str">
        <f>HYPERLINK("https://api-enni.alpina.ru/FilePrivilegesApproval/857","https://api-enni.alpina.ru/FilePrivilegesApproval/857")</f>
        <v>https://api-enni.alpina.ru/FilePrivilegesApproval/857</v>
      </c>
      <c r="Z2341" s="18"/>
      <c r="AS2341" s="1">
        <f>IF($A2341&lt;&gt;0,1,0)</f>
        <v>0</v>
      </c>
      <c r="AT2341" s="1">
        <f>$A2341*$B2341</f>
        <v>0</v>
      </c>
      <c r="AU2341" s="1">
        <f>$A2341*$O2341</f>
        <v>0</v>
      </c>
      <c r="AV2341" s="1">
        <f>IF($R2341=0,0,INT($A2341/$R2341))</f>
        <v>0</v>
      </c>
      <c r="AW2341" s="1">
        <f>$A2341-$AV2341*$R2341</f>
        <v>0</v>
      </c>
    </row>
    <row r="2342" ht="24.95" customHeight="1" outlineLevel="3" s="1" customFormat="1">
      <c r="A2342" s="15"/>
      <c r="B2342" s="16">
        <v>640</v>
      </c>
      <c r="C2342" s="16">
        <v>960</v>
      </c>
      <c r="D2342" s="16">
        <v>35039</v>
      </c>
      <c r="E2342" s="18"/>
      <c r="F2342" s="18" t="s">
        <v>7650</v>
      </c>
      <c r="G2342" s="18" t="s">
        <v>7651</v>
      </c>
      <c r="H2342" s="18" t="s">
        <v>64</v>
      </c>
      <c r="I2342" s="18" t="s">
        <v>74</v>
      </c>
      <c r="J2342" s="16">
        <v>2026</v>
      </c>
      <c r="K2342" s="18" t="s">
        <v>7652</v>
      </c>
      <c r="L2342" s="16">
        <v>9785006309821</v>
      </c>
      <c r="M2342" s="18" t="s">
        <v>7653</v>
      </c>
      <c r="N2342" s="16">
        <v>534</v>
      </c>
      <c r="O2342" s="19">
        <v>0.46</v>
      </c>
      <c r="P2342" s="16">
        <v>140</v>
      </c>
      <c r="Q2342" s="16">
        <v>200</v>
      </c>
      <c r="R2342" s="16">
        <v>6</v>
      </c>
      <c r="S2342" s="18" t="s">
        <v>43</v>
      </c>
      <c r="T2342" s="18" t="s">
        <v>68</v>
      </c>
      <c r="U2342" s="17">
        <v>3000</v>
      </c>
      <c r="V2342" s="18" t="s">
        <v>44</v>
      </c>
      <c r="W2342" s="18" t="s">
        <v>69</v>
      </c>
      <c r="X2342" s="16">
        <v>10</v>
      </c>
      <c r="Y2342" s="43" t="str">
        <f>HYPERLINK("https://api-enni.alpina.ru/FilePrivilegesApproval/1156","https://api-enni.alpina.ru/FilePrivilegesApproval/1156")</f>
        <v>https://api-enni.alpina.ru/FilePrivilegesApproval/1156</v>
      </c>
      <c r="Z2342" s="18" t="s">
        <v>874</v>
      </c>
      <c r="AS2342" s="1">
        <f>IF($A2342&lt;&gt;0,1,0)</f>
        <v>0</v>
      </c>
      <c r="AT2342" s="1">
        <f>$A2342*$B2342</f>
        <v>0</v>
      </c>
      <c r="AU2342" s="1">
        <f>$A2342*$O2342</f>
        <v>0</v>
      </c>
      <c r="AV2342" s="1">
        <f>IF($R2342=0,0,INT($A2342/$R2342))</f>
        <v>0</v>
      </c>
      <c r="AW2342" s="1">
        <f>$A2342-$AV2342*$R2342</f>
        <v>0</v>
      </c>
    </row>
    <row r="2343" ht="24.95" customHeight="1" outlineLevel="3" s="1" customFormat="1">
      <c r="A2343" s="15"/>
      <c r="B2343" s="16">
        <v>540</v>
      </c>
      <c r="C2343" s="16">
        <v>837</v>
      </c>
      <c r="D2343" s="16">
        <v>32977</v>
      </c>
      <c r="E2343" s="18"/>
      <c r="F2343" s="18" t="s">
        <v>7654</v>
      </c>
      <c r="G2343" s="18" t="s">
        <v>7655</v>
      </c>
      <c r="H2343" s="18" t="s">
        <v>64</v>
      </c>
      <c r="I2343" s="18" t="s">
        <v>7656</v>
      </c>
      <c r="J2343" s="16">
        <v>2026</v>
      </c>
      <c r="K2343" s="18" t="s">
        <v>7657</v>
      </c>
      <c r="L2343" s="16">
        <v>9785006303577</v>
      </c>
      <c r="M2343" s="18" t="s">
        <v>7658</v>
      </c>
      <c r="N2343" s="16">
        <v>276</v>
      </c>
      <c r="O2343" s="19">
        <v>0.25</v>
      </c>
      <c r="P2343" s="16">
        <v>140</v>
      </c>
      <c r="Q2343" s="16">
        <v>200</v>
      </c>
      <c r="R2343" s="16">
        <v>8</v>
      </c>
      <c r="S2343" s="18" t="s">
        <v>43</v>
      </c>
      <c r="T2343" s="18" t="s">
        <v>68</v>
      </c>
      <c r="U2343" s="17">
        <v>3000</v>
      </c>
      <c r="V2343" s="18" t="s">
        <v>44</v>
      </c>
      <c r="W2343" s="18" t="s">
        <v>69</v>
      </c>
      <c r="X2343" s="16">
        <v>10</v>
      </c>
      <c r="Y2343" s="43" t="str">
        <f>HYPERLINK("https://api-enni.alpina.ru/FilePrivilegesApproval/1101","https://api-enni.alpina.ru/FilePrivilegesApproval/1101")</f>
        <v>https://api-enni.alpina.ru/FilePrivilegesApproval/1101</v>
      </c>
      <c r="Z2343" s="18"/>
      <c r="AS2343" s="1">
        <f>IF($A2343&lt;&gt;0,1,0)</f>
        <v>0</v>
      </c>
      <c r="AT2343" s="1">
        <f>$A2343*$B2343</f>
        <v>0</v>
      </c>
      <c r="AU2343" s="1">
        <f>$A2343*$O2343</f>
        <v>0</v>
      </c>
      <c r="AV2343" s="1">
        <f>IF($R2343=0,0,INT($A2343/$R2343))</f>
        <v>0</v>
      </c>
      <c r="AW2343" s="1">
        <f>$A2343-$AV2343*$R2343</f>
        <v>0</v>
      </c>
    </row>
    <row r="2344" ht="24.95" customHeight="1" outlineLevel="3" s="1" customFormat="1">
      <c r="A2344" s="15"/>
      <c r="B2344" s="16">
        <v>590</v>
      </c>
      <c r="C2344" s="16">
        <v>885</v>
      </c>
      <c r="D2344" s="16">
        <v>34124</v>
      </c>
      <c r="E2344" s="18"/>
      <c r="F2344" s="18" t="s">
        <v>390</v>
      </c>
      <c r="G2344" s="18" t="s">
        <v>391</v>
      </c>
      <c r="H2344" s="18" t="s">
        <v>64</v>
      </c>
      <c r="I2344" s="18" t="s">
        <v>40</v>
      </c>
      <c r="J2344" s="16">
        <v>2026</v>
      </c>
      <c r="K2344" s="18" t="s">
        <v>392</v>
      </c>
      <c r="L2344" s="16">
        <v>9785006306387</v>
      </c>
      <c r="M2344" s="18" t="s">
        <v>393</v>
      </c>
      <c r="N2344" s="16">
        <v>470</v>
      </c>
      <c r="O2344" s="19">
        <v>0.4</v>
      </c>
      <c r="P2344" s="16">
        <v>140</v>
      </c>
      <c r="Q2344" s="16">
        <v>200</v>
      </c>
      <c r="R2344" s="16">
        <v>6</v>
      </c>
      <c r="S2344" s="18" t="s">
        <v>43</v>
      </c>
      <c r="T2344" s="18"/>
      <c r="U2344" s="17">
        <v>3000</v>
      </c>
      <c r="V2344" s="18" t="s">
        <v>44</v>
      </c>
      <c r="W2344" s="18" t="s">
        <v>69</v>
      </c>
      <c r="X2344" s="16">
        <v>10</v>
      </c>
      <c r="Y2344" s="43" t="str">
        <f>HYPERLINK("https://api-enni.alpina.ru/FilePrivilegesApproval/1194","https://api-enni.alpina.ru/FilePrivilegesApproval/1194")</f>
        <v>https://api-enni.alpina.ru/FilePrivilegesApproval/1194</v>
      </c>
      <c r="Z2344" s="18" t="s">
        <v>46</v>
      </c>
      <c r="AS2344" s="1">
        <f>IF($A2344&lt;&gt;0,1,0)</f>
        <v>0</v>
      </c>
      <c r="AT2344" s="1">
        <f>$A2344*$B2344</f>
        <v>0</v>
      </c>
      <c r="AU2344" s="1">
        <f>$A2344*$O2344</f>
        <v>0</v>
      </c>
      <c r="AV2344" s="1">
        <f>IF($R2344=0,0,INT($A2344/$R2344))</f>
        <v>0</v>
      </c>
      <c r="AW2344" s="1">
        <f>$A2344-$AV2344*$R2344</f>
        <v>0</v>
      </c>
    </row>
    <row r="2345" ht="24.95" customHeight="1" outlineLevel="3" s="1" customFormat="1">
      <c r="A2345" s="15"/>
      <c r="B2345" s="16">
        <v>460</v>
      </c>
      <c r="C2345" s="16">
        <v>713</v>
      </c>
      <c r="D2345" s="16">
        <v>31753</v>
      </c>
      <c r="E2345" s="18"/>
      <c r="F2345" s="18" t="s">
        <v>7659</v>
      </c>
      <c r="G2345" s="18" t="s">
        <v>7660</v>
      </c>
      <c r="H2345" s="18" t="s">
        <v>64</v>
      </c>
      <c r="I2345" s="18" t="s">
        <v>65</v>
      </c>
      <c r="J2345" s="16">
        <v>2025</v>
      </c>
      <c r="K2345" s="18" t="s">
        <v>7661</v>
      </c>
      <c r="L2345" s="16">
        <v>9785006300071</v>
      </c>
      <c r="M2345" s="18" t="s">
        <v>7662</v>
      </c>
      <c r="N2345" s="16">
        <v>240</v>
      </c>
      <c r="O2345" s="19">
        <v>0.2</v>
      </c>
      <c r="P2345" s="16">
        <v>140</v>
      </c>
      <c r="Q2345" s="16">
        <v>200</v>
      </c>
      <c r="R2345" s="16">
        <v>8</v>
      </c>
      <c r="S2345" s="18" t="s">
        <v>43</v>
      </c>
      <c r="T2345" s="18" t="s">
        <v>68</v>
      </c>
      <c r="U2345" s="17">
        <v>4000</v>
      </c>
      <c r="V2345" s="18" t="s">
        <v>44</v>
      </c>
      <c r="W2345" s="18" t="s">
        <v>69</v>
      </c>
      <c r="X2345" s="16">
        <v>10</v>
      </c>
      <c r="Y2345" s="43" t="str">
        <f>HYPERLINK("https://api-enni.alpina.ru/FilePrivilegesApproval/796","https://api-enni.alpina.ru/FilePrivilegesApproval/796")</f>
        <v>https://api-enni.alpina.ru/FilePrivilegesApproval/796</v>
      </c>
      <c r="Z2345" s="18"/>
      <c r="AS2345" s="1">
        <f>IF($A2345&lt;&gt;0,1,0)</f>
        <v>0</v>
      </c>
      <c r="AT2345" s="1">
        <f>$A2345*$B2345</f>
        <v>0</v>
      </c>
      <c r="AU2345" s="1">
        <f>$A2345*$O2345</f>
        <v>0</v>
      </c>
      <c r="AV2345" s="1">
        <f>IF($R2345=0,0,INT($A2345/$R2345))</f>
        <v>0</v>
      </c>
      <c r="AW2345" s="1">
        <f>$A2345-$AV2345*$R2345</f>
        <v>0</v>
      </c>
    </row>
    <row r="2346" ht="24.95" customHeight="1" outlineLevel="3" s="1" customFormat="1">
      <c r="A2346" s="15"/>
      <c r="B2346" s="16">
        <v>440</v>
      </c>
      <c r="C2346" s="16">
        <v>682</v>
      </c>
      <c r="D2346" s="16">
        <v>34372</v>
      </c>
      <c r="E2346" s="18"/>
      <c r="F2346" s="18" t="s">
        <v>7659</v>
      </c>
      <c r="G2346" s="18" t="s">
        <v>7660</v>
      </c>
      <c r="H2346" s="18" t="s">
        <v>64</v>
      </c>
      <c r="I2346" s="18" t="s">
        <v>65</v>
      </c>
      <c r="J2346" s="16">
        <v>2025</v>
      </c>
      <c r="K2346" s="18" t="s">
        <v>7663</v>
      </c>
      <c r="L2346" s="16">
        <v>9785006307346</v>
      </c>
      <c r="M2346" s="18" t="s">
        <v>7664</v>
      </c>
      <c r="N2346" s="16">
        <v>240</v>
      </c>
      <c r="O2346" s="19">
        <v>0.2</v>
      </c>
      <c r="P2346" s="16">
        <v>140</v>
      </c>
      <c r="Q2346" s="16">
        <v>200</v>
      </c>
      <c r="R2346" s="16">
        <v>5</v>
      </c>
      <c r="S2346" s="18" t="s">
        <v>43</v>
      </c>
      <c r="T2346" s="18" t="s">
        <v>68</v>
      </c>
      <c r="U2346" s="17">
        <v>1500</v>
      </c>
      <c r="V2346" s="18" t="s">
        <v>44</v>
      </c>
      <c r="W2346" s="18" t="s">
        <v>69</v>
      </c>
      <c r="X2346" s="16">
        <v>10</v>
      </c>
      <c r="Y2346" s="43" t="str">
        <f>HYPERLINK("https://api-enni.alpina.ru/FilePrivilegesApproval/940","https://api-enni.alpina.ru/FilePrivilegesApproval/940")</f>
        <v>https://api-enni.alpina.ru/FilePrivilegesApproval/940</v>
      </c>
      <c r="Z2346" s="18"/>
      <c r="AS2346" s="1">
        <f>IF($A2346&lt;&gt;0,1,0)</f>
        <v>0</v>
      </c>
      <c r="AT2346" s="1">
        <f>$A2346*$B2346</f>
        <v>0</v>
      </c>
      <c r="AU2346" s="1">
        <f>$A2346*$O2346</f>
        <v>0</v>
      </c>
      <c r="AV2346" s="1">
        <f>IF($R2346=0,0,INT($A2346/$R2346))</f>
        <v>0</v>
      </c>
      <c r="AW2346" s="1">
        <f>$A2346-$AV2346*$R2346</f>
        <v>0</v>
      </c>
    </row>
    <row r="2347" ht="11.1" customHeight="1" outlineLevel="2">
      <c r="A2347" s="41" t="s">
        <v>7665</v>
      </c>
      <c r="B2347" s="41"/>
      <c r="C2347" s="41"/>
      <c r="D2347" s="41"/>
      <c r="E2347" s="41"/>
      <c r="F2347" s="41"/>
      <c r="G2347" s="41"/>
      <c r="H2347" s="41"/>
      <c r="I2347" s="41"/>
      <c r="J2347" s="41"/>
      <c r="K2347" s="41"/>
      <c r="L2347" s="41"/>
      <c r="M2347" s="41"/>
      <c r="N2347" s="41"/>
      <c r="O2347" s="41"/>
      <c r="P2347" s="41"/>
      <c r="Q2347" s="41"/>
      <c r="R2347" s="41"/>
      <c r="S2347" s="41"/>
      <c r="T2347" s="41"/>
      <c r="U2347" s="41"/>
      <c r="V2347" s="41"/>
      <c r="W2347" s="41"/>
      <c r="X2347" s="41"/>
      <c r="Y2347" s="41"/>
      <c r="Z2347" s="24"/>
    </row>
    <row r="2348" ht="24.95" customHeight="1" outlineLevel="3" s="1" customFormat="1">
      <c r="A2348" s="15"/>
      <c r="B2348" s="16">
        <v>800</v>
      </c>
      <c r="C2348" s="17">
        <v>1160</v>
      </c>
      <c r="D2348" s="16">
        <v>36238</v>
      </c>
      <c r="E2348" s="18"/>
      <c r="F2348" s="18" t="s">
        <v>37</v>
      </c>
      <c r="G2348" s="18" t="s">
        <v>38</v>
      </c>
      <c r="H2348" s="18" t="s">
        <v>39</v>
      </c>
      <c r="I2348" s="18" t="s">
        <v>40</v>
      </c>
      <c r="J2348" s="16">
        <v>2026</v>
      </c>
      <c r="K2348" s="18" t="s">
        <v>41</v>
      </c>
      <c r="L2348" s="16">
        <v>9785006316607</v>
      </c>
      <c r="M2348" s="18" t="s">
        <v>42</v>
      </c>
      <c r="N2348" s="16">
        <v>560</v>
      </c>
      <c r="O2348" s="19">
        <v>0.53</v>
      </c>
      <c r="P2348" s="16">
        <v>140</v>
      </c>
      <c r="Q2348" s="16">
        <v>210</v>
      </c>
      <c r="R2348" s="16">
        <v>4</v>
      </c>
      <c r="S2348" s="18" t="s">
        <v>43</v>
      </c>
      <c r="T2348" s="18"/>
      <c r="U2348" s="17">
        <v>4000</v>
      </c>
      <c r="V2348" s="18" t="s">
        <v>44</v>
      </c>
      <c r="W2348" s="18" t="s">
        <v>45</v>
      </c>
      <c r="X2348" s="16">
        <v>10</v>
      </c>
      <c r="Y2348" s="43" t="str">
        <f>HYPERLINK("https://api-enni.alpina.ru/FilePrivilegesApproval/1230","https://api-enni.alpina.ru/FilePrivilegesApproval/1230")</f>
        <v>https://api-enni.alpina.ru/FilePrivilegesApproval/1230</v>
      </c>
      <c r="Z2348" s="18" t="s">
        <v>46</v>
      </c>
      <c r="AS2348" s="1">
        <f>IF($A2348&lt;&gt;0,1,0)</f>
        <v>0</v>
      </c>
      <c r="AT2348" s="1">
        <f>$A2348*$B2348</f>
        <v>0</v>
      </c>
      <c r="AU2348" s="1">
        <f>$A2348*$O2348</f>
        <v>0</v>
      </c>
      <c r="AV2348" s="1">
        <f>IF($R2348=0,0,INT($A2348/$R2348))</f>
        <v>0</v>
      </c>
      <c r="AW2348" s="1">
        <f>$A2348-$AV2348*$R2348</f>
        <v>0</v>
      </c>
    </row>
    <row r="2349" ht="24.95" customHeight="1" outlineLevel="3" s="1" customFormat="1">
      <c r="A2349" s="15"/>
      <c r="B2349" s="16">
        <v>600</v>
      </c>
      <c r="C2349" s="16">
        <v>900</v>
      </c>
      <c r="D2349" s="16">
        <v>31495</v>
      </c>
      <c r="E2349" s="18"/>
      <c r="F2349" s="18" t="s">
        <v>7666</v>
      </c>
      <c r="G2349" s="18" t="s">
        <v>7667</v>
      </c>
      <c r="H2349" s="18" t="s">
        <v>39</v>
      </c>
      <c r="I2349" s="18" t="s">
        <v>74</v>
      </c>
      <c r="J2349" s="16">
        <v>2025</v>
      </c>
      <c r="K2349" s="18" t="s">
        <v>7668</v>
      </c>
      <c r="L2349" s="16">
        <v>9785961499049</v>
      </c>
      <c r="M2349" s="18" t="s">
        <v>7669</v>
      </c>
      <c r="N2349" s="16">
        <v>464</v>
      </c>
      <c r="O2349" s="19">
        <v>0.44</v>
      </c>
      <c r="P2349" s="16">
        <v>140</v>
      </c>
      <c r="Q2349" s="16">
        <v>210</v>
      </c>
      <c r="R2349" s="16">
        <v>4</v>
      </c>
      <c r="S2349" s="18" t="s">
        <v>43</v>
      </c>
      <c r="T2349" s="18"/>
      <c r="U2349" s="17">
        <v>3000</v>
      </c>
      <c r="V2349" s="18" t="s">
        <v>44</v>
      </c>
      <c r="W2349" s="18" t="s">
        <v>69</v>
      </c>
      <c r="X2349" s="16">
        <v>10</v>
      </c>
      <c r="Y2349" s="43" t="str">
        <f>HYPERLINK("https://api-enni.alpina.ru/FilePrivilegesApproval/961","https://api-enni.alpina.ru/FilePrivilegesApproval/961")</f>
        <v>https://api-enni.alpina.ru/FilePrivilegesApproval/961</v>
      </c>
      <c r="Z2349" s="18"/>
      <c r="AS2349" s="1">
        <f>IF($A2349&lt;&gt;0,1,0)</f>
        <v>0</v>
      </c>
      <c r="AT2349" s="1">
        <f>$A2349*$B2349</f>
        <v>0</v>
      </c>
      <c r="AU2349" s="1">
        <f>$A2349*$O2349</f>
        <v>0</v>
      </c>
      <c r="AV2349" s="1">
        <f>IF($R2349=0,0,INT($A2349/$R2349))</f>
        <v>0</v>
      </c>
      <c r="AW2349" s="1">
        <f>$A2349-$AV2349*$R2349</f>
        <v>0</v>
      </c>
    </row>
    <row r="2350" ht="21.95" customHeight="1" outlineLevel="3" s="1" customFormat="1">
      <c r="A2350" s="15"/>
      <c r="B2350" s="16">
        <v>610</v>
      </c>
      <c r="C2350" s="16">
        <v>915</v>
      </c>
      <c r="D2350" s="16">
        <v>30433</v>
      </c>
      <c r="E2350" s="18"/>
      <c r="F2350" s="18" t="s">
        <v>7670</v>
      </c>
      <c r="G2350" s="18" t="s">
        <v>7671</v>
      </c>
      <c r="H2350" s="18" t="s">
        <v>39</v>
      </c>
      <c r="I2350" s="18" t="s">
        <v>40</v>
      </c>
      <c r="J2350" s="16">
        <v>2025</v>
      </c>
      <c r="K2350" s="18" t="s">
        <v>7672</v>
      </c>
      <c r="L2350" s="16">
        <v>9785961495478</v>
      </c>
      <c r="M2350" s="18" t="s">
        <v>7673</v>
      </c>
      <c r="N2350" s="16">
        <v>496</v>
      </c>
      <c r="O2350" s="19">
        <v>0.45</v>
      </c>
      <c r="P2350" s="16">
        <v>140</v>
      </c>
      <c r="Q2350" s="16">
        <v>210</v>
      </c>
      <c r="R2350" s="16">
        <v>4</v>
      </c>
      <c r="S2350" s="18" t="s">
        <v>43</v>
      </c>
      <c r="T2350" s="18"/>
      <c r="U2350" s="17">
        <v>2000</v>
      </c>
      <c r="V2350" s="18" t="s">
        <v>44</v>
      </c>
      <c r="W2350" s="18" t="s">
        <v>45</v>
      </c>
      <c r="X2350" s="16">
        <v>22</v>
      </c>
      <c r="Y2350" s="43" t="str">
        <f>HYPERLINK("","")</f>
      </c>
      <c r="Z2350" s="18"/>
      <c r="AS2350" s="1">
        <f>IF($A2350&lt;&gt;0,1,0)</f>
        <v>0</v>
      </c>
      <c r="AT2350" s="1">
        <f>$A2350*$B2350</f>
        <v>0</v>
      </c>
      <c r="AU2350" s="1">
        <f>$A2350*$O2350</f>
        <v>0</v>
      </c>
      <c r="AV2350" s="1">
        <f>IF($R2350=0,0,INT($A2350/$R2350))</f>
        <v>0</v>
      </c>
      <c r="AW2350" s="1">
        <f>$A2350-$AV2350*$R2350</f>
        <v>0</v>
      </c>
    </row>
    <row r="2351" ht="24.95" customHeight="1" outlineLevel="3" s="1" customFormat="1">
      <c r="A2351" s="15"/>
      <c r="B2351" s="16">
        <v>490</v>
      </c>
      <c r="C2351" s="16">
        <v>760</v>
      </c>
      <c r="D2351" s="16">
        <v>30091</v>
      </c>
      <c r="E2351" s="18"/>
      <c r="F2351" s="18" t="s">
        <v>7674</v>
      </c>
      <c r="G2351" s="18" t="s">
        <v>7675</v>
      </c>
      <c r="H2351" s="18" t="s">
        <v>39</v>
      </c>
      <c r="I2351" s="18" t="s">
        <v>74</v>
      </c>
      <c r="J2351" s="16">
        <v>2026</v>
      </c>
      <c r="K2351" s="18" t="s">
        <v>7676</v>
      </c>
      <c r="L2351" s="16">
        <v>9785961494754</v>
      </c>
      <c r="M2351" s="18" t="s">
        <v>7677</v>
      </c>
      <c r="N2351" s="16">
        <v>352</v>
      </c>
      <c r="O2351" s="19">
        <v>0.34</v>
      </c>
      <c r="P2351" s="16">
        <v>140</v>
      </c>
      <c r="Q2351" s="16">
        <v>210</v>
      </c>
      <c r="R2351" s="16">
        <v>6</v>
      </c>
      <c r="S2351" s="18" t="s">
        <v>43</v>
      </c>
      <c r="T2351" s="18"/>
      <c r="U2351" s="17">
        <v>2000</v>
      </c>
      <c r="V2351" s="18" t="s">
        <v>44</v>
      </c>
      <c r="W2351" s="18" t="s">
        <v>69</v>
      </c>
      <c r="X2351" s="16">
        <v>10</v>
      </c>
      <c r="Y2351" s="43" t="str">
        <f>HYPERLINK("https://api-enni.alpina.ru/FilePrivilegesApproval/350","https://api-enni.alpina.ru/FilePrivilegesApproval/350")</f>
        <v>https://api-enni.alpina.ru/FilePrivilegesApproval/350</v>
      </c>
      <c r="Z2351" s="18"/>
      <c r="AS2351" s="1">
        <f>IF($A2351&lt;&gt;0,1,0)</f>
        <v>0</v>
      </c>
      <c r="AT2351" s="1">
        <f>$A2351*$B2351</f>
        <v>0</v>
      </c>
      <c r="AU2351" s="1">
        <f>$A2351*$O2351</f>
        <v>0</v>
      </c>
      <c r="AV2351" s="1">
        <f>IF($R2351=0,0,INT($A2351/$R2351))</f>
        <v>0</v>
      </c>
      <c r="AW2351" s="1">
        <f>$A2351-$AV2351*$R2351</f>
        <v>0</v>
      </c>
    </row>
    <row r="2352" ht="21.95" customHeight="1" outlineLevel="3" s="1" customFormat="1">
      <c r="A2352" s="15"/>
      <c r="B2352" s="16">
        <v>803</v>
      </c>
      <c r="C2352" s="17">
        <v>1164</v>
      </c>
      <c r="D2352" s="16">
        <v>31587</v>
      </c>
      <c r="E2352" s="18"/>
      <c r="F2352" s="18" t="s">
        <v>7678</v>
      </c>
      <c r="G2352" s="18" t="s">
        <v>7679</v>
      </c>
      <c r="H2352" s="18" t="s">
        <v>39</v>
      </c>
      <c r="I2352" s="18" t="s">
        <v>40</v>
      </c>
      <c r="J2352" s="16">
        <v>2026</v>
      </c>
      <c r="K2352" s="18" t="s">
        <v>7680</v>
      </c>
      <c r="L2352" s="16">
        <v>9785961499414</v>
      </c>
      <c r="M2352" s="18" t="s">
        <v>7681</v>
      </c>
      <c r="N2352" s="16">
        <v>576</v>
      </c>
      <c r="O2352" s="19">
        <v>0.54</v>
      </c>
      <c r="P2352" s="16">
        <v>140</v>
      </c>
      <c r="Q2352" s="16">
        <v>210</v>
      </c>
      <c r="R2352" s="16">
        <v>4</v>
      </c>
      <c r="S2352" s="18" t="s">
        <v>43</v>
      </c>
      <c r="T2352" s="18"/>
      <c r="U2352" s="17">
        <v>2000</v>
      </c>
      <c r="V2352" s="18" t="s">
        <v>44</v>
      </c>
      <c r="W2352" s="18" t="s">
        <v>45</v>
      </c>
      <c r="X2352" s="16">
        <v>22</v>
      </c>
      <c r="Y2352" s="43" t="str">
        <f>HYPERLINK("","")</f>
      </c>
      <c r="Z2352" s="18"/>
      <c r="AS2352" s="1">
        <f>IF($A2352&lt;&gt;0,1,0)</f>
        <v>0</v>
      </c>
      <c r="AT2352" s="1">
        <f>$A2352*$B2352</f>
        <v>0</v>
      </c>
      <c r="AU2352" s="1">
        <f>$A2352*$O2352</f>
        <v>0</v>
      </c>
      <c r="AV2352" s="1">
        <f>IF($R2352=0,0,INT($A2352/$R2352))</f>
        <v>0</v>
      </c>
      <c r="AW2352" s="1">
        <f>$A2352-$AV2352*$R2352</f>
        <v>0</v>
      </c>
    </row>
    <row r="2353" ht="21.95" customHeight="1" outlineLevel="3" s="1" customFormat="1">
      <c r="A2353" s="15"/>
      <c r="B2353" s="16">
        <v>712</v>
      </c>
      <c r="C2353" s="17">
        <v>1032</v>
      </c>
      <c r="D2353" s="16">
        <v>31381</v>
      </c>
      <c r="E2353" s="18"/>
      <c r="F2353" s="18" t="s">
        <v>7682</v>
      </c>
      <c r="G2353" s="18" t="s">
        <v>7683</v>
      </c>
      <c r="H2353" s="18" t="s">
        <v>39</v>
      </c>
      <c r="I2353" s="18" t="s">
        <v>74</v>
      </c>
      <c r="J2353" s="16">
        <v>2025</v>
      </c>
      <c r="K2353" s="18" t="s">
        <v>7684</v>
      </c>
      <c r="L2353" s="16">
        <v>9785961498431</v>
      </c>
      <c r="M2353" s="18" t="s">
        <v>7685</v>
      </c>
      <c r="N2353" s="16">
        <v>416</v>
      </c>
      <c r="O2353" s="19">
        <v>0.38</v>
      </c>
      <c r="P2353" s="16">
        <v>140</v>
      </c>
      <c r="Q2353" s="16">
        <v>210</v>
      </c>
      <c r="R2353" s="16">
        <v>6</v>
      </c>
      <c r="S2353" s="18" t="s">
        <v>43</v>
      </c>
      <c r="T2353" s="18"/>
      <c r="U2353" s="17">
        <v>3000</v>
      </c>
      <c r="V2353" s="18" t="s">
        <v>44</v>
      </c>
      <c r="W2353" s="18" t="s">
        <v>45</v>
      </c>
      <c r="X2353" s="16">
        <v>22</v>
      </c>
      <c r="Y2353" s="43" t="str">
        <f>HYPERLINK("","")</f>
      </c>
      <c r="Z2353" s="18"/>
      <c r="AS2353" s="1">
        <f>IF($A2353&lt;&gt;0,1,0)</f>
        <v>0</v>
      </c>
      <c r="AT2353" s="1">
        <f>$A2353*$B2353</f>
        <v>0</v>
      </c>
      <c r="AU2353" s="1">
        <f>$A2353*$O2353</f>
        <v>0</v>
      </c>
      <c r="AV2353" s="1">
        <f>IF($R2353=0,0,INT($A2353/$R2353))</f>
        <v>0</v>
      </c>
      <c r="AW2353" s="1">
        <f>$A2353-$AV2353*$R2353</f>
        <v>0</v>
      </c>
    </row>
    <row r="2354" ht="24.95" customHeight="1" outlineLevel="3" s="1" customFormat="1">
      <c r="A2354" s="15"/>
      <c r="B2354" s="16">
        <v>650</v>
      </c>
      <c r="C2354" s="16">
        <v>975</v>
      </c>
      <c r="D2354" s="16">
        <v>29963</v>
      </c>
      <c r="E2354" s="18"/>
      <c r="F2354" s="18" t="s">
        <v>7686</v>
      </c>
      <c r="G2354" s="18" t="s">
        <v>7687</v>
      </c>
      <c r="H2354" s="18" t="s">
        <v>39</v>
      </c>
      <c r="I2354" s="18" t="s">
        <v>74</v>
      </c>
      <c r="J2354" s="16">
        <v>2026</v>
      </c>
      <c r="K2354" s="18" t="s">
        <v>7688</v>
      </c>
      <c r="L2354" s="16">
        <v>9785961494471</v>
      </c>
      <c r="M2354" s="18" t="s">
        <v>7689</v>
      </c>
      <c r="N2354" s="16">
        <v>368</v>
      </c>
      <c r="O2354" s="19">
        <v>0.35</v>
      </c>
      <c r="P2354" s="16">
        <v>140</v>
      </c>
      <c r="Q2354" s="16">
        <v>210</v>
      </c>
      <c r="R2354" s="16">
        <v>6</v>
      </c>
      <c r="S2354" s="18" t="s">
        <v>43</v>
      </c>
      <c r="T2354" s="18"/>
      <c r="U2354" s="17">
        <v>1500</v>
      </c>
      <c r="V2354" s="18" t="s">
        <v>44</v>
      </c>
      <c r="W2354" s="18" t="s">
        <v>69</v>
      </c>
      <c r="X2354" s="16">
        <v>10</v>
      </c>
      <c r="Y2354" s="43" t="str">
        <f>HYPERLINK("https://api-enni.alpina.ru/FilePrivilegesApproval/567","https://api-enni.alpina.ru/FilePrivilegesApproval/567")</f>
        <v>https://api-enni.alpina.ru/FilePrivilegesApproval/567</v>
      </c>
      <c r="Z2354" s="18"/>
      <c r="AS2354" s="1">
        <f>IF($A2354&lt;&gt;0,1,0)</f>
        <v>0</v>
      </c>
      <c r="AT2354" s="1">
        <f>$A2354*$B2354</f>
        <v>0</v>
      </c>
      <c r="AU2354" s="1">
        <f>$A2354*$O2354</f>
        <v>0</v>
      </c>
      <c r="AV2354" s="1">
        <f>IF($R2354=0,0,INT($A2354/$R2354))</f>
        <v>0</v>
      </c>
      <c r="AW2354" s="1">
        <f>$A2354-$AV2354*$R2354</f>
        <v>0</v>
      </c>
    </row>
    <row r="2355" ht="24.95" customHeight="1" outlineLevel="3" s="1" customFormat="1">
      <c r="A2355" s="15"/>
      <c r="B2355" s="16">
        <v>700</v>
      </c>
      <c r="C2355" s="17">
        <v>1050</v>
      </c>
      <c r="D2355" s="16">
        <v>33679</v>
      </c>
      <c r="E2355" s="18"/>
      <c r="F2355" s="18" t="s">
        <v>7690</v>
      </c>
      <c r="G2355" s="18" t="s">
        <v>7691</v>
      </c>
      <c r="H2355" s="18" t="s">
        <v>39</v>
      </c>
      <c r="I2355" s="18"/>
      <c r="J2355" s="16">
        <v>2026</v>
      </c>
      <c r="K2355" s="18" t="s">
        <v>7692</v>
      </c>
      <c r="L2355" s="16">
        <v>9785006305281</v>
      </c>
      <c r="M2355" s="18" t="s">
        <v>7693</v>
      </c>
      <c r="N2355" s="16">
        <v>464</v>
      </c>
      <c r="O2355" s="19">
        <v>0.44</v>
      </c>
      <c r="P2355" s="16">
        <v>140</v>
      </c>
      <c r="Q2355" s="16">
        <v>210</v>
      </c>
      <c r="R2355" s="16">
        <v>5</v>
      </c>
      <c r="S2355" s="18" t="s">
        <v>43</v>
      </c>
      <c r="T2355" s="18"/>
      <c r="U2355" s="17">
        <v>3000</v>
      </c>
      <c r="V2355" s="18" t="s">
        <v>44</v>
      </c>
      <c r="W2355" s="18" t="s">
        <v>69</v>
      </c>
      <c r="X2355" s="16">
        <v>10</v>
      </c>
      <c r="Y2355" s="43" t="str">
        <f>HYPERLINK("https://api-enni.alpina.ru/FilePrivilegesApproval/1096","https://api-enni.alpina.ru/FilePrivilegesApproval/1096")</f>
        <v>https://api-enni.alpina.ru/FilePrivilegesApproval/1096</v>
      </c>
      <c r="Z2355" s="18"/>
      <c r="AS2355" s="1">
        <f>IF($A2355&lt;&gt;0,1,0)</f>
        <v>0</v>
      </c>
      <c r="AT2355" s="1">
        <f>$A2355*$B2355</f>
        <v>0</v>
      </c>
      <c r="AU2355" s="1">
        <f>$A2355*$O2355</f>
        <v>0</v>
      </c>
      <c r="AV2355" s="1">
        <f>IF($R2355=0,0,INT($A2355/$R2355))</f>
        <v>0</v>
      </c>
      <c r="AW2355" s="1">
        <f>$A2355-$AV2355*$R2355</f>
        <v>0</v>
      </c>
    </row>
    <row r="2356" ht="24.95" customHeight="1" outlineLevel="3" s="1" customFormat="1">
      <c r="A2356" s="15"/>
      <c r="B2356" s="16">
        <v>490</v>
      </c>
      <c r="C2356" s="16">
        <v>760</v>
      </c>
      <c r="D2356" s="16">
        <v>29098</v>
      </c>
      <c r="E2356" s="18"/>
      <c r="F2356" s="18" t="s">
        <v>7694</v>
      </c>
      <c r="G2356" s="18" t="s">
        <v>7695</v>
      </c>
      <c r="H2356" s="18" t="s">
        <v>39</v>
      </c>
      <c r="I2356" s="18" t="s">
        <v>7393</v>
      </c>
      <c r="J2356" s="16">
        <v>2024</v>
      </c>
      <c r="K2356" s="18" t="s">
        <v>7696</v>
      </c>
      <c r="L2356" s="16">
        <v>9785961491425</v>
      </c>
      <c r="M2356" s="18" t="s">
        <v>7697</v>
      </c>
      <c r="N2356" s="16">
        <v>144</v>
      </c>
      <c r="O2356" s="19">
        <v>0.23</v>
      </c>
      <c r="P2356" s="16">
        <v>140</v>
      </c>
      <c r="Q2356" s="16">
        <v>210</v>
      </c>
      <c r="R2356" s="16">
        <v>12</v>
      </c>
      <c r="S2356" s="18" t="s">
        <v>43</v>
      </c>
      <c r="T2356" s="18"/>
      <c r="U2356" s="17">
        <v>2000</v>
      </c>
      <c r="V2356" s="18" t="s">
        <v>44</v>
      </c>
      <c r="W2356" s="18" t="s">
        <v>69</v>
      </c>
      <c r="X2356" s="16">
        <v>10</v>
      </c>
      <c r="Y2356" s="43" t="str">
        <f>HYPERLINK("https://api-enni.alpina.ru/FilePrivilegesApproval/345","https://api-enni.alpina.ru/FilePrivilegesApproval/345")</f>
        <v>https://api-enni.alpina.ru/FilePrivilegesApproval/345</v>
      </c>
      <c r="Z2356" s="18"/>
      <c r="AS2356" s="1">
        <f>IF($A2356&lt;&gt;0,1,0)</f>
        <v>0</v>
      </c>
      <c r="AT2356" s="1">
        <f>$A2356*$B2356</f>
        <v>0</v>
      </c>
      <c r="AU2356" s="1">
        <f>$A2356*$O2356</f>
        <v>0</v>
      </c>
      <c r="AV2356" s="1">
        <f>IF($R2356=0,0,INT($A2356/$R2356))</f>
        <v>0</v>
      </c>
      <c r="AW2356" s="1">
        <f>$A2356-$AV2356*$R2356</f>
        <v>0</v>
      </c>
    </row>
    <row r="2357" ht="24.95" customHeight="1" outlineLevel="3" s="1" customFormat="1">
      <c r="A2357" s="15"/>
      <c r="B2357" s="16">
        <v>490</v>
      </c>
      <c r="C2357" s="16">
        <v>760</v>
      </c>
      <c r="D2357" s="16">
        <v>28519</v>
      </c>
      <c r="E2357" s="18"/>
      <c r="F2357" s="18" t="s">
        <v>7698</v>
      </c>
      <c r="G2357" s="18" t="s">
        <v>7699</v>
      </c>
      <c r="H2357" s="18" t="s">
        <v>39</v>
      </c>
      <c r="I2357" s="18" t="s">
        <v>1296</v>
      </c>
      <c r="J2357" s="16">
        <v>2025</v>
      </c>
      <c r="K2357" s="18" t="s">
        <v>7700</v>
      </c>
      <c r="L2357" s="16">
        <v>9785961490671</v>
      </c>
      <c r="M2357" s="18" t="s">
        <v>7701</v>
      </c>
      <c r="N2357" s="16">
        <v>160</v>
      </c>
      <c r="O2357" s="19">
        <v>0.16</v>
      </c>
      <c r="P2357" s="16">
        <v>150</v>
      </c>
      <c r="Q2357" s="16">
        <v>220</v>
      </c>
      <c r="R2357" s="16">
        <v>12</v>
      </c>
      <c r="S2357" s="18" t="s">
        <v>43</v>
      </c>
      <c r="T2357" s="18"/>
      <c r="U2357" s="17">
        <v>3000</v>
      </c>
      <c r="V2357" s="18" t="s">
        <v>44</v>
      </c>
      <c r="W2357" s="18" t="s">
        <v>45</v>
      </c>
      <c r="X2357" s="16">
        <v>10</v>
      </c>
      <c r="Y2357" s="43" t="str">
        <f>HYPERLINK("https://api-enni.alpina.ru/FilePrivilegesApproval/970","https://api-enni.alpina.ru/FilePrivilegesApproval/970")</f>
        <v>https://api-enni.alpina.ru/FilePrivilegesApproval/970</v>
      </c>
      <c r="Z2357" s="18"/>
      <c r="AS2357" s="1">
        <f>IF($A2357&lt;&gt;0,1,0)</f>
        <v>0</v>
      </c>
      <c r="AT2357" s="1">
        <f>$A2357*$B2357</f>
        <v>0</v>
      </c>
      <c r="AU2357" s="1">
        <f>$A2357*$O2357</f>
        <v>0</v>
      </c>
      <c r="AV2357" s="1">
        <f>IF($R2357=0,0,INT($A2357/$R2357))</f>
        <v>0</v>
      </c>
      <c r="AW2357" s="1">
        <f>$A2357-$AV2357*$R2357</f>
        <v>0</v>
      </c>
    </row>
    <row r="2358" ht="24.95" customHeight="1" outlineLevel="3" s="1" customFormat="1">
      <c r="A2358" s="15"/>
      <c r="B2358" s="16">
        <v>700</v>
      </c>
      <c r="C2358" s="17">
        <v>1050</v>
      </c>
      <c r="D2358" s="16">
        <v>34853</v>
      </c>
      <c r="E2358" s="18"/>
      <c r="F2358" s="18" t="s">
        <v>7702</v>
      </c>
      <c r="G2358" s="18" t="s">
        <v>7703</v>
      </c>
      <c r="H2358" s="18" t="s">
        <v>39</v>
      </c>
      <c r="I2358" s="18"/>
      <c r="J2358" s="16">
        <v>2026</v>
      </c>
      <c r="K2358" s="18" t="s">
        <v>7704</v>
      </c>
      <c r="L2358" s="16">
        <v>9785006309340</v>
      </c>
      <c r="M2358" s="18" t="s">
        <v>7705</v>
      </c>
      <c r="N2358" s="16">
        <v>416</v>
      </c>
      <c r="O2358" s="19">
        <v>0.39</v>
      </c>
      <c r="P2358" s="16">
        <v>140</v>
      </c>
      <c r="Q2358" s="16">
        <v>210</v>
      </c>
      <c r="R2358" s="16">
        <v>6</v>
      </c>
      <c r="S2358" s="18" t="s">
        <v>43</v>
      </c>
      <c r="T2358" s="18"/>
      <c r="U2358" s="17">
        <v>3000</v>
      </c>
      <c r="V2358" s="18" t="s">
        <v>44</v>
      </c>
      <c r="W2358" s="18" t="s">
        <v>69</v>
      </c>
      <c r="X2358" s="16">
        <v>10</v>
      </c>
      <c r="Y2358" s="43" t="str">
        <f>HYPERLINK("https://api-enni.alpina.ru/FilePrivilegesApproval/1033","https://api-enni.alpina.ru/FilePrivilegesApproval/1033")</f>
        <v>https://api-enni.alpina.ru/FilePrivilegesApproval/1033</v>
      </c>
      <c r="Z2358" s="18"/>
      <c r="AS2358" s="1">
        <f>IF($A2358&lt;&gt;0,1,0)</f>
        <v>0</v>
      </c>
      <c r="AT2358" s="1">
        <f>$A2358*$B2358</f>
        <v>0</v>
      </c>
      <c r="AU2358" s="1">
        <f>$A2358*$O2358</f>
        <v>0</v>
      </c>
      <c r="AV2358" s="1">
        <f>IF($R2358=0,0,INT($A2358/$R2358))</f>
        <v>0</v>
      </c>
      <c r="AW2358" s="1">
        <f>$A2358-$AV2358*$R2358</f>
        <v>0</v>
      </c>
    </row>
    <row r="2359" ht="24.95" customHeight="1" outlineLevel="3" s="1" customFormat="1">
      <c r="A2359" s="15"/>
      <c r="B2359" s="16">
        <v>500</v>
      </c>
      <c r="C2359" s="16">
        <v>775</v>
      </c>
      <c r="D2359" s="16">
        <v>32053</v>
      </c>
      <c r="E2359" s="18"/>
      <c r="F2359" s="18" t="s">
        <v>7706</v>
      </c>
      <c r="G2359" s="18" t="s">
        <v>7707</v>
      </c>
      <c r="H2359" s="18" t="s">
        <v>39</v>
      </c>
      <c r="I2359" s="18" t="s">
        <v>7393</v>
      </c>
      <c r="J2359" s="16">
        <v>2026</v>
      </c>
      <c r="K2359" s="18" t="s">
        <v>7708</v>
      </c>
      <c r="L2359" s="16">
        <v>9785006301061</v>
      </c>
      <c r="M2359" s="18" t="s">
        <v>7709</v>
      </c>
      <c r="N2359" s="16">
        <v>192</v>
      </c>
      <c r="O2359" s="19">
        <v>0.3</v>
      </c>
      <c r="P2359" s="16">
        <v>140</v>
      </c>
      <c r="Q2359" s="16">
        <v>210</v>
      </c>
      <c r="R2359" s="16">
        <v>12</v>
      </c>
      <c r="S2359" s="18" t="s">
        <v>43</v>
      </c>
      <c r="T2359" s="18"/>
      <c r="U2359" s="17">
        <v>3000</v>
      </c>
      <c r="V2359" s="18" t="s">
        <v>44</v>
      </c>
      <c r="W2359" s="18" t="s">
        <v>69</v>
      </c>
      <c r="X2359" s="16">
        <v>10</v>
      </c>
      <c r="Y2359" s="43" t="str">
        <f>HYPERLINK("https://api-enni.alpina.ru/FilePrivilegesApproval/1187","https://api-enni.alpina.ru/FilePrivilegesApproval/1187")</f>
        <v>https://api-enni.alpina.ru/FilePrivilegesApproval/1187</v>
      </c>
      <c r="Z2359" s="18" t="s">
        <v>92</v>
      </c>
      <c r="AS2359" s="1">
        <f>IF($A2359&lt;&gt;0,1,0)</f>
        <v>0</v>
      </c>
      <c r="AT2359" s="1">
        <f>$A2359*$B2359</f>
        <v>0</v>
      </c>
      <c r="AU2359" s="1">
        <f>$A2359*$O2359</f>
        <v>0</v>
      </c>
      <c r="AV2359" s="1">
        <f>IF($R2359=0,0,INT($A2359/$R2359))</f>
        <v>0</v>
      </c>
      <c r="AW2359" s="1">
        <f>$A2359-$AV2359*$R2359</f>
        <v>0</v>
      </c>
    </row>
    <row r="2360" ht="24.95" customHeight="1" outlineLevel="3" s="1" customFormat="1">
      <c r="A2360" s="15"/>
      <c r="B2360" s="16">
        <v>500</v>
      </c>
      <c r="C2360" s="16">
        <v>775</v>
      </c>
      <c r="D2360" s="16">
        <v>32054</v>
      </c>
      <c r="E2360" s="18"/>
      <c r="F2360" s="18" t="s">
        <v>7706</v>
      </c>
      <c r="G2360" s="18" t="s">
        <v>7710</v>
      </c>
      <c r="H2360" s="18" t="s">
        <v>39</v>
      </c>
      <c r="I2360" s="18" t="s">
        <v>7393</v>
      </c>
      <c r="J2360" s="16">
        <v>2026</v>
      </c>
      <c r="K2360" s="18" t="s">
        <v>7711</v>
      </c>
      <c r="L2360" s="16">
        <v>9785006301078</v>
      </c>
      <c r="M2360" s="18" t="s">
        <v>7712</v>
      </c>
      <c r="N2360" s="16">
        <v>208</v>
      </c>
      <c r="O2360" s="19">
        <v>0.33</v>
      </c>
      <c r="P2360" s="16">
        <v>140</v>
      </c>
      <c r="Q2360" s="16">
        <v>210</v>
      </c>
      <c r="R2360" s="16">
        <v>12</v>
      </c>
      <c r="S2360" s="18" t="s">
        <v>43</v>
      </c>
      <c r="T2360" s="18"/>
      <c r="U2360" s="17">
        <v>3000</v>
      </c>
      <c r="V2360" s="18" t="s">
        <v>44</v>
      </c>
      <c r="W2360" s="18" t="s">
        <v>69</v>
      </c>
      <c r="X2360" s="16">
        <v>10</v>
      </c>
      <c r="Y2360" s="43" t="str">
        <f>HYPERLINK("https://api-enni.alpina.ru/FilePrivilegesApproval/1187","https://api-enni.alpina.ru/FilePrivilegesApproval/1187")</f>
        <v>https://api-enni.alpina.ru/FilePrivilegesApproval/1187</v>
      </c>
      <c r="Z2360" s="18" t="s">
        <v>92</v>
      </c>
      <c r="AS2360" s="1">
        <f>IF($A2360&lt;&gt;0,1,0)</f>
        <v>0</v>
      </c>
      <c r="AT2360" s="1">
        <f>$A2360*$B2360</f>
        <v>0</v>
      </c>
      <c r="AU2360" s="1">
        <f>$A2360*$O2360</f>
        <v>0</v>
      </c>
      <c r="AV2360" s="1">
        <f>IF($R2360=0,0,INT($A2360/$R2360))</f>
        <v>0</v>
      </c>
      <c r="AW2360" s="1">
        <f>$A2360-$AV2360*$R2360</f>
        <v>0</v>
      </c>
    </row>
    <row r="2361" ht="24.95" customHeight="1" outlineLevel="3" s="1" customFormat="1">
      <c r="A2361" s="15"/>
      <c r="B2361" s="16">
        <v>702</v>
      </c>
      <c r="C2361" s="17">
        <v>1018</v>
      </c>
      <c r="D2361" s="16">
        <v>29974</v>
      </c>
      <c r="E2361" s="18"/>
      <c r="F2361" s="18" t="s">
        <v>7713</v>
      </c>
      <c r="G2361" s="18" t="s">
        <v>7714</v>
      </c>
      <c r="H2361" s="18" t="s">
        <v>39</v>
      </c>
      <c r="I2361" s="18" t="s">
        <v>74</v>
      </c>
      <c r="J2361" s="16">
        <v>2025</v>
      </c>
      <c r="K2361" s="18" t="s">
        <v>7715</v>
      </c>
      <c r="L2361" s="16">
        <v>9785961494495</v>
      </c>
      <c r="M2361" s="18" t="s">
        <v>7716</v>
      </c>
      <c r="N2361" s="16">
        <v>448</v>
      </c>
      <c r="O2361" s="19">
        <v>0.42</v>
      </c>
      <c r="P2361" s="16">
        <v>140</v>
      </c>
      <c r="Q2361" s="16">
        <v>210</v>
      </c>
      <c r="R2361" s="16">
        <v>5</v>
      </c>
      <c r="S2361" s="18" t="s">
        <v>43</v>
      </c>
      <c r="T2361" s="18"/>
      <c r="U2361" s="17">
        <v>2000</v>
      </c>
      <c r="V2361" s="18" t="s">
        <v>44</v>
      </c>
      <c r="W2361" s="18" t="s">
        <v>45</v>
      </c>
      <c r="X2361" s="16">
        <v>22</v>
      </c>
      <c r="Y2361" s="43" t="str">
        <f>HYPERLINK("https://api-enni.alpina.ru/FilePrivilegesApproval/413","https://api-enni.alpina.ru/FilePrivilegesApproval/413")</f>
        <v>https://api-enni.alpina.ru/FilePrivilegesApproval/413</v>
      </c>
      <c r="Z2361" s="18"/>
      <c r="AS2361" s="1">
        <f>IF($A2361&lt;&gt;0,1,0)</f>
        <v>0</v>
      </c>
      <c r="AT2361" s="1">
        <f>$A2361*$B2361</f>
        <v>0</v>
      </c>
      <c r="AU2361" s="1">
        <f>$A2361*$O2361</f>
        <v>0</v>
      </c>
      <c r="AV2361" s="1">
        <f>IF($R2361=0,0,INT($A2361/$R2361))</f>
        <v>0</v>
      </c>
      <c r="AW2361" s="1">
        <f>$A2361-$AV2361*$R2361</f>
        <v>0</v>
      </c>
    </row>
    <row r="2362" ht="21.95" customHeight="1" outlineLevel="3" s="1" customFormat="1">
      <c r="A2362" s="15"/>
      <c r="B2362" s="16">
        <v>488</v>
      </c>
      <c r="C2362" s="16">
        <v>756</v>
      </c>
      <c r="D2362" s="16">
        <v>30321</v>
      </c>
      <c r="E2362" s="18"/>
      <c r="F2362" s="18" t="s">
        <v>7717</v>
      </c>
      <c r="G2362" s="18" t="s">
        <v>7718</v>
      </c>
      <c r="H2362" s="18" t="s">
        <v>39</v>
      </c>
      <c r="I2362" s="18" t="s">
        <v>74</v>
      </c>
      <c r="J2362" s="16">
        <v>2024</v>
      </c>
      <c r="K2362" s="18" t="s">
        <v>7719</v>
      </c>
      <c r="L2362" s="16">
        <v>9785961495157</v>
      </c>
      <c r="M2362" s="18" t="s">
        <v>7720</v>
      </c>
      <c r="N2362" s="16">
        <v>368</v>
      </c>
      <c r="O2362" s="19">
        <v>0.35</v>
      </c>
      <c r="P2362" s="16">
        <v>140</v>
      </c>
      <c r="Q2362" s="16">
        <v>210</v>
      </c>
      <c r="R2362" s="16">
        <v>4</v>
      </c>
      <c r="S2362" s="18" t="s">
        <v>43</v>
      </c>
      <c r="T2362" s="18"/>
      <c r="U2362" s="17">
        <v>3000</v>
      </c>
      <c r="V2362" s="18" t="s">
        <v>44</v>
      </c>
      <c r="W2362" s="18" t="s">
        <v>45</v>
      </c>
      <c r="X2362" s="16">
        <v>22</v>
      </c>
      <c r="Y2362" s="43" t="str">
        <f>HYPERLINK("","")</f>
      </c>
      <c r="Z2362" s="18"/>
      <c r="AS2362" s="1">
        <f>IF($A2362&lt;&gt;0,1,0)</f>
        <v>0</v>
      </c>
      <c r="AT2362" s="1">
        <f>$A2362*$B2362</f>
        <v>0</v>
      </c>
      <c r="AU2362" s="1">
        <f>$A2362*$O2362</f>
        <v>0</v>
      </c>
      <c r="AV2362" s="1">
        <f>IF($R2362=0,0,INT($A2362/$R2362))</f>
        <v>0</v>
      </c>
      <c r="AW2362" s="1">
        <f>$A2362-$AV2362*$R2362</f>
        <v>0</v>
      </c>
    </row>
    <row r="2363" ht="24.95" customHeight="1" outlineLevel="3" s="1" customFormat="1">
      <c r="A2363" s="15"/>
      <c r="B2363" s="16">
        <v>590</v>
      </c>
      <c r="C2363" s="16">
        <v>885</v>
      </c>
      <c r="D2363" s="16">
        <v>27520</v>
      </c>
      <c r="E2363" s="18"/>
      <c r="F2363" s="18" t="s">
        <v>7721</v>
      </c>
      <c r="G2363" s="18" t="s">
        <v>7722</v>
      </c>
      <c r="H2363" s="18" t="s">
        <v>39</v>
      </c>
      <c r="I2363" s="18"/>
      <c r="J2363" s="16">
        <v>2026</v>
      </c>
      <c r="K2363" s="18" t="s">
        <v>7723</v>
      </c>
      <c r="L2363" s="16">
        <v>9785961485479</v>
      </c>
      <c r="M2363" s="18" t="s">
        <v>7724</v>
      </c>
      <c r="N2363" s="16">
        <v>240</v>
      </c>
      <c r="O2363" s="19">
        <v>0.23</v>
      </c>
      <c r="P2363" s="16">
        <v>140</v>
      </c>
      <c r="Q2363" s="16">
        <v>210</v>
      </c>
      <c r="R2363" s="16">
        <v>8</v>
      </c>
      <c r="S2363" s="18" t="s">
        <v>43</v>
      </c>
      <c r="T2363" s="18" t="s">
        <v>381</v>
      </c>
      <c r="U2363" s="17">
        <v>1000</v>
      </c>
      <c r="V2363" s="18" t="s">
        <v>44</v>
      </c>
      <c r="W2363" s="18" t="s">
        <v>69</v>
      </c>
      <c r="X2363" s="16">
        <v>10</v>
      </c>
      <c r="Y2363" s="43" t="str">
        <f>HYPERLINK("https://api-enni.alpina.ru/FilePrivilegesApproval/335","https://api-enni.alpina.ru/FilePrivilegesApproval/335")</f>
        <v>https://api-enni.alpina.ru/FilePrivilegesApproval/335</v>
      </c>
      <c r="Z2363" s="18"/>
      <c r="AS2363" s="1">
        <f>IF($A2363&lt;&gt;0,1,0)</f>
        <v>0</v>
      </c>
      <c r="AT2363" s="1">
        <f>$A2363*$B2363</f>
        <v>0</v>
      </c>
      <c r="AU2363" s="1">
        <f>$A2363*$O2363</f>
        <v>0</v>
      </c>
      <c r="AV2363" s="1">
        <f>IF($R2363=0,0,INT($A2363/$R2363))</f>
        <v>0</v>
      </c>
      <c r="AW2363" s="1">
        <f>$A2363-$AV2363*$R2363</f>
        <v>0</v>
      </c>
    </row>
    <row r="2364" ht="21.95" customHeight="1" outlineLevel="3" s="1" customFormat="1">
      <c r="A2364" s="15"/>
      <c r="B2364" s="16">
        <v>550</v>
      </c>
      <c r="C2364" s="16">
        <v>852</v>
      </c>
      <c r="D2364" s="16">
        <v>29406</v>
      </c>
      <c r="E2364" s="18"/>
      <c r="F2364" s="18" t="s">
        <v>7725</v>
      </c>
      <c r="G2364" s="18" t="s">
        <v>7726</v>
      </c>
      <c r="H2364" s="18" t="s">
        <v>39</v>
      </c>
      <c r="I2364" s="18" t="s">
        <v>40</v>
      </c>
      <c r="J2364" s="16">
        <v>2026</v>
      </c>
      <c r="K2364" s="18" t="s">
        <v>7727</v>
      </c>
      <c r="L2364" s="16">
        <v>9785961492460</v>
      </c>
      <c r="M2364" s="18" t="s">
        <v>7728</v>
      </c>
      <c r="N2364" s="16">
        <v>544</v>
      </c>
      <c r="O2364" s="19">
        <v>0.64</v>
      </c>
      <c r="P2364" s="16">
        <v>140</v>
      </c>
      <c r="Q2364" s="16">
        <v>210</v>
      </c>
      <c r="R2364" s="16">
        <v>4</v>
      </c>
      <c r="S2364" s="18" t="s">
        <v>43</v>
      </c>
      <c r="T2364" s="18"/>
      <c r="U2364" s="17">
        <v>3000</v>
      </c>
      <c r="V2364" s="18" t="s">
        <v>44</v>
      </c>
      <c r="W2364" s="18" t="s">
        <v>45</v>
      </c>
      <c r="X2364" s="16">
        <v>22</v>
      </c>
      <c r="Y2364" s="43" t="str">
        <f>HYPERLINK("","")</f>
      </c>
      <c r="Z2364" s="18" t="s">
        <v>144</v>
      </c>
      <c r="AS2364" s="1">
        <f>IF($A2364&lt;&gt;0,1,0)</f>
        <v>0</v>
      </c>
      <c r="AT2364" s="1">
        <f>$A2364*$B2364</f>
        <v>0</v>
      </c>
      <c r="AU2364" s="1">
        <f>$A2364*$O2364</f>
        <v>0</v>
      </c>
      <c r="AV2364" s="1">
        <f>IF($R2364=0,0,INT($A2364/$R2364))</f>
        <v>0</v>
      </c>
      <c r="AW2364" s="1">
        <f>$A2364-$AV2364*$R2364</f>
        <v>0</v>
      </c>
    </row>
    <row r="2365" ht="24.95" customHeight="1" outlineLevel="3" s="1" customFormat="1">
      <c r="A2365" s="15"/>
      <c r="B2365" s="16">
        <v>550</v>
      </c>
      <c r="C2365" s="16">
        <v>852</v>
      </c>
      <c r="D2365" s="16">
        <v>31255</v>
      </c>
      <c r="E2365" s="18"/>
      <c r="F2365" s="18" t="s">
        <v>7729</v>
      </c>
      <c r="G2365" s="18" t="s">
        <v>7730</v>
      </c>
      <c r="H2365" s="18" t="s">
        <v>39</v>
      </c>
      <c r="I2365" s="18" t="s">
        <v>74</v>
      </c>
      <c r="J2365" s="16">
        <v>2026</v>
      </c>
      <c r="K2365" s="18" t="s">
        <v>7731</v>
      </c>
      <c r="L2365" s="16">
        <v>9785961498004</v>
      </c>
      <c r="M2365" s="18" t="s">
        <v>7732</v>
      </c>
      <c r="N2365" s="16">
        <v>400</v>
      </c>
      <c r="O2365" s="19">
        <v>0.37</v>
      </c>
      <c r="P2365" s="16">
        <v>140</v>
      </c>
      <c r="Q2365" s="16">
        <v>210</v>
      </c>
      <c r="R2365" s="16">
        <v>6</v>
      </c>
      <c r="S2365" s="18" t="s">
        <v>43</v>
      </c>
      <c r="T2365" s="18"/>
      <c r="U2365" s="17">
        <v>2000</v>
      </c>
      <c r="V2365" s="18" t="s">
        <v>44</v>
      </c>
      <c r="W2365" s="18" t="s">
        <v>69</v>
      </c>
      <c r="X2365" s="16">
        <v>10</v>
      </c>
      <c r="Y2365" s="43" t="str">
        <f>HYPERLINK("https://api-enni.alpina.ru/FilePrivilegesApproval/864","https://api-enni.alpina.ru/FilePrivilegesApproval/864")</f>
        <v>https://api-enni.alpina.ru/FilePrivilegesApproval/864</v>
      </c>
      <c r="Z2365" s="18" t="s">
        <v>251</v>
      </c>
      <c r="AS2365" s="1">
        <f>IF($A2365&lt;&gt;0,1,0)</f>
        <v>0</v>
      </c>
      <c r="AT2365" s="1">
        <f>$A2365*$B2365</f>
        <v>0</v>
      </c>
      <c r="AU2365" s="1">
        <f>$A2365*$O2365</f>
        <v>0</v>
      </c>
      <c r="AV2365" s="1">
        <f>IF($R2365=0,0,INT($A2365/$R2365))</f>
        <v>0</v>
      </c>
      <c r="AW2365" s="1">
        <f>$A2365-$AV2365*$R2365</f>
        <v>0</v>
      </c>
    </row>
    <row r="2366" ht="24.95" customHeight="1" outlineLevel="3" s="1" customFormat="1">
      <c r="A2366" s="15"/>
      <c r="B2366" s="16">
        <v>390</v>
      </c>
      <c r="C2366" s="16">
        <v>624</v>
      </c>
      <c r="D2366" s="16">
        <v>28410</v>
      </c>
      <c r="E2366" s="18"/>
      <c r="F2366" s="18" t="s">
        <v>696</v>
      </c>
      <c r="G2366" s="18" t="s">
        <v>697</v>
      </c>
      <c r="H2366" s="18" t="s">
        <v>39</v>
      </c>
      <c r="I2366" s="18"/>
      <c r="J2366" s="16">
        <v>2026</v>
      </c>
      <c r="K2366" s="18" t="s">
        <v>698</v>
      </c>
      <c r="L2366" s="16">
        <v>9785961488814</v>
      </c>
      <c r="M2366" s="18" t="s">
        <v>699</v>
      </c>
      <c r="N2366" s="16">
        <v>144</v>
      </c>
      <c r="O2366" s="19">
        <v>0.15</v>
      </c>
      <c r="P2366" s="16">
        <v>140</v>
      </c>
      <c r="Q2366" s="16">
        <v>210</v>
      </c>
      <c r="R2366" s="16">
        <v>12</v>
      </c>
      <c r="S2366" s="18" t="s">
        <v>43</v>
      </c>
      <c r="T2366" s="18" t="s">
        <v>381</v>
      </c>
      <c r="U2366" s="17">
        <v>5000</v>
      </c>
      <c r="V2366" s="18" t="s">
        <v>44</v>
      </c>
      <c r="W2366" s="18" t="s">
        <v>69</v>
      </c>
      <c r="X2366" s="16">
        <v>10</v>
      </c>
      <c r="Y2366" s="43" t="str">
        <f>HYPERLINK("https://api-enni.alpina.ru/FilePrivilegesApproval/335","https://api-enni.alpina.ru/FilePrivilegesApproval/335")</f>
        <v>https://api-enni.alpina.ru/FilePrivilegesApproval/335</v>
      </c>
      <c r="Z2366" s="18" t="s">
        <v>700</v>
      </c>
      <c r="AS2366" s="1">
        <f>IF($A2366&lt;&gt;0,1,0)</f>
        <v>0</v>
      </c>
      <c r="AT2366" s="1">
        <f>$A2366*$B2366</f>
        <v>0</v>
      </c>
      <c r="AU2366" s="1">
        <f>$A2366*$O2366</f>
        <v>0</v>
      </c>
      <c r="AV2366" s="1">
        <f>IF($R2366=0,0,INT($A2366/$R2366))</f>
        <v>0</v>
      </c>
      <c r="AW2366" s="1">
        <f>$A2366-$AV2366*$R2366</f>
        <v>0</v>
      </c>
    </row>
    <row r="2367" ht="21.95" customHeight="1" outlineLevel="3" s="1" customFormat="1">
      <c r="A2367" s="15"/>
      <c r="B2367" s="16">
        <v>468</v>
      </c>
      <c r="C2367" s="16">
        <v>725</v>
      </c>
      <c r="D2367" s="16">
        <v>29190</v>
      </c>
      <c r="E2367" s="18"/>
      <c r="F2367" s="18" t="s">
        <v>7733</v>
      </c>
      <c r="G2367" s="18" t="s">
        <v>7734</v>
      </c>
      <c r="H2367" s="18" t="s">
        <v>39</v>
      </c>
      <c r="I2367" s="18" t="s">
        <v>74</v>
      </c>
      <c r="J2367" s="16">
        <v>2024</v>
      </c>
      <c r="K2367" s="18" t="s">
        <v>7735</v>
      </c>
      <c r="L2367" s="16">
        <v>9785961491708</v>
      </c>
      <c r="M2367" s="18" t="s">
        <v>7736</v>
      </c>
      <c r="N2367" s="16">
        <v>432</v>
      </c>
      <c r="O2367" s="19">
        <v>0.4</v>
      </c>
      <c r="P2367" s="16">
        <v>140</v>
      </c>
      <c r="Q2367" s="16">
        <v>210</v>
      </c>
      <c r="R2367" s="16">
        <v>4</v>
      </c>
      <c r="S2367" s="18" t="s">
        <v>43</v>
      </c>
      <c r="T2367" s="18"/>
      <c r="U2367" s="17">
        <v>3000</v>
      </c>
      <c r="V2367" s="18" t="s">
        <v>44</v>
      </c>
      <c r="W2367" s="18" t="s">
        <v>45</v>
      </c>
      <c r="X2367" s="16">
        <v>22</v>
      </c>
      <c r="Y2367" s="43" t="str">
        <f>HYPERLINK("","")</f>
      </c>
      <c r="Z2367" s="18"/>
      <c r="AS2367" s="1">
        <f>IF($A2367&lt;&gt;0,1,0)</f>
        <v>0</v>
      </c>
      <c r="AT2367" s="1">
        <f>$A2367*$B2367</f>
        <v>0</v>
      </c>
      <c r="AU2367" s="1">
        <f>$A2367*$O2367</f>
        <v>0</v>
      </c>
      <c r="AV2367" s="1">
        <f>IF($R2367=0,0,INT($A2367/$R2367))</f>
        <v>0</v>
      </c>
      <c r="AW2367" s="1">
        <f>$A2367-$AV2367*$R2367</f>
        <v>0</v>
      </c>
    </row>
    <row r="2368" ht="24.95" customHeight="1" outlineLevel="3" s="1" customFormat="1">
      <c r="A2368" s="15"/>
      <c r="B2368" s="16">
        <v>420</v>
      </c>
      <c r="C2368" s="16">
        <v>651</v>
      </c>
      <c r="D2368" s="16">
        <v>27615</v>
      </c>
      <c r="E2368" s="18"/>
      <c r="F2368" s="18" t="s">
        <v>7737</v>
      </c>
      <c r="G2368" s="18" t="s">
        <v>7738</v>
      </c>
      <c r="H2368" s="18" t="s">
        <v>39</v>
      </c>
      <c r="I2368" s="18"/>
      <c r="J2368" s="16">
        <v>2024</v>
      </c>
      <c r="K2368" s="18" t="s">
        <v>7739</v>
      </c>
      <c r="L2368" s="16">
        <v>9785961485844</v>
      </c>
      <c r="M2368" s="18" t="s">
        <v>7740</v>
      </c>
      <c r="N2368" s="16">
        <v>256</v>
      </c>
      <c r="O2368" s="19">
        <v>0.25</v>
      </c>
      <c r="P2368" s="16">
        <v>140</v>
      </c>
      <c r="Q2368" s="16">
        <v>210</v>
      </c>
      <c r="R2368" s="16">
        <v>7</v>
      </c>
      <c r="S2368" s="18" t="s">
        <v>43</v>
      </c>
      <c r="T2368" s="18"/>
      <c r="U2368" s="17">
        <v>5000</v>
      </c>
      <c r="V2368" s="18" t="s">
        <v>44</v>
      </c>
      <c r="W2368" s="18" t="s">
        <v>69</v>
      </c>
      <c r="X2368" s="16">
        <v>10</v>
      </c>
      <c r="Y2368" s="43" t="str">
        <f>HYPERLINK("https://api-enni.alpina.ru/FilePrivilegesApproval/335","https://api-enni.alpina.ru/FilePrivilegesApproval/335")</f>
        <v>https://api-enni.alpina.ru/FilePrivilegesApproval/335</v>
      </c>
      <c r="Z2368" s="18"/>
      <c r="AS2368" s="1">
        <f>IF($A2368&lt;&gt;0,1,0)</f>
        <v>0</v>
      </c>
      <c r="AT2368" s="1">
        <f>$A2368*$B2368</f>
        <v>0</v>
      </c>
      <c r="AU2368" s="1">
        <f>$A2368*$O2368</f>
        <v>0</v>
      </c>
      <c r="AV2368" s="1">
        <f>IF($R2368=0,0,INT($A2368/$R2368))</f>
        <v>0</v>
      </c>
      <c r="AW2368" s="1">
        <f>$A2368-$AV2368*$R2368</f>
        <v>0</v>
      </c>
    </row>
    <row r="2369" ht="24.95" customHeight="1" outlineLevel="3" s="1" customFormat="1">
      <c r="A2369" s="15"/>
      <c r="B2369" s="16">
        <v>480</v>
      </c>
      <c r="C2369" s="16">
        <v>744</v>
      </c>
      <c r="D2369" s="16">
        <v>30323</v>
      </c>
      <c r="E2369" s="18"/>
      <c r="F2369" s="18" t="s">
        <v>7741</v>
      </c>
      <c r="G2369" s="18" t="s">
        <v>7742</v>
      </c>
      <c r="H2369" s="18" t="s">
        <v>39</v>
      </c>
      <c r="I2369" s="18"/>
      <c r="J2369" s="16">
        <v>2024</v>
      </c>
      <c r="K2369" s="18" t="s">
        <v>7743</v>
      </c>
      <c r="L2369" s="16">
        <v>9785961495171</v>
      </c>
      <c r="M2369" s="18" t="s">
        <v>7744</v>
      </c>
      <c r="N2369" s="16">
        <v>480</v>
      </c>
      <c r="O2369" s="19">
        <v>0.45</v>
      </c>
      <c r="P2369" s="16">
        <v>140</v>
      </c>
      <c r="Q2369" s="16">
        <v>210</v>
      </c>
      <c r="R2369" s="16">
        <v>4</v>
      </c>
      <c r="S2369" s="18" t="s">
        <v>43</v>
      </c>
      <c r="T2369" s="18"/>
      <c r="U2369" s="17">
        <v>3000</v>
      </c>
      <c r="V2369" s="18" t="s">
        <v>44</v>
      </c>
      <c r="W2369" s="18" t="s">
        <v>69</v>
      </c>
      <c r="X2369" s="16">
        <v>10</v>
      </c>
      <c r="Y2369" s="43" t="str">
        <f>HYPERLINK("https://api-enni.alpina.ru/FilePrivilegesApproval/709","https://api-enni.alpina.ru/FilePrivilegesApproval/709")</f>
        <v>https://api-enni.alpina.ru/FilePrivilegesApproval/709</v>
      </c>
      <c r="Z2369" s="18"/>
      <c r="AS2369" s="1">
        <f>IF($A2369&lt;&gt;0,1,0)</f>
        <v>0</v>
      </c>
      <c r="AT2369" s="1">
        <f>$A2369*$B2369</f>
        <v>0</v>
      </c>
      <c r="AU2369" s="1">
        <f>$A2369*$O2369</f>
        <v>0</v>
      </c>
      <c r="AV2369" s="1">
        <f>IF($R2369=0,0,INT($A2369/$R2369))</f>
        <v>0</v>
      </c>
      <c r="AW2369" s="1">
        <f>$A2369-$AV2369*$R2369</f>
        <v>0</v>
      </c>
    </row>
    <row r="2370" ht="24.95" customHeight="1" outlineLevel="3" s="1" customFormat="1">
      <c r="A2370" s="15"/>
      <c r="B2370" s="16">
        <v>480</v>
      </c>
      <c r="C2370" s="16">
        <v>744</v>
      </c>
      <c r="D2370" s="16">
        <v>30324</v>
      </c>
      <c r="E2370" s="18"/>
      <c r="F2370" s="18" t="s">
        <v>7741</v>
      </c>
      <c r="G2370" s="18" t="s">
        <v>7745</v>
      </c>
      <c r="H2370" s="18" t="s">
        <v>39</v>
      </c>
      <c r="I2370" s="18"/>
      <c r="J2370" s="16">
        <v>2025</v>
      </c>
      <c r="K2370" s="18" t="s">
        <v>7746</v>
      </c>
      <c r="L2370" s="16">
        <v>9785961495188</v>
      </c>
      <c r="M2370" s="18" t="s">
        <v>7747</v>
      </c>
      <c r="N2370" s="16">
        <v>576</v>
      </c>
      <c r="O2370" s="19">
        <v>0.54</v>
      </c>
      <c r="P2370" s="16">
        <v>140</v>
      </c>
      <c r="Q2370" s="16">
        <v>210</v>
      </c>
      <c r="R2370" s="16">
        <v>4</v>
      </c>
      <c r="S2370" s="18" t="s">
        <v>43</v>
      </c>
      <c r="T2370" s="18"/>
      <c r="U2370" s="17">
        <v>3000</v>
      </c>
      <c r="V2370" s="18" t="s">
        <v>44</v>
      </c>
      <c r="W2370" s="18" t="s">
        <v>69</v>
      </c>
      <c r="X2370" s="16">
        <v>10</v>
      </c>
      <c r="Y2370" s="43" t="str">
        <f>HYPERLINK("https://api-enni.alpina.ru/FilePrivilegesApproval/709","https://api-enni.alpina.ru/FilePrivilegesApproval/709")</f>
        <v>https://api-enni.alpina.ru/FilePrivilegesApproval/709</v>
      </c>
      <c r="Z2370" s="18"/>
      <c r="AS2370" s="1">
        <f>IF($A2370&lt;&gt;0,1,0)</f>
        <v>0</v>
      </c>
      <c r="AT2370" s="1">
        <f>$A2370*$B2370</f>
        <v>0</v>
      </c>
      <c r="AU2370" s="1">
        <f>$A2370*$O2370</f>
        <v>0</v>
      </c>
      <c r="AV2370" s="1">
        <f>IF($R2370=0,0,INT($A2370/$R2370))</f>
        <v>0</v>
      </c>
      <c r="AW2370" s="1">
        <f>$A2370-$AV2370*$R2370</f>
        <v>0</v>
      </c>
    </row>
    <row r="2371" ht="24.95" customHeight="1" outlineLevel="3" s="1" customFormat="1">
      <c r="A2371" s="15"/>
      <c r="B2371" s="16">
        <v>420</v>
      </c>
      <c r="C2371" s="16">
        <v>651</v>
      </c>
      <c r="D2371" s="16">
        <v>30322</v>
      </c>
      <c r="E2371" s="18"/>
      <c r="F2371" s="18" t="s">
        <v>7741</v>
      </c>
      <c r="G2371" s="18" t="s">
        <v>7748</v>
      </c>
      <c r="H2371" s="18" t="s">
        <v>39</v>
      </c>
      <c r="I2371" s="18"/>
      <c r="J2371" s="16">
        <v>2024</v>
      </c>
      <c r="K2371" s="18" t="s">
        <v>7749</v>
      </c>
      <c r="L2371" s="16">
        <v>9785961495164</v>
      </c>
      <c r="M2371" s="18" t="s">
        <v>7750</v>
      </c>
      <c r="N2371" s="16">
        <v>448</v>
      </c>
      <c r="O2371" s="19">
        <v>0.42</v>
      </c>
      <c r="P2371" s="16">
        <v>140</v>
      </c>
      <c r="Q2371" s="16">
        <v>210</v>
      </c>
      <c r="R2371" s="16">
        <v>5</v>
      </c>
      <c r="S2371" s="18" t="s">
        <v>43</v>
      </c>
      <c r="T2371" s="18"/>
      <c r="U2371" s="17">
        <v>3000</v>
      </c>
      <c r="V2371" s="18" t="s">
        <v>44</v>
      </c>
      <c r="W2371" s="18" t="s">
        <v>69</v>
      </c>
      <c r="X2371" s="16">
        <v>10</v>
      </c>
      <c r="Y2371" s="43" t="str">
        <f>HYPERLINK("https://api-enni.alpina.ru/FilePrivilegesApproval/699","https://api-enni.alpina.ru/FilePrivilegesApproval/699")</f>
        <v>https://api-enni.alpina.ru/FilePrivilegesApproval/699</v>
      </c>
      <c r="Z2371" s="18"/>
      <c r="AS2371" s="1">
        <f>IF($A2371&lt;&gt;0,1,0)</f>
        <v>0</v>
      </c>
      <c r="AT2371" s="1">
        <f>$A2371*$B2371</f>
        <v>0</v>
      </c>
      <c r="AU2371" s="1">
        <f>$A2371*$O2371</f>
        <v>0</v>
      </c>
      <c r="AV2371" s="1">
        <f>IF($R2371=0,0,INT($A2371/$R2371))</f>
        <v>0</v>
      </c>
      <c r="AW2371" s="1">
        <f>$A2371-$AV2371*$R2371</f>
        <v>0</v>
      </c>
    </row>
    <row r="2372" ht="24.95" customHeight="1" outlineLevel="3" s="1" customFormat="1">
      <c r="A2372" s="15"/>
      <c r="B2372" s="16">
        <v>500</v>
      </c>
      <c r="C2372" s="16">
        <v>775</v>
      </c>
      <c r="D2372" s="16">
        <v>32046</v>
      </c>
      <c r="E2372" s="18"/>
      <c r="F2372" s="18" t="s">
        <v>7751</v>
      </c>
      <c r="G2372" s="18" t="s">
        <v>7752</v>
      </c>
      <c r="H2372" s="18" t="s">
        <v>39</v>
      </c>
      <c r="I2372" s="18" t="s">
        <v>7393</v>
      </c>
      <c r="J2372" s="16">
        <v>2026</v>
      </c>
      <c r="K2372" s="18" t="s">
        <v>7753</v>
      </c>
      <c r="L2372" s="16">
        <v>9785006301009</v>
      </c>
      <c r="M2372" s="18" t="s">
        <v>7754</v>
      </c>
      <c r="N2372" s="16">
        <v>176</v>
      </c>
      <c r="O2372" s="19">
        <v>0.28</v>
      </c>
      <c r="P2372" s="16">
        <v>140</v>
      </c>
      <c r="Q2372" s="16">
        <v>210</v>
      </c>
      <c r="R2372" s="16">
        <v>14</v>
      </c>
      <c r="S2372" s="18" t="s">
        <v>43</v>
      </c>
      <c r="T2372" s="18"/>
      <c r="U2372" s="17">
        <v>3000</v>
      </c>
      <c r="V2372" s="18" t="s">
        <v>44</v>
      </c>
      <c r="W2372" s="18" t="s">
        <v>69</v>
      </c>
      <c r="X2372" s="16">
        <v>10</v>
      </c>
      <c r="Y2372" s="43" t="str">
        <f>HYPERLINK("https://api-enni.alpina.ru/FilePrivilegesApproval/1112","https://api-enni.alpina.ru/FilePrivilegesApproval/1112")</f>
        <v>https://api-enni.alpina.ru/FilePrivilegesApproval/1112</v>
      </c>
      <c r="Z2372" s="18" t="s">
        <v>874</v>
      </c>
      <c r="AS2372" s="1">
        <f>IF($A2372&lt;&gt;0,1,0)</f>
        <v>0</v>
      </c>
      <c r="AT2372" s="1">
        <f>$A2372*$B2372</f>
        <v>0</v>
      </c>
      <c r="AU2372" s="1">
        <f>$A2372*$O2372</f>
        <v>0</v>
      </c>
      <c r="AV2372" s="1">
        <f>IF($R2372=0,0,INT($A2372/$R2372))</f>
        <v>0</v>
      </c>
      <c r="AW2372" s="1">
        <f>$A2372-$AV2372*$R2372</f>
        <v>0</v>
      </c>
    </row>
    <row r="2373" ht="24.95" customHeight="1" outlineLevel="3" s="1" customFormat="1">
      <c r="A2373" s="15"/>
      <c r="B2373" s="16">
        <v>550</v>
      </c>
      <c r="C2373" s="16">
        <v>852</v>
      </c>
      <c r="D2373" s="16">
        <v>30022</v>
      </c>
      <c r="E2373" s="18"/>
      <c r="F2373" s="18" t="s">
        <v>7755</v>
      </c>
      <c r="G2373" s="18" t="s">
        <v>7756</v>
      </c>
      <c r="H2373" s="18" t="s">
        <v>39</v>
      </c>
      <c r="I2373" s="18" t="s">
        <v>74</v>
      </c>
      <c r="J2373" s="16">
        <v>2025</v>
      </c>
      <c r="K2373" s="18" t="s">
        <v>7757</v>
      </c>
      <c r="L2373" s="16">
        <v>9785961494617</v>
      </c>
      <c r="M2373" s="18" t="s">
        <v>7758</v>
      </c>
      <c r="N2373" s="16">
        <v>448</v>
      </c>
      <c r="O2373" s="19">
        <v>0.42</v>
      </c>
      <c r="P2373" s="16">
        <v>140</v>
      </c>
      <c r="Q2373" s="16">
        <v>210</v>
      </c>
      <c r="R2373" s="16">
        <v>4</v>
      </c>
      <c r="S2373" s="18" t="s">
        <v>43</v>
      </c>
      <c r="T2373" s="18"/>
      <c r="U2373" s="17">
        <v>2000</v>
      </c>
      <c r="V2373" s="18" t="s">
        <v>44</v>
      </c>
      <c r="W2373" s="18" t="s">
        <v>45</v>
      </c>
      <c r="X2373" s="16">
        <v>10</v>
      </c>
      <c r="Y2373" s="43" t="str">
        <f>HYPERLINK("https://api-enni.alpina.ru/FilePrivilegesApproval/791","https://api-enni.alpina.ru/FilePrivilegesApproval/791")</f>
        <v>https://api-enni.alpina.ru/FilePrivilegesApproval/791</v>
      </c>
      <c r="Z2373" s="18"/>
      <c r="AS2373" s="1">
        <f>IF($A2373&lt;&gt;0,1,0)</f>
        <v>0</v>
      </c>
      <c r="AT2373" s="1">
        <f>$A2373*$B2373</f>
        <v>0</v>
      </c>
      <c r="AU2373" s="1">
        <f>$A2373*$O2373</f>
        <v>0</v>
      </c>
      <c r="AV2373" s="1">
        <f>IF($R2373=0,0,INT($A2373/$R2373))</f>
        <v>0</v>
      </c>
      <c r="AW2373" s="1">
        <f>$A2373-$AV2373*$R2373</f>
        <v>0</v>
      </c>
    </row>
    <row r="2374" ht="24.95" customHeight="1" outlineLevel="3" s="1" customFormat="1">
      <c r="A2374" s="15"/>
      <c r="B2374" s="16">
        <v>690</v>
      </c>
      <c r="C2374" s="17">
        <v>1035</v>
      </c>
      <c r="D2374" s="16">
        <v>29261</v>
      </c>
      <c r="E2374" s="18"/>
      <c r="F2374" s="18" t="s">
        <v>7713</v>
      </c>
      <c r="G2374" s="18" t="s">
        <v>7759</v>
      </c>
      <c r="H2374" s="18" t="s">
        <v>39</v>
      </c>
      <c r="I2374" s="18" t="s">
        <v>74</v>
      </c>
      <c r="J2374" s="16">
        <v>2026</v>
      </c>
      <c r="K2374" s="18" t="s">
        <v>7760</v>
      </c>
      <c r="L2374" s="16">
        <v>9785961491906</v>
      </c>
      <c r="M2374" s="18" t="s">
        <v>7761</v>
      </c>
      <c r="N2374" s="16">
        <v>368</v>
      </c>
      <c r="O2374" s="19">
        <v>0.35</v>
      </c>
      <c r="P2374" s="16">
        <v>150</v>
      </c>
      <c r="Q2374" s="16">
        <v>210</v>
      </c>
      <c r="R2374" s="16">
        <v>6</v>
      </c>
      <c r="S2374" s="18" t="s">
        <v>43</v>
      </c>
      <c r="T2374" s="18"/>
      <c r="U2374" s="17">
        <v>1500</v>
      </c>
      <c r="V2374" s="18" t="s">
        <v>44</v>
      </c>
      <c r="W2374" s="18" t="s">
        <v>45</v>
      </c>
      <c r="X2374" s="16">
        <v>10</v>
      </c>
      <c r="Y2374" s="43" t="str">
        <f>HYPERLINK("https://api-enni.alpina.ru/FilePrivilegesApproval/492","https://api-enni.alpina.ru/FilePrivilegesApproval/492")</f>
        <v>https://api-enni.alpina.ru/FilePrivilegesApproval/492</v>
      </c>
      <c r="Z2374" s="18"/>
      <c r="AS2374" s="1">
        <f>IF($A2374&lt;&gt;0,1,0)</f>
        <v>0</v>
      </c>
      <c r="AT2374" s="1">
        <f>$A2374*$B2374</f>
        <v>0</v>
      </c>
      <c r="AU2374" s="1">
        <f>$A2374*$O2374</f>
        <v>0</v>
      </c>
      <c r="AV2374" s="1">
        <f>IF($R2374=0,0,INT($A2374/$R2374))</f>
        <v>0</v>
      </c>
      <c r="AW2374" s="1">
        <f>$A2374-$AV2374*$R2374</f>
        <v>0</v>
      </c>
    </row>
    <row r="2375" ht="24.95" customHeight="1" outlineLevel="3" s="1" customFormat="1">
      <c r="A2375" s="15"/>
      <c r="B2375" s="16">
        <v>600</v>
      </c>
      <c r="C2375" s="16">
        <v>900</v>
      </c>
      <c r="D2375" s="16">
        <v>30331</v>
      </c>
      <c r="E2375" s="18"/>
      <c r="F2375" s="18" t="s">
        <v>7729</v>
      </c>
      <c r="G2375" s="18" t="s">
        <v>7762</v>
      </c>
      <c r="H2375" s="18" t="s">
        <v>39</v>
      </c>
      <c r="I2375" s="18" t="s">
        <v>74</v>
      </c>
      <c r="J2375" s="16">
        <v>2025</v>
      </c>
      <c r="K2375" s="18" t="s">
        <v>7763</v>
      </c>
      <c r="L2375" s="16">
        <v>9785961495256</v>
      </c>
      <c r="M2375" s="18" t="s">
        <v>7764</v>
      </c>
      <c r="N2375" s="16">
        <v>320</v>
      </c>
      <c r="O2375" s="19">
        <v>0.31</v>
      </c>
      <c r="P2375" s="16">
        <v>140</v>
      </c>
      <c r="Q2375" s="16">
        <v>210</v>
      </c>
      <c r="R2375" s="16">
        <v>8</v>
      </c>
      <c r="S2375" s="18" t="s">
        <v>43</v>
      </c>
      <c r="T2375" s="18"/>
      <c r="U2375" s="17">
        <v>3000</v>
      </c>
      <c r="V2375" s="18" t="s">
        <v>44</v>
      </c>
      <c r="W2375" s="18" t="s">
        <v>69</v>
      </c>
      <c r="X2375" s="16">
        <v>10</v>
      </c>
      <c r="Y2375" s="43" t="str">
        <f>HYPERLINK("https://api-enni.alpina.ru/FilePrivilegesApproval/981","https://api-enni.alpina.ru/FilePrivilegesApproval/981")</f>
        <v>https://api-enni.alpina.ru/FilePrivilegesApproval/981</v>
      </c>
      <c r="Z2375" s="18"/>
      <c r="AS2375" s="1">
        <f>IF($A2375&lt;&gt;0,1,0)</f>
        <v>0</v>
      </c>
      <c r="AT2375" s="1">
        <f>$A2375*$B2375</f>
        <v>0</v>
      </c>
      <c r="AU2375" s="1">
        <f>$A2375*$O2375</f>
        <v>0</v>
      </c>
      <c r="AV2375" s="1">
        <f>IF($R2375=0,0,INT($A2375/$R2375))</f>
        <v>0</v>
      </c>
      <c r="AW2375" s="1">
        <f>$A2375-$AV2375*$R2375</f>
        <v>0</v>
      </c>
    </row>
    <row r="2376" ht="24.95" customHeight="1" outlineLevel="3" s="1" customFormat="1">
      <c r="A2376" s="15"/>
      <c r="B2376" s="16">
        <v>340</v>
      </c>
      <c r="C2376" s="16">
        <v>544</v>
      </c>
      <c r="D2376" s="16">
        <v>29678</v>
      </c>
      <c r="E2376" s="18"/>
      <c r="F2376" s="18" t="s">
        <v>7765</v>
      </c>
      <c r="G2376" s="18" t="s">
        <v>7766</v>
      </c>
      <c r="H2376" s="18" t="s">
        <v>39</v>
      </c>
      <c r="I2376" s="18" t="s">
        <v>74</v>
      </c>
      <c r="J2376" s="16">
        <v>2025</v>
      </c>
      <c r="K2376" s="18" t="s">
        <v>7767</v>
      </c>
      <c r="L2376" s="16">
        <v>9785961493399</v>
      </c>
      <c r="M2376" s="18" t="s">
        <v>7768</v>
      </c>
      <c r="N2376" s="16">
        <v>240</v>
      </c>
      <c r="O2376" s="19">
        <v>0.23</v>
      </c>
      <c r="P2376" s="16">
        <v>140</v>
      </c>
      <c r="Q2376" s="16">
        <v>210</v>
      </c>
      <c r="R2376" s="16">
        <v>8</v>
      </c>
      <c r="S2376" s="18" t="s">
        <v>43</v>
      </c>
      <c r="T2376" s="18"/>
      <c r="U2376" s="17">
        <v>3000</v>
      </c>
      <c r="V2376" s="18" t="s">
        <v>44</v>
      </c>
      <c r="W2376" s="18" t="s">
        <v>69</v>
      </c>
      <c r="X2376" s="16">
        <v>10</v>
      </c>
      <c r="Y2376" s="43" t="str">
        <f>HYPERLINK("https://api-enni.alpina.ru/FilePrivilegesApproval/350","https://api-enni.alpina.ru/FilePrivilegesApproval/350")</f>
        <v>https://api-enni.alpina.ru/FilePrivilegesApproval/350</v>
      </c>
      <c r="Z2376" s="18"/>
      <c r="AS2376" s="1">
        <f>IF($A2376&lt;&gt;0,1,0)</f>
        <v>0</v>
      </c>
      <c r="AT2376" s="1">
        <f>$A2376*$B2376</f>
        <v>0</v>
      </c>
      <c r="AU2376" s="1">
        <f>$A2376*$O2376</f>
        <v>0</v>
      </c>
      <c r="AV2376" s="1">
        <f>IF($R2376=0,0,INT($A2376/$R2376))</f>
        <v>0</v>
      </c>
      <c r="AW2376" s="1">
        <f>$A2376-$AV2376*$R2376</f>
        <v>0</v>
      </c>
    </row>
    <row r="2377" ht="24.95" customHeight="1" outlineLevel="3" s="1" customFormat="1">
      <c r="A2377" s="15"/>
      <c r="B2377" s="16">
        <v>600</v>
      </c>
      <c r="C2377" s="16">
        <v>900</v>
      </c>
      <c r="D2377" s="16">
        <v>30853</v>
      </c>
      <c r="E2377" s="18"/>
      <c r="F2377" s="18" t="s">
        <v>7769</v>
      </c>
      <c r="G2377" s="18" t="s">
        <v>7770</v>
      </c>
      <c r="H2377" s="18" t="s">
        <v>39</v>
      </c>
      <c r="I2377" s="18" t="s">
        <v>40</v>
      </c>
      <c r="J2377" s="16">
        <v>2025</v>
      </c>
      <c r="K2377" s="18" t="s">
        <v>7771</v>
      </c>
      <c r="L2377" s="16">
        <v>9785961496840</v>
      </c>
      <c r="M2377" s="18" t="s">
        <v>7772</v>
      </c>
      <c r="N2377" s="16">
        <v>496</v>
      </c>
      <c r="O2377" s="19">
        <v>0.47</v>
      </c>
      <c r="P2377" s="16">
        <v>140</v>
      </c>
      <c r="Q2377" s="16">
        <v>210</v>
      </c>
      <c r="R2377" s="16">
        <v>4</v>
      </c>
      <c r="S2377" s="18" t="s">
        <v>43</v>
      </c>
      <c r="T2377" s="18"/>
      <c r="U2377" s="17">
        <v>5000</v>
      </c>
      <c r="V2377" s="18" t="s">
        <v>44</v>
      </c>
      <c r="W2377" s="18" t="s">
        <v>69</v>
      </c>
      <c r="X2377" s="16">
        <v>10</v>
      </c>
      <c r="Y2377" s="43" t="str">
        <f>HYPERLINK("https://api-enni.alpina.ru/FilePrivilegesApproval/981","https://api-enni.alpina.ru/FilePrivilegesApproval/981")</f>
        <v>https://api-enni.alpina.ru/FilePrivilegesApproval/981</v>
      </c>
      <c r="Z2377" s="18"/>
      <c r="AS2377" s="1">
        <f>IF($A2377&lt;&gt;0,1,0)</f>
        <v>0</v>
      </c>
      <c r="AT2377" s="1">
        <f>$A2377*$B2377</f>
        <v>0</v>
      </c>
      <c r="AU2377" s="1">
        <f>$A2377*$O2377</f>
        <v>0</v>
      </c>
      <c r="AV2377" s="1">
        <f>IF($R2377=0,0,INT($A2377/$R2377))</f>
        <v>0</v>
      </c>
      <c r="AW2377" s="1">
        <f>$A2377-$AV2377*$R2377</f>
        <v>0</v>
      </c>
    </row>
    <row r="2378" ht="24.95" customHeight="1" outlineLevel="3" s="1" customFormat="1">
      <c r="A2378" s="15"/>
      <c r="B2378" s="16">
        <v>420</v>
      </c>
      <c r="C2378" s="16">
        <v>651</v>
      </c>
      <c r="D2378" s="16">
        <v>29649</v>
      </c>
      <c r="E2378" s="18"/>
      <c r="F2378" s="18" t="s">
        <v>7773</v>
      </c>
      <c r="G2378" s="18" t="s">
        <v>7774</v>
      </c>
      <c r="H2378" s="18" t="s">
        <v>39</v>
      </c>
      <c r="I2378" s="18" t="s">
        <v>74</v>
      </c>
      <c r="J2378" s="16">
        <v>2024</v>
      </c>
      <c r="K2378" s="18" t="s">
        <v>7775</v>
      </c>
      <c r="L2378" s="16">
        <v>9785961493313</v>
      </c>
      <c r="M2378" s="18" t="s">
        <v>7776</v>
      </c>
      <c r="N2378" s="16">
        <v>256</v>
      </c>
      <c r="O2378" s="19">
        <v>0.25</v>
      </c>
      <c r="P2378" s="16">
        <v>140</v>
      </c>
      <c r="Q2378" s="16">
        <v>210</v>
      </c>
      <c r="R2378" s="16">
        <v>8</v>
      </c>
      <c r="S2378" s="18" t="s">
        <v>43</v>
      </c>
      <c r="T2378" s="18"/>
      <c r="U2378" s="17">
        <v>3000</v>
      </c>
      <c r="V2378" s="18" t="s">
        <v>44</v>
      </c>
      <c r="W2378" s="18" t="s">
        <v>69</v>
      </c>
      <c r="X2378" s="16">
        <v>10</v>
      </c>
      <c r="Y2378" s="43" t="str">
        <f>HYPERLINK("https://api-enni.alpina.ru/FilePrivilegesApproval/513","https://api-enni.alpina.ru/FilePrivilegesApproval/513")</f>
        <v>https://api-enni.alpina.ru/FilePrivilegesApproval/513</v>
      </c>
      <c r="Z2378" s="18"/>
      <c r="AS2378" s="1">
        <f>IF($A2378&lt;&gt;0,1,0)</f>
        <v>0</v>
      </c>
      <c r="AT2378" s="1">
        <f>$A2378*$B2378</f>
        <v>0</v>
      </c>
      <c r="AU2378" s="1">
        <f>$A2378*$O2378</f>
        <v>0</v>
      </c>
      <c r="AV2378" s="1">
        <f>IF($R2378=0,0,INT($A2378/$R2378))</f>
        <v>0</v>
      </c>
      <c r="AW2378" s="1">
        <f>$A2378-$AV2378*$R2378</f>
        <v>0</v>
      </c>
    </row>
    <row r="2379" ht="24.95" customHeight="1" outlineLevel="3" s="1" customFormat="1">
      <c r="A2379" s="15"/>
      <c r="B2379" s="16">
        <v>420</v>
      </c>
      <c r="C2379" s="16">
        <v>651</v>
      </c>
      <c r="D2379" s="16">
        <v>29648</v>
      </c>
      <c r="E2379" s="18"/>
      <c r="F2379" s="18" t="s">
        <v>7777</v>
      </c>
      <c r="G2379" s="18" t="s">
        <v>7778</v>
      </c>
      <c r="H2379" s="18" t="s">
        <v>39</v>
      </c>
      <c r="I2379" s="18" t="s">
        <v>74</v>
      </c>
      <c r="J2379" s="16">
        <v>2024</v>
      </c>
      <c r="K2379" s="18" t="s">
        <v>7779</v>
      </c>
      <c r="L2379" s="16">
        <v>9785961493306</v>
      </c>
      <c r="M2379" s="18" t="s">
        <v>7780</v>
      </c>
      <c r="N2379" s="16">
        <v>320</v>
      </c>
      <c r="O2379" s="19">
        <v>0.3</v>
      </c>
      <c r="P2379" s="16">
        <v>150</v>
      </c>
      <c r="Q2379" s="16">
        <v>210</v>
      </c>
      <c r="R2379" s="16">
        <v>5</v>
      </c>
      <c r="S2379" s="18" t="s">
        <v>43</v>
      </c>
      <c r="T2379" s="18"/>
      <c r="U2379" s="17">
        <v>3000</v>
      </c>
      <c r="V2379" s="18" t="s">
        <v>44</v>
      </c>
      <c r="W2379" s="18" t="s">
        <v>69</v>
      </c>
      <c r="X2379" s="16">
        <v>10</v>
      </c>
      <c r="Y2379" s="43" t="str">
        <f>HYPERLINK("https://api-enni.alpina.ru/FilePrivilegesApproval/420","https://api-enni.alpina.ru/FilePrivilegesApproval/420")</f>
        <v>https://api-enni.alpina.ru/FilePrivilegesApproval/420</v>
      </c>
      <c r="Z2379" s="18"/>
      <c r="AS2379" s="1">
        <f>IF($A2379&lt;&gt;0,1,0)</f>
        <v>0</v>
      </c>
      <c r="AT2379" s="1">
        <f>$A2379*$B2379</f>
        <v>0</v>
      </c>
      <c r="AU2379" s="1">
        <f>$A2379*$O2379</f>
        <v>0</v>
      </c>
      <c r="AV2379" s="1">
        <f>IF($R2379=0,0,INT($A2379/$R2379))</f>
        <v>0</v>
      </c>
      <c r="AW2379" s="1">
        <f>$A2379-$AV2379*$R2379</f>
        <v>0</v>
      </c>
    </row>
    <row r="2380" ht="24.95" customHeight="1" outlineLevel="3" s="1" customFormat="1">
      <c r="A2380" s="15"/>
      <c r="B2380" s="16">
        <v>420</v>
      </c>
      <c r="C2380" s="16">
        <v>651</v>
      </c>
      <c r="D2380" s="16">
        <v>32047</v>
      </c>
      <c r="E2380" s="18"/>
      <c r="F2380" s="18" t="s">
        <v>7781</v>
      </c>
      <c r="G2380" s="18" t="s">
        <v>7782</v>
      </c>
      <c r="H2380" s="18" t="s">
        <v>39</v>
      </c>
      <c r="I2380" s="18"/>
      <c r="J2380" s="16">
        <v>2026</v>
      </c>
      <c r="K2380" s="18" t="s">
        <v>7783</v>
      </c>
      <c r="L2380" s="16">
        <v>9785006301016</v>
      </c>
      <c r="M2380" s="18" t="s">
        <v>7784</v>
      </c>
      <c r="N2380" s="16">
        <v>480</v>
      </c>
      <c r="O2380" s="19">
        <v>0.45</v>
      </c>
      <c r="P2380" s="16">
        <v>140</v>
      </c>
      <c r="Q2380" s="16">
        <v>210</v>
      </c>
      <c r="R2380" s="16">
        <v>4</v>
      </c>
      <c r="S2380" s="18" t="s">
        <v>43</v>
      </c>
      <c r="T2380" s="18"/>
      <c r="U2380" s="17">
        <v>1500</v>
      </c>
      <c r="V2380" s="18" t="s">
        <v>44</v>
      </c>
      <c r="W2380" s="18" t="s">
        <v>45</v>
      </c>
      <c r="X2380" s="16">
        <v>10</v>
      </c>
      <c r="Y2380" s="43" t="str">
        <f>HYPERLINK("https://api-enni.alpina.ru/FilePrivilegesApproval/791","https://api-enni.alpina.ru/FilePrivilegesApproval/791")</f>
        <v>https://api-enni.alpina.ru/FilePrivilegesApproval/791</v>
      </c>
      <c r="Z2380" s="18" t="s">
        <v>251</v>
      </c>
      <c r="AS2380" s="1">
        <f>IF($A2380&lt;&gt;0,1,0)</f>
        <v>0</v>
      </c>
      <c r="AT2380" s="1">
        <f>$A2380*$B2380</f>
        <v>0</v>
      </c>
      <c r="AU2380" s="1">
        <f>$A2380*$O2380</f>
        <v>0</v>
      </c>
      <c r="AV2380" s="1">
        <f>IF($R2380=0,0,INT($A2380/$R2380))</f>
        <v>0</v>
      </c>
      <c r="AW2380" s="1">
        <f>$A2380-$AV2380*$R2380</f>
        <v>0</v>
      </c>
    </row>
    <row r="2381" ht="24.95" customHeight="1" outlineLevel="3" s="1" customFormat="1">
      <c r="A2381" s="15"/>
      <c r="B2381" s="16">
        <v>590</v>
      </c>
      <c r="C2381" s="16">
        <v>885</v>
      </c>
      <c r="D2381" s="16">
        <v>28159</v>
      </c>
      <c r="E2381" s="18"/>
      <c r="F2381" s="18" t="s">
        <v>7785</v>
      </c>
      <c r="G2381" s="18" t="s">
        <v>7786</v>
      </c>
      <c r="H2381" s="18" t="s">
        <v>39</v>
      </c>
      <c r="I2381" s="18"/>
      <c r="J2381" s="16">
        <v>2026</v>
      </c>
      <c r="K2381" s="18" t="s">
        <v>7787</v>
      </c>
      <c r="L2381" s="16">
        <v>9785961487459</v>
      </c>
      <c r="M2381" s="18" t="s">
        <v>7788</v>
      </c>
      <c r="N2381" s="16">
        <v>496</v>
      </c>
      <c r="O2381" s="19">
        <v>0.46</v>
      </c>
      <c r="P2381" s="16">
        <v>140</v>
      </c>
      <c r="Q2381" s="16">
        <v>210</v>
      </c>
      <c r="R2381" s="16">
        <v>4</v>
      </c>
      <c r="S2381" s="18" t="s">
        <v>43</v>
      </c>
      <c r="T2381" s="18"/>
      <c r="U2381" s="17">
        <v>3000</v>
      </c>
      <c r="V2381" s="18" t="s">
        <v>44</v>
      </c>
      <c r="W2381" s="18" t="s">
        <v>69</v>
      </c>
      <c r="X2381" s="16">
        <v>10</v>
      </c>
      <c r="Y2381" s="43" t="str">
        <f>HYPERLINK("https://api-enni.alpina.ru/FilePrivilegesApproval/335","https://api-enni.alpina.ru/FilePrivilegesApproval/335")</f>
        <v>https://api-enni.alpina.ru/FilePrivilegesApproval/335</v>
      </c>
      <c r="Z2381" s="18"/>
      <c r="AS2381" s="1">
        <f>IF($A2381&lt;&gt;0,1,0)</f>
        <v>0</v>
      </c>
      <c r="AT2381" s="1">
        <f>$A2381*$B2381</f>
        <v>0</v>
      </c>
      <c r="AU2381" s="1">
        <f>$A2381*$O2381</f>
        <v>0</v>
      </c>
      <c r="AV2381" s="1">
        <f>IF($R2381=0,0,INT($A2381/$R2381))</f>
        <v>0</v>
      </c>
      <c r="AW2381" s="1">
        <f>$A2381-$AV2381*$R2381</f>
        <v>0</v>
      </c>
    </row>
    <row r="2382" ht="24.95" customHeight="1" outlineLevel="3" s="1" customFormat="1">
      <c r="A2382" s="15"/>
      <c r="B2382" s="16">
        <v>580</v>
      </c>
      <c r="C2382" s="16">
        <v>870</v>
      </c>
      <c r="D2382" s="16">
        <v>29479</v>
      </c>
      <c r="E2382" s="18"/>
      <c r="F2382" s="18" t="s">
        <v>7678</v>
      </c>
      <c r="G2382" s="18" t="s">
        <v>7789</v>
      </c>
      <c r="H2382" s="18" t="s">
        <v>39</v>
      </c>
      <c r="I2382" s="18" t="s">
        <v>40</v>
      </c>
      <c r="J2382" s="16">
        <v>2026</v>
      </c>
      <c r="K2382" s="18" t="s">
        <v>7790</v>
      </c>
      <c r="L2382" s="16">
        <v>9785961492750</v>
      </c>
      <c r="M2382" s="18" t="s">
        <v>7791</v>
      </c>
      <c r="N2382" s="16">
        <v>608</v>
      </c>
      <c r="O2382" s="19">
        <v>0.57</v>
      </c>
      <c r="P2382" s="16">
        <v>140</v>
      </c>
      <c r="Q2382" s="16">
        <v>210</v>
      </c>
      <c r="R2382" s="16">
        <v>4</v>
      </c>
      <c r="S2382" s="18" t="s">
        <v>43</v>
      </c>
      <c r="T2382" s="18"/>
      <c r="U2382" s="17">
        <v>3000</v>
      </c>
      <c r="V2382" s="18" t="s">
        <v>44</v>
      </c>
      <c r="W2382" s="18" t="s">
        <v>45</v>
      </c>
      <c r="X2382" s="16">
        <v>10</v>
      </c>
      <c r="Y2382" s="43" t="str">
        <f>HYPERLINK("https://api-enni.alpina.ru/FilePrivilegesApproval/791","https://api-enni.alpina.ru/FilePrivilegesApproval/791")</f>
        <v>https://api-enni.alpina.ru/FilePrivilegesApproval/791</v>
      </c>
      <c r="Z2382" s="18"/>
      <c r="AS2382" s="1">
        <f>IF($A2382&lt;&gt;0,1,0)</f>
        <v>0</v>
      </c>
      <c r="AT2382" s="1">
        <f>$A2382*$B2382</f>
        <v>0</v>
      </c>
      <c r="AU2382" s="1">
        <f>$A2382*$O2382</f>
        <v>0</v>
      </c>
      <c r="AV2382" s="1">
        <f>IF($R2382=0,0,INT($A2382/$R2382))</f>
        <v>0</v>
      </c>
      <c r="AW2382" s="1">
        <f>$A2382-$AV2382*$R2382</f>
        <v>0</v>
      </c>
    </row>
    <row r="2383" ht="24.95" customHeight="1" outlineLevel="3" s="1" customFormat="1">
      <c r="A2383" s="15"/>
      <c r="B2383" s="16">
        <v>790</v>
      </c>
      <c r="C2383" s="17">
        <v>1146</v>
      </c>
      <c r="D2383" s="16">
        <v>33288</v>
      </c>
      <c r="E2383" s="18"/>
      <c r="F2383" s="18" t="s">
        <v>7792</v>
      </c>
      <c r="G2383" s="18" t="s">
        <v>7793</v>
      </c>
      <c r="H2383" s="18" t="s">
        <v>39</v>
      </c>
      <c r="I2383" s="18" t="s">
        <v>74</v>
      </c>
      <c r="J2383" s="16">
        <v>2025</v>
      </c>
      <c r="K2383" s="18" t="s">
        <v>7794</v>
      </c>
      <c r="L2383" s="16">
        <v>9785006304154</v>
      </c>
      <c r="M2383" s="18" t="s">
        <v>7795</v>
      </c>
      <c r="N2383" s="16">
        <v>464</v>
      </c>
      <c r="O2383" s="19">
        <v>0.44</v>
      </c>
      <c r="P2383" s="16">
        <v>140</v>
      </c>
      <c r="Q2383" s="16">
        <v>210</v>
      </c>
      <c r="R2383" s="16">
        <v>4</v>
      </c>
      <c r="S2383" s="18" t="s">
        <v>43</v>
      </c>
      <c r="T2383" s="18"/>
      <c r="U2383" s="17">
        <v>5000</v>
      </c>
      <c r="V2383" s="18" t="s">
        <v>44</v>
      </c>
      <c r="W2383" s="18" t="s">
        <v>45</v>
      </c>
      <c r="X2383" s="16">
        <v>10</v>
      </c>
      <c r="Y2383" s="43" t="str">
        <f>HYPERLINK("https://api-enni.alpina.ru/FilePrivilegesApproval/1070","https://api-enni.alpina.ru/FilePrivilegesApproval/1070")</f>
        <v>https://api-enni.alpina.ru/FilePrivilegesApproval/1070</v>
      </c>
      <c r="Z2383" s="18"/>
      <c r="AS2383" s="1">
        <f>IF($A2383&lt;&gt;0,1,0)</f>
        <v>0</v>
      </c>
      <c r="AT2383" s="1">
        <f>$A2383*$B2383</f>
        <v>0</v>
      </c>
      <c r="AU2383" s="1">
        <f>$A2383*$O2383</f>
        <v>0</v>
      </c>
      <c r="AV2383" s="1">
        <f>IF($R2383=0,0,INT($A2383/$R2383))</f>
        <v>0</v>
      </c>
      <c r="AW2383" s="1">
        <f>$A2383-$AV2383*$R2383</f>
        <v>0</v>
      </c>
    </row>
    <row r="2384" ht="24.95" customHeight="1" outlineLevel="3" s="1" customFormat="1">
      <c r="A2384" s="15"/>
      <c r="B2384" s="16">
        <v>390</v>
      </c>
      <c r="C2384" s="16">
        <v>624</v>
      </c>
      <c r="D2384" s="16">
        <v>29100</v>
      </c>
      <c r="E2384" s="18"/>
      <c r="F2384" s="18" t="s">
        <v>7796</v>
      </c>
      <c r="G2384" s="18" t="s">
        <v>7797</v>
      </c>
      <c r="H2384" s="18" t="s">
        <v>39</v>
      </c>
      <c r="I2384" s="18" t="s">
        <v>74</v>
      </c>
      <c r="J2384" s="16">
        <v>2024</v>
      </c>
      <c r="K2384" s="18" t="s">
        <v>7798</v>
      </c>
      <c r="L2384" s="16">
        <v>9785961491449</v>
      </c>
      <c r="M2384" s="18" t="s">
        <v>7799</v>
      </c>
      <c r="N2384" s="16">
        <v>272</v>
      </c>
      <c r="O2384" s="19">
        <v>0.26</v>
      </c>
      <c r="P2384" s="16">
        <v>140</v>
      </c>
      <c r="Q2384" s="16">
        <v>210</v>
      </c>
      <c r="R2384" s="16">
        <v>6</v>
      </c>
      <c r="S2384" s="18" t="s">
        <v>43</v>
      </c>
      <c r="T2384" s="18"/>
      <c r="U2384" s="17">
        <v>5000</v>
      </c>
      <c r="V2384" s="18" t="s">
        <v>44</v>
      </c>
      <c r="W2384" s="18" t="s">
        <v>45</v>
      </c>
      <c r="X2384" s="16">
        <v>10</v>
      </c>
      <c r="Y2384" s="43" t="str">
        <f>HYPERLINK("https://api-enni.alpina.ru/FilePrivilegesApproval/413","https://api-enni.alpina.ru/FilePrivilegesApproval/413")</f>
        <v>https://api-enni.alpina.ru/FilePrivilegesApproval/413</v>
      </c>
      <c r="Z2384" s="18"/>
      <c r="AS2384" s="1">
        <f>IF($A2384&lt;&gt;0,1,0)</f>
        <v>0</v>
      </c>
      <c r="AT2384" s="1">
        <f>$A2384*$B2384</f>
        <v>0</v>
      </c>
      <c r="AU2384" s="1">
        <f>$A2384*$O2384</f>
        <v>0</v>
      </c>
      <c r="AV2384" s="1">
        <f>IF($R2384=0,0,INT($A2384/$R2384))</f>
        <v>0</v>
      </c>
      <c r="AW2384" s="1">
        <f>$A2384-$AV2384*$R2384</f>
        <v>0</v>
      </c>
    </row>
    <row r="2385" ht="24.95" customHeight="1" outlineLevel="3" s="1" customFormat="1">
      <c r="A2385" s="15"/>
      <c r="B2385" s="16">
        <v>500</v>
      </c>
      <c r="C2385" s="16">
        <v>775</v>
      </c>
      <c r="D2385" s="16">
        <v>30259</v>
      </c>
      <c r="E2385" s="18"/>
      <c r="F2385" s="18" t="s">
        <v>7800</v>
      </c>
      <c r="G2385" s="18" t="s">
        <v>7801</v>
      </c>
      <c r="H2385" s="18" t="s">
        <v>39</v>
      </c>
      <c r="I2385" s="18" t="s">
        <v>7393</v>
      </c>
      <c r="J2385" s="16">
        <v>2025</v>
      </c>
      <c r="K2385" s="18" t="s">
        <v>7802</v>
      </c>
      <c r="L2385" s="16">
        <v>9785961495072</v>
      </c>
      <c r="M2385" s="18" t="s">
        <v>7803</v>
      </c>
      <c r="N2385" s="16">
        <v>240</v>
      </c>
      <c r="O2385" s="19">
        <v>0.38</v>
      </c>
      <c r="P2385" s="16">
        <v>150</v>
      </c>
      <c r="Q2385" s="16">
        <v>210</v>
      </c>
      <c r="R2385" s="16">
        <v>16</v>
      </c>
      <c r="S2385" s="18" t="s">
        <v>43</v>
      </c>
      <c r="T2385" s="18"/>
      <c r="U2385" s="17">
        <v>1000</v>
      </c>
      <c r="V2385" s="18" t="s">
        <v>44</v>
      </c>
      <c r="W2385" s="18" t="s">
        <v>45</v>
      </c>
      <c r="X2385" s="16">
        <v>10</v>
      </c>
      <c r="Y2385" s="43" t="str">
        <f>HYPERLINK("https://api-enni.alpina.ru/FilePrivilegesApproval/709","https://api-enni.alpina.ru/FilePrivilegesApproval/709")</f>
        <v>https://api-enni.alpina.ru/FilePrivilegesApproval/709</v>
      </c>
      <c r="Z2385" s="18"/>
      <c r="AS2385" s="1">
        <f>IF($A2385&lt;&gt;0,1,0)</f>
        <v>0</v>
      </c>
      <c r="AT2385" s="1">
        <f>$A2385*$B2385</f>
        <v>0</v>
      </c>
      <c r="AU2385" s="1">
        <f>$A2385*$O2385</f>
        <v>0</v>
      </c>
      <c r="AV2385" s="1">
        <f>IF($R2385=0,0,INT($A2385/$R2385))</f>
        <v>0</v>
      </c>
      <c r="AW2385" s="1">
        <f>$A2385-$AV2385*$R2385</f>
        <v>0</v>
      </c>
    </row>
    <row r="2386" ht="24.95" customHeight="1" outlineLevel="3" s="1" customFormat="1">
      <c r="A2386" s="15"/>
      <c r="B2386" s="16">
        <v>540</v>
      </c>
      <c r="C2386" s="16">
        <v>837</v>
      </c>
      <c r="D2386" s="16">
        <v>31499</v>
      </c>
      <c r="E2386" s="18"/>
      <c r="F2386" s="18" t="s">
        <v>844</v>
      </c>
      <c r="G2386" s="18" t="s">
        <v>845</v>
      </c>
      <c r="H2386" s="18" t="s">
        <v>39</v>
      </c>
      <c r="I2386" s="18"/>
      <c r="J2386" s="16">
        <v>2026</v>
      </c>
      <c r="K2386" s="18" t="s">
        <v>846</v>
      </c>
      <c r="L2386" s="16">
        <v>9785961499063</v>
      </c>
      <c r="M2386" s="18" t="s">
        <v>847</v>
      </c>
      <c r="N2386" s="16">
        <v>272</v>
      </c>
      <c r="O2386" s="19">
        <v>0.24</v>
      </c>
      <c r="P2386" s="16">
        <v>140</v>
      </c>
      <c r="Q2386" s="16">
        <v>210</v>
      </c>
      <c r="R2386" s="16">
        <v>8</v>
      </c>
      <c r="S2386" s="18" t="s">
        <v>43</v>
      </c>
      <c r="T2386" s="18"/>
      <c r="U2386" s="17">
        <v>5000</v>
      </c>
      <c r="V2386" s="18" t="s">
        <v>44</v>
      </c>
      <c r="W2386" s="18" t="s">
        <v>45</v>
      </c>
      <c r="X2386" s="16">
        <v>10</v>
      </c>
      <c r="Y2386" s="43" t="str">
        <f>HYPERLINK("https://api-enni.alpina.ru/FilePrivilegesApproval/768","https://api-enni.alpina.ru/FilePrivilegesApproval/768")</f>
        <v>https://api-enni.alpina.ru/FilePrivilegesApproval/768</v>
      </c>
      <c r="Z2386" s="18"/>
      <c r="AS2386" s="1">
        <f>IF($A2386&lt;&gt;0,1,0)</f>
        <v>0</v>
      </c>
      <c r="AT2386" s="1">
        <f>$A2386*$B2386</f>
        <v>0</v>
      </c>
      <c r="AU2386" s="1">
        <f>$A2386*$O2386</f>
        <v>0</v>
      </c>
      <c r="AV2386" s="1">
        <f>IF($R2386=0,0,INT($A2386/$R2386))</f>
        <v>0</v>
      </c>
      <c r="AW2386" s="1">
        <f>$A2386-$AV2386*$R2386</f>
        <v>0</v>
      </c>
    </row>
    <row r="2387" ht="24.95" customHeight="1" outlineLevel="3" s="1" customFormat="1">
      <c r="A2387" s="15"/>
      <c r="B2387" s="16">
        <v>700</v>
      </c>
      <c r="C2387" s="17">
        <v>1050</v>
      </c>
      <c r="D2387" s="16">
        <v>30320</v>
      </c>
      <c r="E2387" s="18"/>
      <c r="F2387" s="18" t="s">
        <v>7741</v>
      </c>
      <c r="G2387" s="18" t="s">
        <v>7804</v>
      </c>
      <c r="H2387" s="18" t="s">
        <v>39</v>
      </c>
      <c r="I2387" s="18"/>
      <c r="J2387" s="16">
        <v>2026</v>
      </c>
      <c r="K2387" s="18" t="s">
        <v>7805</v>
      </c>
      <c r="L2387" s="16">
        <v>9785961495140</v>
      </c>
      <c r="M2387" s="18" t="s">
        <v>7806</v>
      </c>
      <c r="N2387" s="16">
        <v>368</v>
      </c>
      <c r="O2387" s="19">
        <v>0.35</v>
      </c>
      <c r="P2387" s="16">
        <v>140</v>
      </c>
      <c r="Q2387" s="16">
        <v>210</v>
      </c>
      <c r="R2387" s="16">
        <v>6</v>
      </c>
      <c r="S2387" s="18" t="s">
        <v>43</v>
      </c>
      <c r="T2387" s="18"/>
      <c r="U2387" s="17">
        <v>2000</v>
      </c>
      <c r="V2387" s="18" t="s">
        <v>44</v>
      </c>
      <c r="W2387" s="18" t="s">
        <v>69</v>
      </c>
      <c r="X2387" s="16">
        <v>10</v>
      </c>
      <c r="Y2387" s="43" t="str">
        <f>HYPERLINK("https://api-enni.alpina.ru/FilePrivilegesApproval/420","https://api-enni.alpina.ru/FilePrivilegesApproval/420")</f>
        <v>https://api-enni.alpina.ru/FilePrivilegesApproval/420</v>
      </c>
      <c r="Z2387" s="18"/>
      <c r="AS2387" s="1">
        <f>IF($A2387&lt;&gt;0,1,0)</f>
        <v>0</v>
      </c>
      <c r="AT2387" s="1">
        <f>$A2387*$B2387</f>
        <v>0</v>
      </c>
      <c r="AU2387" s="1">
        <f>$A2387*$O2387</f>
        <v>0</v>
      </c>
      <c r="AV2387" s="1">
        <f>IF($R2387=0,0,INT($A2387/$R2387))</f>
        <v>0</v>
      </c>
      <c r="AW2387" s="1">
        <f>$A2387-$AV2387*$R2387</f>
        <v>0</v>
      </c>
    </row>
    <row r="2388" ht="24.95" customHeight="1" outlineLevel="3" s="1" customFormat="1">
      <c r="A2388" s="15"/>
      <c r="B2388" s="16">
        <v>650</v>
      </c>
      <c r="C2388" s="16">
        <v>975</v>
      </c>
      <c r="D2388" s="16">
        <v>32048</v>
      </c>
      <c r="E2388" s="18"/>
      <c r="F2388" s="18" t="s">
        <v>848</v>
      </c>
      <c r="G2388" s="18" t="s">
        <v>849</v>
      </c>
      <c r="H2388" s="18" t="s">
        <v>39</v>
      </c>
      <c r="I2388" s="18"/>
      <c r="J2388" s="16">
        <v>2026</v>
      </c>
      <c r="K2388" s="18" t="s">
        <v>850</v>
      </c>
      <c r="L2388" s="16">
        <v>9785006301023</v>
      </c>
      <c r="M2388" s="18" t="s">
        <v>851</v>
      </c>
      <c r="N2388" s="16">
        <v>528</v>
      </c>
      <c r="O2388" s="19">
        <v>0.49</v>
      </c>
      <c r="P2388" s="16">
        <v>140</v>
      </c>
      <c r="Q2388" s="16">
        <v>210</v>
      </c>
      <c r="R2388" s="16">
        <v>4</v>
      </c>
      <c r="S2388" s="18" t="s">
        <v>43</v>
      </c>
      <c r="T2388" s="18"/>
      <c r="U2388" s="17">
        <v>10000</v>
      </c>
      <c r="V2388" s="18" t="s">
        <v>44</v>
      </c>
      <c r="W2388" s="18" t="s">
        <v>69</v>
      </c>
      <c r="X2388" s="16">
        <v>10</v>
      </c>
      <c r="Y2388" s="43" t="str">
        <f>HYPERLINK("https://api-enni.alpina.ru/FilePrivilegesApproval/853","https://api-enni.alpina.ru/FilePrivilegesApproval/853")</f>
        <v>https://api-enni.alpina.ru/FilePrivilegesApproval/853</v>
      </c>
      <c r="Z2388" s="18"/>
      <c r="AS2388" s="1">
        <f>IF($A2388&lt;&gt;0,1,0)</f>
        <v>0</v>
      </c>
      <c r="AT2388" s="1">
        <f>$A2388*$B2388</f>
        <v>0</v>
      </c>
      <c r="AU2388" s="1">
        <f>$A2388*$O2388</f>
        <v>0</v>
      </c>
      <c r="AV2388" s="1">
        <f>IF($R2388=0,0,INT($A2388/$R2388))</f>
        <v>0</v>
      </c>
      <c r="AW2388" s="1">
        <f>$A2388-$AV2388*$R2388</f>
        <v>0</v>
      </c>
    </row>
    <row r="2389" ht="24.95" customHeight="1" outlineLevel="3" s="1" customFormat="1">
      <c r="A2389" s="15"/>
      <c r="B2389" s="16">
        <v>500</v>
      </c>
      <c r="C2389" s="16">
        <v>775</v>
      </c>
      <c r="D2389" s="16">
        <v>28725</v>
      </c>
      <c r="E2389" s="18"/>
      <c r="F2389" s="18" t="s">
        <v>7807</v>
      </c>
      <c r="G2389" s="18" t="s">
        <v>7808</v>
      </c>
      <c r="H2389" s="18" t="s">
        <v>39</v>
      </c>
      <c r="I2389" s="18" t="s">
        <v>74</v>
      </c>
      <c r="J2389" s="16">
        <v>2024</v>
      </c>
      <c r="K2389" s="18" t="s">
        <v>7809</v>
      </c>
      <c r="L2389" s="16">
        <v>9785961489859</v>
      </c>
      <c r="M2389" s="18" t="s">
        <v>7810</v>
      </c>
      <c r="N2389" s="16">
        <v>512</v>
      </c>
      <c r="O2389" s="19">
        <v>0.67</v>
      </c>
      <c r="P2389" s="16">
        <v>140</v>
      </c>
      <c r="Q2389" s="16">
        <v>210</v>
      </c>
      <c r="R2389" s="16">
        <v>4</v>
      </c>
      <c r="S2389" s="18" t="s">
        <v>43</v>
      </c>
      <c r="T2389" s="18" t="s">
        <v>381</v>
      </c>
      <c r="U2389" s="17">
        <v>5000</v>
      </c>
      <c r="V2389" s="18" t="s">
        <v>44</v>
      </c>
      <c r="W2389" s="18" t="s">
        <v>45</v>
      </c>
      <c r="X2389" s="16">
        <v>10</v>
      </c>
      <c r="Y2389" s="43" t="str">
        <f>HYPERLINK("https://api-enni.alpina.ru/FilePrivilegesApproval/413","https://api-enni.alpina.ru/FilePrivilegesApproval/413")</f>
        <v>https://api-enni.alpina.ru/FilePrivilegesApproval/413</v>
      </c>
      <c r="Z2389" s="18"/>
      <c r="AS2389" s="1">
        <f>IF($A2389&lt;&gt;0,1,0)</f>
        <v>0</v>
      </c>
      <c r="AT2389" s="1">
        <f>$A2389*$B2389</f>
        <v>0</v>
      </c>
      <c r="AU2389" s="1">
        <f>$A2389*$O2389</f>
        <v>0</v>
      </c>
      <c r="AV2389" s="1">
        <f>IF($R2389=0,0,INT($A2389/$R2389))</f>
        <v>0</v>
      </c>
      <c r="AW2389" s="1">
        <f>$A2389-$AV2389*$R2389</f>
        <v>0</v>
      </c>
    </row>
    <row r="2390" ht="21.95" customHeight="1" outlineLevel="3" s="1" customFormat="1">
      <c r="A2390" s="15"/>
      <c r="B2390" s="16">
        <v>610</v>
      </c>
      <c r="C2390" s="16">
        <v>915</v>
      </c>
      <c r="D2390" s="16">
        <v>31300</v>
      </c>
      <c r="E2390" s="18"/>
      <c r="F2390" s="18" t="s">
        <v>7811</v>
      </c>
      <c r="G2390" s="18" t="s">
        <v>7812</v>
      </c>
      <c r="H2390" s="18" t="s">
        <v>39</v>
      </c>
      <c r="I2390" s="18" t="s">
        <v>74</v>
      </c>
      <c r="J2390" s="16">
        <v>2025</v>
      </c>
      <c r="K2390" s="18" t="s">
        <v>7813</v>
      </c>
      <c r="L2390" s="16">
        <v>9785961498172</v>
      </c>
      <c r="M2390" s="18" t="s">
        <v>7814</v>
      </c>
      <c r="N2390" s="16">
        <v>368</v>
      </c>
      <c r="O2390" s="19">
        <v>0.35</v>
      </c>
      <c r="P2390" s="16">
        <v>140</v>
      </c>
      <c r="Q2390" s="16">
        <v>210</v>
      </c>
      <c r="R2390" s="16">
        <v>6</v>
      </c>
      <c r="S2390" s="18" t="s">
        <v>43</v>
      </c>
      <c r="T2390" s="18"/>
      <c r="U2390" s="17">
        <v>2000</v>
      </c>
      <c r="V2390" s="18" t="s">
        <v>44</v>
      </c>
      <c r="W2390" s="18" t="s">
        <v>45</v>
      </c>
      <c r="X2390" s="16">
        <v>22</v>
      </c>
      <c r="Y2390" s="43" t="str">
        <f>HYPERLINK("","")</f>
      </c>
      <c r="Z2390" s="18"/>
      <c r="AS2390" s="1">
        <f>IF($A2390&lt;&gt;0,1,0)</f>
        <v>0</v>
      </c>
      <c r="AT2390" s="1">
        <f>$A2390*$B2390</f>
        <v>0</v>
      </c>
      <c r="AU2390" s="1">
        <f>$A2390*$O2390</f>
        <v>0</v>
      </c>
      <c r="AV2390" s="1">
        <f>IF($R2390=0,0,INT($A2390/$R2390))</f>
        <v>0</v>
      </c>
      <c r="AW2390" s="1">
        <f>$A2390-$AV2390*$R2390</f>
        <v>0</v>
      </c>
    </row>
    <row r="2391" ht="24.95" customHeight="1" outlineLevel="3" s="1" customFormat="1">
      <c r="A2391" s="15"/>
      <c r="B2391" s="16">
        <v>702</v>
      </c>
      <c r="C2391" s="17">
        <v>1018</v>
      </c>
      <c r="D2391" s="16">
        <v>30477</v>
      </c>
      <c r="E2391" s="18"/>
      <c r="F2391" s="18" t="s">
        <v>7769</v>
      </c>
      <c r="G2391" s="18" t="s">
        <v>7815</v>
      </c>
      <c r="H2391" s="18" t="s">
        <v>39</v>
      </c>
      <c r="I2391" s="18" t="s">
        <v>40</v>
      </c>
      <c r="J2391" s="16">
        <v>2025</v>
      </c>
      <c r="K2391" s="18" t="s">
        <v>7816</v>
      </c>
      <c r="L2391" s="16">
        <v>9785961495621</v>
      </c>
      <c r="M2391" s="18" t="s">
        <v>7817</v>
      </c>
      <c r="N2391" s="16">
        <v>480</v>
      </c>
      <c r="O2391" s="19">
        <v>0.45</v>
      </c>
      <c r="P2391" s="16">
        <v>140</v>
      </c>
      <c r="Q2391" s="16">
        <v>210</v>
      </c>
      <c r="R2391" s="16">
        <v>4</v>
      </c>
      <c r="S2391" s="18" t="s">
        <v>43</v>
      </c>
      <c r="T2391" s="18"/>
      <c r="U2391" s="17">
        <v>3000</v>
      </c>
      <c r="V2391" s="18" t="s">
        <v>44</v>
      </c>
      <c r="W2391" s="18" t="s">
        <v>45</v>
      </c>
      <c r="X2391" s="16">
        <v>22</v>
      </c>
      <c r="Y2391" s="43" t="str">
        <f>HYPERLINK("https://api-enni.alpina.ru/FilePrivilegesApproval/891","https://api-enni.alpina.ru/FilePrivilegesApproval/891")</f>
        <v>https://api-enni.alpina.ru/FilePrivilegesApproval/891</v>
      </c>
      <c r="Z2391" s="18"/>
      <c r="AS2391" s="1">
        <f>IF($A2391&lt;&gt;0,1,0)</f>
        <v>0</v>
      </c>
      <c r="AT2391" s="1">
        <f>$A2391*$B2391</f>
        <v>0</v>
      </c>
      <c r="AU2391" s="1">
        <f>$A2391*$O2391</f>
        <v>0</v>
      </c>
      <c r="AV2391" s="1">
        <f>IF($R2391=0,0,INT($A2391/$R2391))</f>
        <v>0</v>
      </c>
      <c r="AW2391" s="1">
        <f>$A2391-$AV2391*$R2391</f>
        <v>0</v>
      </c>
    </row>
    <row r="2392" ht="24.95" customHeight="1" outlineLevel="3" s="1" customFormat="1">
      <c r="A2392" s="15"/>
      <c r="B2392" s="16">
        <v>420</v>
      </c>
      <c r="C2392" s="16">
        <v>651</v>
      </c>
      <c r="D2392" s="16">
        <v>29099</v>
      </c>
      <c r="E2392" s="18"/>
      <c r="F2392" s="18" t="s">
        <v>7725</v>
      </c>
      <c r="G2392" s="18" t="s">
        <v>7818</v>
      </c>
      <c r="H2392" s="18" t="s">
        <v>39</v>
      </c>
      <c r="I2392" s="18" t="s">
        <v>40</v>
      </c>
      <c r="J2392" s="16">
        <v>2024</v>
      </c>
      <c r="K2392" s="18" t="s">
        <v>7819</v>
      </c>
      <c r="L2392" s="16">
        <v>9785961491432</v>
      </c>
      <c r="M2392" s="18" t="s">
        <v>7820</v>
      </c>
      <c r="N2392" s="16">
        <v>384</v>
      </c>
      <c r="O2392" s="19">
        <v>0.36</v>
      </c>
      <c r="P2392" s="16">
        <v>140</v>
      </c>
      <c r="Q2392" s="16">
        <v>210</v>
      </c>
      <c r="R2392" s="16">
        <v>4</v>
      </c>
      <c r="S2392" s="18" t="s">
        <v>43</v>
      </c>
      <c r="T2392" s="18"/>
      <c r="U2392" s="17">
        <v>5000</v>
      </c>
      <c r="V2392" s="18" t="s">
        <v>44</v>
      </c>
      <c r="W2392" s="18" t="s">
        <v>69</v>
      </c>
      <c r="X2392" s="16">
        <v>10</v>
      </c>
      <c r="Y2392" s="43" t="str">
        <f>HYPERLINK("https://api-enni.alpina.ru/FilePrivilegesApproval/335","https://api-enni.alpina.ru/FilePrivilegesApproval/335")</f>
        <v>https://api-enni.alpina.ru/FilePrivilegesApproval/335</v>
      </c>
      <c r="Z2392" s="18"/>
      <c r="AS2392" s="1">
        <f>IF($A2392&lt;&gt;0,1,0)</f>
        <v>0</v>
      </c>
      <c r="AT2392" s="1">
        <f>$A2392*$B2392</f>
        <v>0</v>
      </c>
      <c r="AU2392" s="1">
        <f>$A2392*$O2392</f>
        <v>0</v>
      </c>
      <c r="AV2392" s="1">
        <f>IF($R2392=0,0,INT($A2392/$R2392))</f>
        <v>0</v>
      </c>
      <c r="AW2392" s="1">
        <f>$A2392-$AV2392*$R2392</f>
        <v>0</v>
      </c>
    </row>
    <row r="2393" ht="24.95" customHeight="1" outlineLevel="3" s="1" customFormat="1">
      <c r="A2393" s="15"/>
      <c r="B2393" s="16">
        <v>600</v>
      </c>
      <c r="C2393" s="16">
        <v>900</v>
      </c>
      <c r="D2393" s="16">
        <v>32049</v>
      </c>
      <c r="E2393" s="18"/>
      <c r="F2393" s="18" t="s">
        <v>7821</v>
      </c>
      <c r="G2393" s="18" t="s">
        <v>7822</v>
      </c>
      <c r="H2393" s="18" t="s">
        <v>39</v>
      </c>
      <c r="I2393" s="18" t="s">
        <v>74</v>
      </c>
      <c r="J2393" s="16">
        <v>2025</v>
      </c>
      <c r="K2393" s="18" t="s">
        <v>7823</v>
      </c>
      <c r="L2393" s="16">
        <v>9785006301030</v>
      </c>
      <c r="M2393" s="18" t="s">
        <v>7824</v>
      </c>
      <c r="N2393" s="16">
        <v>400</v>
      </c>
      <c r="O2393" s="19">
        <v>0.38</v>
      </c>
      <c r="P2393" s="16">
        <v>140</v>
      </c>
      <c r="Q2393" s="16">
        <v>210</v>
      </c>
      <c r="R2393" s="16">
        <v>6</v>
      </c>
      <c r="S2393" s="18" t="s">
        <v>43</v>
      </c>
      <c r="T2393" s="18"/>
      <c r="U2393" s="17">
        <v>3000</v>
      </c>
      <c r="V2393" s="18" t="s">
        <v>44</v>
      </c>
      <c r="W2393" s="18" t="s">
        <v>45</v>
      </c>
      <c r="X2393" s="16">
        <v>10</v>
      </c>
      <c r="Y2393" s="43" t="str">
        <f>HYPERLINK("https://api-enni.alpina.ru/FilePrivilegesApproval/891","https://api-enni.alpina.ru/FilePrivilegesApproval/891")</f>
        <v>https://api-enni.alpina.ru/FilePrivilegesApproval/891</v>
      </c>
      <c r="Z2393" s="18"/>
      <c r="AS2393" s="1">
        <f>IF($A2393&lt;&gt;0,1,0)</f>
        <v>0</v>
      </c>
      <c r="AT2393" s="1">
        <f>$A2393*$B2393</f>
        <v>0</v>
      </c>
      <c r="AU2393" s="1">
        <f>$A2393*$O2393</f>
        <v>0</v>
      </c>
      <c r="AV2393" s="1">
        <f>IF($R2393=0,0,INT($A2393/$R2393))</f>
        <v>0</v>
      </c>
      <c r="AW2393" s="1">
        <f>$A2393-$AV2393*$R2393</f>
        <v>0</v>
      </c>
    </row>
    <row r="2394" ht="24.95" customHeight="1" outlineLevel="3" s="1" customFormat="1">
      <c r="A2394" s="15"/>
      <c r="B2394" s="16">
        <v>990</v>
      </c>
      <c r="C2394" s="17">
        <v>1386</v>
      </c>
      <c r="D2394" s="16">
        <v>31588</v>
      </c>
      <c r="E2394" s="18"/>
      <c r="F2394" s="18" t="s">
        <v>7678</v>
      </c>
      <c r="G2394" s="18" t="s">
        <v>7825</v>
      </c>
      <c r="H2394" s="18" t="s">
        <v>39</v>
      </c>
      <c r="I2394" s="18" t="s">
        <v>40</v>
      </c>
      <c r="J2394" s="16">
        <v>2026</v>
      </c>
      <c r="K2394" s="18" t="s">
        <v>7826</v>
      </c>
      <c r="L2394" s="16">
        <v>9785961499421</v>
      </c>
      <c r="M2394" s="18" t="s">
        <v>7827</v>
      </c>
      <c r="N2394" s="16">
        <v>576</v>
      </c>
      <c r="O2394" s="19">
        <v>0.53</v>
      </c>
      <c r="P2394" s="16">
        <v>140</v>
      </c>
      <c r="Q2394" s="16">
        <v>210</v>
      </c>
      <c r="R2394" s="16">
        <v>4</v>
      </c>
      <c r="S2394" s="18" t="s">
        <v>43</v>
      </c>
      <c r="T2394" s="18"/>
      <c r="U2394" s="17">
        <v>5000</v>
      </c>
      <c r="V2394" s="18" t="s">
        <v>44</v>
      </c>
      <c r="W2394" s="18" t="s">
        <v>45</v>
      </c>
      <c r="X2394" s="16">
        <v>10</v>
      </c>
      <c r="Y2394" s="43" t="str">
        <f>HYPERLINK("https://api-enni.alpina.ru/FilePrivilegesApproval/1139","https://api-enni.alpina.ru/FilePrivilegesApproval/1139")</f>
        <v>https://api-enni.alpina.ru/FilePrivilegesApproval/1139</v>
      </c>
      <c r="Z2394" s="18"/>
      <c r="AS2394" s="1">
        <f>IF($A2394&lt;&gt;0,1,0)</f>
        <v>0</v>
      </c>
      <c r="AT2394" s="1">
        <f>$A2394*$B2394</f>
        <v>0</v>
      </c>
      <c r="AU2394" s="1">
        <f>$A2394*$O2394</f>
        <v>0</v>
      </c>
      <c r="AV2394" s="1">
        <f>IF($R2394=0,0,INT($A2394/$R2394))</f>
        <v>0</v>
      </c>
      <c r="AW2394" s="1">
        <f>$A2394-$AV2394*$R2394</f>
        <v>0</v>
      </c>
    </row>
    <row r="2395" ht="21.95" customHeight="1" outlineLevel="3" s="1" customFormat="1">
      <c r="A2395" s="15"/>
      <c r="B2395" s="16">
        <v>610</v>
      </c>
      <c r="C2395" s="16">
        <v>915</v>
      </c>
      <c r="D2395" s="16">
        <v>33345</v>
      </c>
      <c r="E2395" s="18"/>
      <c r="F2395" s="18" t="s">
        <v>7785</v>
      </c>
      <c r="G2395" s="18" t="s">
        <v>7828</v>
      </c>
      <c r="H2395" s="18" t="s">
        <v>39</v>
      </c>
      <c r="I2395" s="18"/>
      <c r="J2395" s="16">
        <v>2025</v>
      </c>
      <c r="K2395" s="18" t="s">
        <v>7829</v>
      </c>
      <c r="L2395" s="16">
        <v>9785006304307</v>
      </c>
      <c r="M2395" s="18" t="s">
        <v>7830</v>
      </c>
      <c r="N2395" s="16">
        <v>304</v>
      </c>
      <c r="O2395" s="19">
        <v>0.29</v>
      </c>
      <c r="P2395" s="16">
        <v>140</v>
      </c>
      <c r="Q2395" s="16">
        <v>210</v>
      </c>
      <c r="R2395" s="16">
        <v>6</v>
      </c>
      <c r="S2395" s="18" t="s">
        <v>43</v>
      </c>
      <c r="T2395" s="18"/>
      <c r="U2395" s="17">
        <v>3000</v>
      </c>
      <c r="V2395" s="18" t="s">
        <v>44</v>
      </c>
      <c r="W2395" s="18" t="s">
        <v>45</v>
      </c>
      <c r="X2395" s="16">
        <v>22</v>
      </c>
      <c r="Y2395" s="43" t="str">
        <f>HYPERLINK("","")</f>
      </c>
      <c r="Z2395" s="18"/>
      <c r="AS2395" s="1">
        <f>IF($A2395&lt;&gt;0,1,0)</f>
        <v>0</v>
      </c>
      <c r="AT2395" s="1">
        <f>$A2395*$B2395</f>
        <v>0</v>
      </c>
      <c r="AU2395" s="1">
        <f>$A2395*$O2395</f>
        <v>0</v>
      </c>
      <c r="AV2395" s="1">
        <f>IF($R2395=0,0,INT($A2395/$R2395))</f>
        <v>0</v>
      </c>
      <c r="AW2395" s="1">
        <f>$A2395-$AV2395*$R2395</f>
        <v>0</v>
      </c>
    </row>
    <row r="2396" ht="24.95" customHeight="1" outlineLevel="3" s="1" customFormat="1">
      <c r="A2396" s="15"/>
      <c r="B2396" s="16">
        <v>550</v>
      </c>
      <c r="C2396" s="16">
        <v>852</v>
      </c>
      <c r="D2396" s="16">
        <v>32782</v>
      </c>
      <c r="E2396" s="18"/>
      <c r="F2396" s="18" t="s">
        <v>7831</v>
      </c>
      <c r="G2396" s="18" t="s">
        <v>7832</v>
      </c>
      <c r="H2396" s="18" t="s">
        <v>39</v>
      </c>
      <c r="I2396" s="18"/>
      <c r="J2396" s="16">
        <v>2025</v>
      </c>
      <c r="K2396" s="18" t="s">
        <v>7833</v>
      </c>
      <c r="L2396" s="16">
        <v>9785006303058</v>
      </c>
      <c r="M2396" s="18" t="s">
        <v>7834</v>
      </c>
      <c r="N2396" s="16">
        <v>304</v>
      </c>
      <c r="O2396" s="19">
        <v>0.29</v>
      </c>
      <c r="P2396" s="16">
        <v>140</v>
      </c>
      <c r="Q2396" s="16">
        <v>210</v>
      </c>
      <c r="R2396" s="16">
        <v>6</v>
      </c>
      <c r="S2396" s="18" t="s">
        <v>43</v>
      </c>
      <c r="T2396" s="18"/>
      <c r="U2396" s="17">
        <v>2000</v>
      </c>
      <c r="V2396" s="18" t="s">
        <v>44</v>
      </c>
      <c r="W2396" s="18" t="s">
        <v>45</v>
      </c>
      <c r="X2396" s="16">
        <v>10</v>
      </c>
      <c r="Y2396" s="43" t="str">
        <f>HYPERLINK("https://api-enni.alpina.ru/FilePrivilegesApproval/891","https://api-enni.alpina.ru/FilePrivilegesApproval/891")</f>
        <v>https://api-enni.alpina.ru/FilePrivilegesApproval/891</v>
      </c>
      <c r="Z2396" s="18"/>
      <c r="AS2396" s="1">
        <f>IF($A2396&lt;&gt;0,1,0)</f>
        <v>0</v>
      </c>
      <c r="AT2396" s="1">
        <f>$A2396*$B2396</f>
        <v>0</v>
      </c>
      <c r="AU2396" s="1">
        <f>$A2396*$O2396</f>
        <v>0</v>
      </c>
      <c r="AV2396" s="1">
        <f>IF($R2396=0,0,INT($A2396/$R2396))</f>
        <v>0</v>
      </c>
      <c r="AW2396" s="1">
        <f>$A2396-$AV2396*$R2396</f>
        <v>0</v>
      </c>
    </row>
    <row r="2397" ht="24.95" customHeight="1" outlineLevel="3" s="1" customFormat="1">
      <c r="A2397" s="15"/>
      <c r="B2397" s="16">
        <v>500</v>
      </c>
      <c r="C2397" s="16">
        <v>775</v>
      </c>
      <c r="D2397" s="16">
        <v>30327</v>
      </c>
      <c r="E2397" s="18"/>
      <c r="F2397" s="18" t="s">
        <v>7835</v>
      </c>
      <c r="G2397" s="18" t="s">
        <v>7836</v>
      </c>
      <c r="H2397" s="18" t="s">
        <v>39</v>
      </c>
      <c r="I2397" s="18" t="s">
        <v>1866</v>
      </c>
      <c r="J2397" s="16">
        <v>2025</v>
      </c>
      <c r="K2397" s="18" t="s">
        <v>7837</v>
      </c>
      <c r="L2397" s="16">
        <v>9785961495218</v>
      </c>
      <c r="M2397" s="18" t="s">
        <v>7838</v>
      </c>
      <c r="N2397" s="16">
        <v>144</v>
      </c>
      <c r="O2397" s="19">
        <v>0.23</v>
      </c>
      <c r="P2397" s="16">
        <v>140</v>
      </c>
      <c r="Q2397" s="16">
        <v>210</v>
      </c>
      <c r="R2397" s="16">
        <v>24</v>
      </c>
      <c r="S2397" s="18" t="s">
        <v>43</v>
      </c>
      <c r="T2397" s="18"/>
      <c r="U2397" s="17">
        <v>3000</v>
      </c>
      <c r="V2397" s="18" t="s">
        <v>44</v>
      </c>
      <c r="W2397" s="18" t="s">
        <v>69</v>
      </c>
      <c r="X2397" s="16">
        <v>10</v>
      </c>
      <c r="Y2397" s="43" t="str">
        <f>HYPERLINK("https://api-enni.alpina.ru/FilePrivilegesApproval/709","https://api-enni.alpina.ru/FilePrivilegesApproval/709")</f>
        <v>https://api-enni.alpina.ru/FilePrivilegesApproval/709</v>
      </c>
      <c r="Z2397" s="18"/>
      <c r="AS2397" s="1">
        <f>IF($A2397&lt;&gt;0,1,0)</f>
        <v>0</v>
      </c>
      <c r="AT2397" s="1">
        <f>$A2397*$B2397</f>
        <v>0</v>
      </c>
      <c r="AU2397" s="1">
        <f>$A2397*$O2397</f>
        <v>0</v>
      </c>
      <c r="AV2397" s="1">
        <f>IF($R2397=0,0,INT($A2397/$R2397))</f>
        <v>0</v>
      </c>
      <c r="AW2397" s="1">
        <f>$A2397-$AV2397*$R2397</f>
        <v>0</v>
      </c>
    </row>
    <row r="2398" ht="24.95" customHeight="1" outlineLevel="3" s="1" customFormat="1">
      <c r="A2398" s="15"/>
      <c r="B2398" s="16">
        <v>500</v>
      </c>
      <c r="C2398" s="16">
        <v>775</v>
      </c>
      <c r="D2398" s="16">
        <v>30328</v>
      </c>
      <c r="E2398" s="18"/>
      <c r="F2398" s="18" t="s">
        <v>7835</v>
      </c>
      <c r="G2398" s="18" t="s">
        <v>7839</v>
      </c>
      <c r="H2398" s="18" t="s">
        <v>39</v>
      </c>
      <c r="I2398" s="18" t="s">
        <v>1866</v>
      </c>
      <c r="J2398" s="16">
        <v>2025</v>
      </c>
      <c r="K2398" s="18" t="s">
        <v>7840</v>
      </c>
      <c r="L2398" s="16">
        <v>9785961495225</v>
      </c>
      <c r="M2398" s="18" t="s">
        <v>7841</v>
      </c>
      <c r="N2398" s="16">
        <v>144</v>
      </c>
      <c r="O2398" s="19">
        <v>0.24</v>
      </c>
      <c r="P2398" s="16">
        <v>140</v>
      </c>
      <c r="Q2398" s="16">
        <v>210</v>
      </c>
      <c r="R2398" s="16">
        <v>24</v>
      </c>
      <c r="S2398" s="18" t="s">
        <v>43</v>
      </c>
      <c r="T2398" s="18"/>
      <c r="U2398" s="17">
        <v>3000</v>
      </c>
      <c r="V2398" s="18" t="s">
        <v>44</v>
      </c>
      <c r="W2398" s="18" t="s">
        <v>69</v>
      </c>
      <c r="X2398" s="16">
        <v>10</v>
      </c>
      <c r="Y2398" s="43" t="str">
        <f>HYPERLINK("https://api-enni.alpina.ru/FilePrivilegesApproval/941","https://api-enni.alpina.ru/FilePrivilegesApproval/941")</f>
        <v>https://api-enni.alpina.ru/FilePrivilegesApproval/941</v>
      </c>
      <c r="Z2398" s="18"/>
      <c r="AS2398" s="1">
        <f>IF($A2398&lt;&gt;0,1,0)</f>
        <v>0</v>
      </c>
      <c r="AT2398" s="1">
        <f>$A2398*$B2398</f>
        <v>0</v>
      </c>
      <c r="AU2398" s="1">
        <f>$A2398*$O2398</f>
        <v>0</v>
      </c>
      <c r="AV2398" s="1">
        <f>IF($R2398=0,0,INT($A2398/$R2398))</f>
        <v>0</v>
      </c>
      <c r="AW2398" s="1">
        <f>$A2398-$AV2398*$R2398</f>
        <v>0</v>
      </c>
    </row>
    <row r="2399" ht="24.95" customHeight="1" outlineLevel="3" s="1" customFormat="1">
      <c r="A2399" s="15"/>
      <c r="B2399" s="16">
        <v>500</v>
      </c>
      <c r="C2399" s="16">
        <v>775</v>
      </c>
      <c r="D2399" s="16">
        <v>30329</v>
      </c>
      <c r="E2399" s="18"/>
      <c r="F2399" s="18" t="s">
        <v>7835</v>
      </c>
      <c r="G2399" s="18" t="s">
        <v>7842</v>
      </c>
      <c r="H2399" s="18" t="s">
        <v>39</v>
      </c>
      <c r="I2399" s="18" t="s">
        <v>1866</v>
      </c>
      <c r="J2399" s="16">
        <v>2025</v>
      </c>
      <c r="K2399" s="18" t="s">
        <v>7843</v>
      </c>
      <c r="L2399" s="16">
        <v>9785961495232</v>
      </c>
      <c r="M2399" s="18" t="s">
        <v>7844</v>
      </c>
      <c r="N2399" s="16">
        <v>144</v>
      </c>
      <c r="O2399" s="19">
        <v>0.23</v>
      </c>
      <c r="P2399" s="16">
        <v>140</v>
      </c>
      <c r="Q2399" s="16">
        <v>210</v>
      </c>
      <c r="R2399" s="16">
        <v>24</v>
      </c>
      <c r="S2399" s="18" t="s">
        <v>43</v>
      </c>
      <c r="T2399" s="18"/>
      <c r="U2399" s="17">
        <v>3000</v>
      </c>
      <c r="V2399" s="18" t="s">
        <v>44</v>
      </c>
      <c r="W2399" s="18" t="s">
        <v>69</v>
      </c>
      <c r="X2399" s="16">
        <v>10</v>
      </c>
      <c r="Y2399" s="43" t="str">
        <f>HYPERLINK("https://api-enni.alpina.ru/FilePrivilegesApproval/981","https://api-enni.alpina.ru/FilePrivilegesApproval/981")</f>
        <v>https://api-enni.alpina.ru/FilePrivilegesApproval/981</v>
      </c>
      <c r="Z2399" s="18"/>
      <c r="AS2399" s="1">
        <f>IF($A2399&lt;&gt;0,1,0)</f>
        <v>0</v>
      </c>
      <c r="AT2399" s="1">
        <f>$A2399*$B2399</f>
        <v>0</v>
      </c>
      <c r="AU2399" s="1">
        <f>$A2399*$O2399</f>
        <v>0</v>
      </c>
      <c r="AV2399" s="1">
        <f>IF($R2399=0,0,INT($A2399/$R2399))</f>
        <v>0</v>
      </c>
      <c r="AW2399" s="1">
        <f>$A2399-$AV2399*$R2399</f>
        <v>0</v>
      </c>
    </row>
    <row r="2400" ht="24.95" customHeight="1" outlineLevel="3" s="1" customFormat="1">
      <c r="A2400" s="15"/>
      <c r="B2400" s="16">
        <v>580</v>
      </c>
      <c r="C2400" s="16">
        <v>870</v>
      </c>
      <c r="D2400" s="16">
        <v>29480</v>
      </c>
      <c r="E2400" s="18"/>
      <c r="F2400" s="18" t="s">
        <v>7845</v>
      </c>
      <c r="G2400" s="18" t="s">
        <v>7846</v>
      </c>
      <c r="H2400" s="18" t="s">
        <v>39</v>
      </c>
      <c r="I2400" s="18" t="s">
        <v>74</v>
      </c>
      <c r="J2400" s="16">
        <v>2025</v>
      </c>
      <c r="K2400" s="18" t="s">
        <v>7847</v>
      </c>
      <c r="L2400" s="16">
        <v>9785961492767</v>
      </c>
      <c r="M2400" s="18" t="s">
        <v>7848</v>
      </c>
      <c r="N2400" s="16">
        <v>496</v>
      </c>
      <c r="O2400" s="19">
        <v>0.47</v>
      </c>
      <c r="P2400" s="16">
        <v>140</v>
      </c>
      <c r="Q2400" s="16">
        <v>210</v>
      </c>
      <c r="R2400" s="16">
        <v>4</v>
      </c>
      <c r="S2400" s="18" t="s">
        <v>43</v>
      </c>
      <c r="T2400" s="18"/>
      <c r="U2400" s="17">
        <v>2000</v>
      </c>
      <c r="V2400" s="18" t="s">
        <v>44</v>
      </c>
      <c r="W2400" s="18" t="s">
        <v>45</v>
      </c>
      <c r="X2400" s="16">
        <v>10</v>
      </c>
      <c r="Y2400" s="43" t="str">
        <f>HYPERLINK("https://api-enni.alpina.ru/FilePrivilegesApproval/780","https://api-enni.alpina.ru/FilePrivilegesApproval/780")</f>
        <v>https://api-enni.alpina.ru/FilePrivilegesApproval/780</v>
      </c>
      <c r="Z2400" s="18"/>
      <c r="AS2400" s="1">
        <f>IF($A2400&lt;&gt;0,1,0)</f>
        <v>0</v>
      </c>
      <c r="AT2400" s="1">
        <f>$A2400*$B2400</f>
        <v>0</v>
      </c>
      <c r="AU2400" s="1">
        <f>$A2400*$O2400</f>
        <v>0</v>
      </c>
      <c r="AV2400" s="1">
        <f>IF($R2400=0,0,INT($A2400/$R2400))</f>
        <v>0</v>
      </c>
      <c r="AW2400" s="1">
        <f>$A2400-$AV2400*$R2400</f>
        <v>0</v>
      </c>
    </row>
    <row r="2401" ht="24.95" customHeight="1" outlineLevel="3" s="1" customFormat="1">
      <c r="A2401" s="15"/>
      <c r="B2401" s="16">
        <v>390</v>
      </c>
      <c r="C2401" s="16">
        <v>624</v>
      </c>
      <c r="D2401" s="16">
        <v>29466</v>
      </c>
      <c r="E2401" s="18"/>
      <c r="F2401" s="18" t="s">
        <v>7849</v>
      </c>
      <c r="G2401" s="18" t="s">
        <v>7850</v>
      </c>
      <c r="H2401" s="18" t="s">
        <v>39</v>
      </c>
      <c r="I2401" s="18" t="s">
        <v>74</v>
      </c>
      <c r="J2401" s="16">
        <v>2024</v>
      </c>
      <c r="K2401" s="18" t="s">
        <v>7851</v>
      </c>
      <c r="L2401" s="16">
        <v>9785961489507</v>
      </c>
      <c r="M2401" s="18" t="s">
        <v>7852</v>
      </c>
      <c r="N2401" s="16">
        <v>336</v>
      </c>
      <c r="O2401" s="19">
        <v>0.36</v>
      </c>
      <c r="P2401" s="16">
        <v>140</v>
      </c>
      <c r="Q2401" s="16">
        <v>210</v>
      </c>
      <c r="R2401" s="16">
        <v>5</v>
      </c>
      <c r="S2401" s="18" t="s">
        <v>43</v>
      </c>
      <c r="T2401" s="18"/>
      <c r="U2401" s="17">
        <v>3000</v>
      </c>
      <c r="V2401" s="18" t="s">
        <v>44</v>
      </c>
      <c r="W2401" s="18" t="s">
        <v>45</v>
      </c>
      <c r="X2401" s="16">
        <v>10</v>
      </c>
      <c r="Y2401" s="43" t="str">
        <f>HYPERLINK("https://api-enni.alpina.ru/FilePrivilegesApproval/413","https://api-enni.alpina.ru/FilePrivilegesApproval/413")</f>
        <v>https://api-enni.alpina.ru/FilePrivilegesApproval/413</v>
      </c>
      <c r="Z2401" s="18"/>
      <c r="AS2401" s="1">
        <f>IF($A2401&lt;&gt;0,1,0)</f>
        <v>0</v>
      </c>
      <c r="AT2401" s="1">
        <f>$A2401*$B2401</f>
        <v>0</v>
      </c>
      <c r="AU2401" s="1">
        <f>$A2401*$O2401</f>
        <v>0</v>
      </c>
      <c r="AV2401" s="1">
        <f>IF($R2401=0,0,INT($A2401/$R2401))</f>
        <v>0</v>
      </c>
      <c r="AW2401" s="1">
        <f>$A2401-$AV2401*$R2401</f>
        <v>0</v>
      </c>
    </row>
    <row r="2402" ht="24.95" customHeight="1" outlineLevel="3" s="1" customFormat="1">
      <c r="A2402" s="15"/>
      <c r="B2402" s="16">
        <v>600</v>
      </c>
      <c r="C2402" s="16">
        <v>900</v>
      </c>
      <c r="D2402" s="16">
        <v>33769</v>
      </c>
      <c r="E2402" s="18"/>
      <c r="F2402" s="18" t="s">
        <v>7853</v>
      </c>
      <c r="G2402" s="18" t="s">
        <v>7854</v>
      </c>
      <c r="H2402" s="18" t="s">
        <v>39</v>
      </c>
      <c r="I2402" s="18"/>
      <c r="J2402" s="16">
        <v>2025</v>
      </c>
      <c r="K2402" s="18" t="s">
        <v>7855</v>
      </c>
      <c r="L2402" s="16">
        <v>9785006305472</v>
      </c>
      <c r="M2402" s="18" t="s">
        <v>7856</v>
      </c>
      <c r="N2402" s="16">
        <v>224</v>
      </c>
      <c r="O2402" s="19">
        <v>0.23</v>
      </c>
      <c r="P2402" s="16">
        <v>140</v>
      </c>
      <c r="Q2402" s="16">
        <v>210</v>
      </c>
      <c r="R2402" s="16">
        <v>8</v>
      </c>
      <c r="S2402" s="18" t="s">
        <v>43</v>
      </c>
      <c r="T2402" s="18"/>
      <c r="U2402" s="17">
        <v>3000</v>
      </c>
      <c r="V2402" s="18" t="s">
        <v>44</v>
      </c>
      <c r="W2402" s="18" t="s">
        <v>69</v>
      </c>
      <c r="X2402" s="16">
        <v>10</v>
      </c>
      <c r="Y2402" s="43" t="str">
        <f>HYPERLINK("https://api-enni.alpina.ru/FilePrivilegesApproval/1096","https://api-enni.alpina.ru/FilePrivilegesApproval/1096")</f>
        <v>https://api-enni.alpina.ru/FilePrivilegesApproval/1096</v>
      </c>
      <c r="Z2402" s="18"/>
      <c r="AS2402" s="1">
        <f>IF($A2402&lt;&gt;0,1,0)</f>
        <v>0</v>
      </c>
      <c r="AT2402" s="1">
        <f>$A2402*$B2402</f>
        <v>0</v>
      </c>
      <c r="AU2402" s="1">
        <f>$A2402*$O2402</f>
        <v>0</v>
      </c>
      <c r="AV2402" s="1">
        <f>IF($R2402=0,0,INT($A2402/$R2402))</f>
        <v>0</v>
      </c>
      <c r="AW2402" s="1">
        <f>$A2402-$AV2402*$R2402</f>
        <v>0</v>
      </c>
    </row>
    <row r="2403" ht="21.95" customHeight="1" outlineLevel="3" s="1" customFormat="1">
      <c r="A2403" s="15"/>
      <c r="B2403" s="16">
        <v>702</v>
      </c>
      <c r="C2403" s="17">
        <v>1018</v>
      </c>
      <c r="D2403" s="16">
        <v>33929</v>
      </c>
      <c r="E2403" s="18"/>
      <c r="F2403" s="18" t="s">
        <v>7857</v>
      </c>
      <c r="G2403" s="18" t="s">
        <v>7858</v>
      </c>
      <c r="H2403" s="18" t="s">
        <v>39</v>
      </c>
      <c r="I2403" s="18" t="s">
        <v>74</v>
      </c>
      <c r="J2403" s="16">
        <v>2025</v>
      </c>
      <c r="K2403" s="18" t="s">
        <v>7859</v>
      </c>
      <c r="L2403" s="16">
        <v>9785006305984</v>
      </c>
      <c r="M2403" s="18" t="s">
        <v>7860</v>
      </c>
      <c r="N2403" s="16">
        <v>448</v>
      </c>
      <c r="O2403" s="19">
        <v>0.43</v>
      </c>
      <c r="P2403" s="16">
        <v>140</v>
      </c>
      <c r="Q2403" s="16">
        <v>210</v>
      </c>
      <c r="R2403" s="16">
        <v>5</v>
      </c>
      <c r="S2403" s="18" t="s">
        <v>43</v>
      </c>
      <c r="T2403" s="18"/>
      <c r="U2403" s="17">
        <v>5000</v>
      </c>
      <c r="V2403" s="18" t="s">
        <v>44</v>
      </c>
      <c r="W2403" s="18" t="s">
        <v>45</v>
      </c>
      <c r="X2403" s="16">
        <v>22</v>
      </c>
      <c r="Y2403" s="43" t="str">
        <f>HYPERLINK("","")</f>
      </c>
      <c r="Z2403" s="18"/>
      <c r="AS2403" s="1">
        <f>IF($A2403&lt;&gt;0,1,0)</f>
        <v>0</v>
      </c>
      <c r="AT2403" s="1">
        <f>$A2403*$B2403</f>
        <v>0</v>
      </c>
      <c r="AU2403" s="1">
        <f>$A2403*$O2403</f>
        <v>0</v>
      </c>
      <c r="AV2403" s="1">
        <f>IF($R2403=0,0,INT($A2403/$R2403))</f>
        <v>0</v>
      </c>
      <c r="AW2403" s="1">
        <f>$A2403-$AV2403*$R2403</f>
        <v>0</v>
      </c>
    </row>
    <row r="2404" ht="21.95" customHeight="1" outlineLevel="3" s="1" customFormat="1">
      <c r="A2404" s="15"/>
      <c r="B2404" s="16">
        <v>700</v>
      </c>
      <c r="C2404" s="17">
        <v>1050</v>
      </c>
      <c r="D2404" s="16">
        <v>33948</v>
      </c>
      <c r="E2404" s="18"/>
      <c r="F2404" s="18" t="s">
        <v>7857</v>
      </c>
      <c r="G2404" s="18" t="s">
        <v>7861</v>
      </c>
      <c r="H2404" s="18" t="s">
        <v>39</v>
      </c>
      <c r="I2404" s="18" t="s">
        <v>74</v>
      </c>
      <c r="J2404" s="16">
        <v>2026</v>
      </c>
      <c r="K2404" s="18" t="s">
        <v>7862</v>
      </c>
      <c r="L2404" s="16">
        <v>9785006306066</v>
      </c>
      <c r="M2404" s="18" t="s">
        <v>7863</v>
      </c>
      <c r="N2404" s="16">
        <v>528</v>
      </c>
      <c r="O2404" s="19">
        <v>0.5</v>
      </c>
      <c r="P2404" s="16">
        <v>140</v>
      </c>
      <c r="Q2404" s="16">
        <v>210</v>
      </c>
      <c r="R2404" s="16">
        <v>4</v>
      </c>
      <c r="S2404" s="18" t="s">
        <v>43</v>
      </c>
      <c r="T2404" s="18"/>
      <c r="U2404" s="17">
        <v>5000</v>
      </c>
      <c r="V2404" s="18" t="s">
        <v>44</v>
      </c>
      <c r="W2404" s="18" t="s">
        <v>45</v>
      </c>
      <c r="X2404" s="16">
        <v>22</v>
      </c>
      <c r="Y2404" s="43" t="str">
        <f>HYPERLINK("","")</f>
      </c>
      <c r="Z2404" s="18" t="s">
        <v>505</v>
      </c>
      <c r="AS2404" s="1">
        <f>IF($A2404&lt;&gt;0,1,0)</f>
        <v>0</v>
      </c>
      <c r="AT2404" s="1">
        <f>$A2404*$B2404</f>
        <v>0</v>
      </c>
      <c r="AU2404" s="1">
        <f>$A2404*$O2404</f>
        <v>0</v>
      </c>
      <c r="AV2404" s="1">
        <f>IF($R2404=0,0,INT($A2404/$R2404))</f>
        <v>0</v>
      </c>
      <c r="AW2404" s="1">
        <f>$A2404-$AV2404*$R2404</f>
        <v>0</v>
      </c>
    </row>
    <row r="2405" ht="21.95" customHeight="1" outlineLevel="3" s="1" customFormat="1">
      <c r="A2405" s="15"/>
      <c r="B2405" s="16">
        <v>600</v>
      </c>
      <c r="C2405" s="16">
        <v>900</v>
      </c>
      <c r="D2405" s="16">
        <v>36654</v>
      </c>
      <c r="E2405" s="18"/>
      <c r="F2405" s="18" t="s">
        <v>844</v>
      </c>
      <c r="G2405" s="18" t="s">
        <v>7864</v>
      </c>
      <c r="H2405" s="18" t="s">
        <v>39</v>
      </c>
      <c r="I2405" s="18"/>
      <c r="J2405" s="16">
        <v>2026</v>
      </c>
      <c r="K2405" s="18" t="s">
        <v>7865</v>
      </c>
      <c r="L2405" s="16">
        <v>9785006317741</v>
      </c>
      <c r="M2405" s="18" t="s">
        <v>7866</v>
      </c>
      <c r="N2405" s="16">
        <v>320</v>
      </c>
      <c r="O2405" s="19">
        <v>0.39</v>
      </c>
      <c r="P2405" s="16">
        <v>140</v>
      </c>
      <c r="Q2405" s="16">
        <v>210</v>
      </c>
      <c r="R2405" s="16">
        <v>6</v>
      </c>
      <c r="S2405" s="18" t="s">
        <v>43</v>
      </c>
      <c r="T2405" s="18"/>
      <c r="U2405" s="17">
        <v>7000</v>
      </c>
      <c r="V2405" s="18" t="s">
        <v>44</v>
      </c>
      <c r="W2405" s="18" t="s">
        <v>45</v>
      </c>
      <c r="X2405" s="16">
        <v>22</v>
      </c>
      <c r="Y2405" s="43" t="str">
        <f>HYPERLINK("","")</f>
      </c>
      <c r="Z2405" s="18" t="s">
        <v>7867</v>
      </c>
      <c r="AS2405" s="1">
        <f>IF($A2405&lt;&gt;0,1,0)</f>
        <v>0</v>
      </c>
      <c r="AT2405" s="1">
        <f>$A2405*$B2405</f>
        <v>0</v>
      </c>
      <c r="AU2405" s="1">
        <f>$A2405*$O2405</f>
        <v>0</v>
      </c>
      <c r="AV2405" s="1">
        <f>IF($R2405=0,0,INT($A2405/$R2405))</f>
        <v>0</v>
      </c>
      <c r="AW2405" s="1">
        <f>$A2405-$AV2405*$R2405</f>
        <v>0</v>
      </c>
    </row>
    <row r="2406" ht="24.95" customHeight="1" outlineLevel="3" s="1" customFormat="1">
      <c r="A2406" s="15"/>
      <c r="B2406" s="16">
        <v>600</v>
      </c>
      <c r="C2406" s="16">
        <v>900</v>
      </c>
      <c r="D2406" s="16">
        <v>31436</v>
      </c>
      <c r="E2406" s="18"/>
      <c r="F2406" s="18" t="s">
        <v>377</v>
      </c>
      <c r="G2406" s="18" t="s">
        <v>7868</v>
      </c>
      <c r="H2406" s="18" t="s">
        <v>39</v>
      </c>
      <c r="I2406" s="18"/>
      <c r="J2406" s="16">
        <v>2026</v>
      </c>
      <c r="K2406" s="18" t="s">
        <v>7869</v>
      </c>
      <c r="L2406" s="16">
        <v>9785961498738</v>
      </c>
      <c r="M2406" s="18" t="s">
        <v>7870</v>
      </c>
      <c r="N2406" s="16">
        <v>608</v>
      </c>
      <c r="O2406" s="19">
        <v>0.52</v>
      </c>
      <c r="P2406" s="16">
        <v>140</v>
      </c>
      <c r="Q2406" s="16">
        <v>210</v>
      </c>
      <c r="R2406" s="16">
        <v>4</v>
      </c>
      <c r="S2406" s="18" t="s">
        <v>43</v>
      </c>
      <c r="T2406" s="18"/>
      <c r="U2406" s="17">
        <v>10000</v>
      </c>
      <c r="V2406" s="18" t="s">
        <v>44</v>
      </c>
      <c r="W2406" s="18" t="s">
        <v>69</v>
      </c>
      <c r="X2406" s="16">
        <v>10</v>
      </c>
      <c r="Y2406" s="43" t="str">
        <f>HYPERLINK("https://api-enni.alpina.ru/FilePrivilegesApproval/793","https://api-enni.alpina.ru/FilePrivilegesApproval/793")</f>
        <v>https://api-enni.alpina.ru/FilePrivilegesApproval/793</v>
      </c>
      <c r="Z2406" s="18"/>
      <c r="AS2406" s="1">
        <f>IF($A2406&lt;&gt;0,1,0)</f>
        <v>0</v>
      </c>
      <c r="AT2406" s="1">
        <f>$A2406*$B2406</f>
        <v>0</v>
      </c>
      <c r="AU2406" s="1">
        <f>$A2406*$O2406</f>
        <v>0</v>
      </c>
      <c r="AV2406" s="1">
        <f>IF($R2406=0,0,INT($A2406/$R2406))</f>
        <v>0</v>
      </c>
      <c r="AW2406" s="1">
        <f>$A2406-$AV2406*$R2406</f>
        <v>0</v>
      </c>
    </row>
    <row r="2407" ht="15" customHeight="1" outlineLevel="1">
      <c r="A2407" s="40" t="s">
        <v>7871</v>
      </c>
      <c r="B2407" s="40"/>
      <c r="C2407" s="40"/>
      <c r="D2407" s="40"/>
      <c r="E2407" s="40"/>
      <c r="F2407" s="40"/>
      <c r="G2407" s="40"/>
      <c r="H2407" s="40"/>
      <c r="I2407" s="40"/>
      <c r="J2407" s="40"/>
      <c r="K2407" s="40"/>
      <c r="L2407" s="40"/>
      <c r="M2407" s="40"/>
      <c r="N2407" s="40"/>
      <c r="O2407" s="40"/>
      <c r="P2407" s="40"/>
      <c r="Q2407" s="40"/>
      <c r="R2407" s="40"/>
      <c r="S2407" s="40"/>
      <c r="T2407" s="40"/>
      <c r="U2407" s="40"/>
      <c r="V2407" s="40"/>
      <c r="W2407" s="40"/>
      <c r="X2407" s="40"/>
      <c r="Y2407" s="40"/>
      <c r="Z2407" s="23"/>
    </row>
    <row r="2408" ht="11.1" customHeight="1" outlineLevel="2">
      <c r="A2408" s="41" t="s">
        <v>7872</v>
      </c>
      <c r="B2408" s="41"/>
      <c r="C2408" s="41"/>
      <c r="D2408" s="41"/>
      <c r="E2408" s="41"/>
      <c r="F2408" s="41"/>
      <c r="G2408" s="41"/>
      <c r="H2408" s="41"/>
      <c r="I2408" s="41"/>
      <c r="J2408" s="41"/>
      <c r="K2408" s="41"/>
      <c r="L2408" s="41"/>
      <c r="M2408" s="41"/>
      <c r="N2408" s="41"/>
      <c r="O2408" s="41"/>
      <c r="P2408" s="41"/>
      <c r="Q2408" s="41"/>
      <c r="R2408" s="41"/>
      <c r="S2408" s="41"/>
      <c r="T2408" s="41"/>
      <c r="U2408" s="41"/>
      <c r="V2408" s="41"/>
      <c r="W2408" s="41"/>
      <c r="X2408" s="41"/>
      <c r="Y2408" s="41"/>
      <c r="Z2408" s="24"/>
    </row>
    <row r="2409" ht="11.1" customHeight="1" outlineLevel="2">
      <c r="A2409" s="41" t="s">
        <v>7873</v>
      </c>
      <c r="B2409" s="41"/>
      <c r="C2409" s="41"/>
      <c r="D2409" s="41"/>
      <c r="E2409" s="41"/>
      <c r="F2409" s="41"/>
      <c r="G2409" s="41"/>
      <c r="H2409" s="41"/>
      <c r="I2409" s="41"/>
      <c r="J2409" s="41"/>
      <c r="K2409" s="41"/>
      <c r="L2409" s="41"/>
      <c r="M2409" s="41"/>
      <c r="N2409" s="41"/>
      <c r="O2409" s="41"/>
      <c r="P2409" s="41"/>
      <c r="Q2409" s="41"/>
      <c r="R2409" s="41"/>
      <c r="S2409" s="41"/>
      <c r="T2409" s="41"/>
      <c r="U2409" s="41"/>
      <c r="V2409" s="41"/>
      <c r="W2409" s="41"/>
      <c r="X2409" s="41"/>
      <c r="Y2409" s="41"/>
      <c r="Z2409" s="24"/>
    </row>
    <row r="2410" ht="24.95" customHeight="1" outlineLevel="3" s="1" customFormat="1">
      <c r="A2410" s="15"/>
      <c r="B2410" s="16">
        <v>970</v>
      </c>
      <c r="C2410" s="17">
        <v>1358</v>
      </c>
      <c r="D2410" s="16">
        <v>29399</v>
      </c>
      <c r="E2410" s="18"/>
      <c r="F2410" s="18" t="s">
        <v>524</v>
      </c>
      <c r="G2410" s="18" t="s">
        <v>7874</v>
      </c>
      <c r="H2410" s="18" t="s">
        <v>49</v>
      </c>
      <c r="I2410" s="18" t="s">
        <v>87</v>
      </c>
      <c r="J2410" s="16">
        <v>2026</v>
      </c>
      <c r="K2410" s="18" t="s">
        <v>7875</v>
      </c>
      <c r="L2410" s="16">
        <v>9785961492408</v>
      </c>
      <c r="M2410" s="18" t="s">
        <v>7876</v>
      </c>
      <c r="N2410" s="16">
        <v>112</v>
      </c>
      <c r="O2410" s="19">
        <v>0.39</v>
      </c>
      <c r="P2410" s="16">
        <v>210</v>
      </c>
      <c r="Q2410" s="16">
        <v>210</v>
      </c>
      <c r="R2410" s="16">
        <v>149</v>
      </c>
      <c r="S2410" s="18" t="s">
        <v>83</v>
      </c>
      <c r="T2410" s="18" t="s">
        <v>183</v>
      </c>
      <c r="U2410" s="17">
        <v>3000</v>
      </c>
      <c r="V2410" s="18" t="s">
        <v>77</v>
      </c>
      <c r="W2410" s="18" t="s">
        <v>184</v>
      </c>
      <c r="X2410" s="16">
        <v>10</v>
      </c>
      <c r="Y2410" s="18" t="s">
        <v>540</v>
      </c>
      <c r="Z2410" s="18"/>
      <c r="AS2410" s="1">
        <f>IF($A2410&lt;&gt;0,1,0)</f>
        <v>0</v>
      </c>
      <c r="AT2410" s="1">
        <f>$A2410*$B2410</f>
        <v>0</v>
      </c>
      <c r="AU2410" s="1">
        <f>$A2410*$O2410</f>
        <v>0</v>
      </c>
      <c r="AV2410" s="1">
        <f>IF($R2410=0,0,INT($A2410/$R2410))</f>
        <v>0</v>
      </c>
      <c r="AW2410" s="1">
        <f>$A2410-$AV2410*$R2410</f>
        <v>0</v>
      </c>
    </row>
    <row r="2411" ht="24.95" customHeight="1" outlineLevel="3" s="1" customFormat="1">
      <c r="A2411" s="15"/>
      <c r="B2411" s="16">
        <v>970</v>
      </c>
      <c r="C2411" s="17">
        <v>1358</v>
      </c>
      <c r="D2411" s="16">
        <v>28455</v>
      </c>
      <c r="E2411" s="18"/>
      <c r="F2411" s="18" t="s">
        <v>524</v>
      </c>
      <c r="G2411" s="18" t="s">
        <v>7877</v>
      </c>
      <c r="H2411" s="18" t="s">
        <v>49</v>
      </c>
      <c r="I2411" s="18" t="s">
        <v>87</v>
      </c>
      <c r="J2411" s="16">
        <v>2026</v>
      </c>
      <c r="K2411" s="18" t="s">
        <v>7878</v>
      </c>
      <c r="L2411" s="16">
        <v>9785961489019</v>
      </c>
      <c r="M2411" s="18" t="s">
        <v>7879</v>
      </c>
      <c r="N2411" s="16">
        <v>112</v>
      </c>
      <c r="O2411" s="19">
        <v>0.38</v>
      </c>
      <c r="P2411" s="16">
        <v>210</v>
      </c>
      <c r="Q2411" s="16">
        <v>210</v>
      </c>
      <c r="R2411" s="16">
        <v>12</v>
      </c>
      <c r="S2411" s="18" t="s">
        <v>83</v>
      </c>
      <c r="T2411" s="18" t="s">
        <v>183</v>
      </c>
      <c r="U2411" s="17">
        <v>3000</v>
      </c>
      <c r="V2411" s="18" t="s">
        <v>77</v>
      </c>
      <c r="W2411" s="18" t="s">
        <v>184</v>
      </c>
      <c r="X2411" s="16">
        <v>10</v>
      </c>
      <c r="Y2411" s="18" t="s">
        <v>540</v>
      </c>
      <c r="Z2411" s="18"/>
      <c r="AS2411" s="1">
        <f>IF($A2411&lt;&gt;0,1,0)</f>
        <v>0</v>
      </c>
      <c r="AT2411" s="1">
        <f>$A2411*$B2411</f>
        <v>0</v>
      </c>
      <c r="AU2411" s="1">
        <f>$A2411*$O2411</f>
        <v>0</v>
      </c>
      <c r="AV2411" s="1">
        <f>IF($R2411=0,0,INT($A2411/$R2411))</f>
        <v>0</v>
      </c>
      <c r="AW2411" s="1">
        <f>$A2411-$AV2411*$R2411</f>
        <v>0</v>
      </c>
    </row>
    <row r="2412" ht="24.95" customHeight="1" outlineLevel="3" s="1" customFormat="1">
      <c r="A2412" s="15"/>
      <c r="B2412" s="16">
        <v>970</v>
      </c>
      <c r="C2412" s="17">
        <v>1358</v>
      </c>
      <c r="D2412" s="16">
        <v>28274</v>
      </c>
      <c r="E2412" s="18"/>
      <c r="F2412" s="18" t="s">
        <v>524</v>
      </c>
      <c r="G2412" s="18" t="s">
        <v>7880</v>
      </c>
      <c r="H2412" s="18" t="s">
        <v>49</v>
      </c>
      <c r="I2412" s="18" t="s">
        <v>87</v>
      </c>
      <c r="J2412" s="16">
        <v>2026</v>
      </c>
      <c r="K2412" s="18" t="s">
        <v>7881</v>
      </c>
      <c r="L2412" s="16">
        <v>9785961487688</v>
      </c>
      <c r="M2412" s="18" t="s">
        <v>7882</v>
      </c>
      <c r="N2412" s="16">
        <v>104</v>
      </c>
      <c r="O2412" s="19">
        <v>0.36</v>
      </c>
      <c r="P2412" s="16">
        <v>210</v>
      </c>
      <c r="Q2412" s="16">
        <v>210</v>
      </c>
      <c r="R2412" s="16">
        <v>12</v>
      </c>
      <c r="S2412" s="18" t="s">
        <v>83</v>
      </c>
      <c r="T2412" s="18" t="s">
        <v>183</v>
      </c>
      <c r="U2412" s="17">
        <v>10000</v>
      </c>
      <c r="V2412" s="18" t="s">
        <v>77</v>
      </c>
      <c r="W2412" s="18" t="s">
        <v>184</v>
      </c>
      <c r="X2412" s="16">
        <v>10</v>
      </c>
      <c r="Y2412" s="18" t="s">
        <v>528</v>
      </c>
      <c r="Z2412" s="18"/>
      <c r="AS2412" s="1">
        <f>IF($A2412&lt;&gt;0,1,0)</f>
        <v>0</v>
      </c>
      <c r="AT2412" s="1">
        <f>$A2412*$B2412</f>
        <v>0</v>
      </c>
      <c r="AU2412" s="1">
        <f>$A2412*$O2412</f>
        <v>0</v>
      </c>
      <c r="AV2412" s="1">
        <f>IF($R2412=0,0,INT($A2412/$R2412))</f>
        <v>0</v>
      </c>
      <c r="AW2412" s="1">
        <f>$A2412-$AV2412*$R2412</f>
        <v>0</v>
      </c>
    </row>
    <row r="2413" ht="24.95" customHeight="1" outlineLevel="3" s="1" customFormat="1">
      <c r="A2413" s="15"/>
      <c r="B2413" s="16">
        <v>970</v>
      </c>
      <c r="C2413" s="17">
        <v>1358</v>
      </c>
      <c r="D2413" s="16">
        <v>28457</v>
      </c>
      <c r="E2413" s="18"/>
      <c r="F2413" s="18" t="s">
        <v>524</v>
      </c>
      <c r="G2413" s="18" t="s">
        <v>7883</v>
      </c>
      <c r="H2413" s="18" t="s">
        <v>49</v>
      </c>
      <c r="I2413" s="18" t="s">
        <v>87</v>
      </c>
      <c r="J2413" s="16">
        <v>2026</v>
      </c>
      <c r="K2413" s="18" t="s">
        <v>7884</v>
      </c>
      <c r="L2413" s="16">
        <v>9785961489040</v>
      </c>
      <c r="M2413" s="18" t="s">
        <v>7885</v>
      </c>
      <c r="N2413" s="16">
        <v>104</v>
      </c>
      <c r="O2413" s="19">
        <v>0.36</v>
      </c>
      <c r="P2413" s="16">
        <v>210</v>
      </c>
      <c r="Q2413" s="16">
        <v>210</v>
      </c>
      <c r="R2413" s="16">
        <v>12</v>
      </c>
      <c r="S2413" s="18" t="s">
        <v>83</v>
      </c>
      <c r="T2413" s="18" t="s">
        <v>183</v>
      </c>
      <c r="U2413" s="17">
        <v>5000</v>
      </c>
      <c r="V2413" s="18" t="s">
        <v>77</v>
      </c>
      <c r="W2413" s="18" t="s">
        <v>184</v>
      </c>
      <c r="X2413" s="16">
        <v>10</v>
      </c>
      <c r="Y2413" s="18" t="s">
        <v>528</v>
      </c>
      <c r="Z2413" s="18"/>
      <c r="AS2413" s="1">
        <f>IF($A2413&lt;&gt;0,1,0)</f>
        <v>0</v>
      </c>
      <c r="AT2413" s="1">
        <f>$A2413*$B2413</f>
        <v>0</v>
      </c>
      <c r="AU2413" s="1">
        <f>$A2413*$O2413</f>
        <v>0</v>
      </c>
      <c r="AV2413" s="1">
        <f>IF($R2413=0,0,INT($A2413/$R2413))</f>
        <v>0</v>
      </c>
      <c r="AW2413" s="1">
        <f>$A2413-$AV2413*$R2413</f>
        <v>0</v>
      </c>
    </row>
    <row r="2414" ht="24.95" customHeight="1" outlineLevel="3" s="1" customFormat="1">
      <c r="A2414" s="15"/>
      <c r="B2414" s="16">
        <v>970</v>
      </c>
      <c r="C2414" s="17">
        <v>1358</v>
      </c>
      <c r="D2414" s="16">
        <v>28456</v>
      </c>
      <c r="E2414" s="18"/>
      <c r="F2414" s="18" t="s">
        <v>524</v>
      </c>
      <c r="G2414" s="18" t="s">
        <v>7886</v>
      </c>
      <c r="H2414" s="18" t="s">
        <v>49</v>
      </c>
      <c r="I2414" s="18" t="s">
        <v>87</v>
      </c>
      <c r="J2414" s="16">
        <v>2026</v>
      </c>
      <c r="K2414" s="18" t="s">
        <v>7887</v>
      </c>
      <c r="L2414" s="16">
        <v>9785961489026</v>
      </c>
      <c r="M2414" s="18" t="s">
        <v>7888</v>
      </c>
      <c r="N2414" s="16">
        <v>112</v>
      </c>
      <c r="O2414" s="19">
        <v>0.38</v>
      </c>
      <c r="P2414" s="16">
        <v>210</v>
      </c>
      <c r="Q2414" s="16">
        <v>210</v>
      </c>
      <c r="R2414" s="16">
        <v>12</v>
      </c>
      <c r="S2414" s="18" t="s">
        <v>83</v>
      </c>
      <c r="T2414" s="18" t="s">
        <v>183</v>
      </c>
      <c r="U2414" s="17">
        <v>3000</v>
      </c>
      <c r="V2414" s="18" t="s">
        <v>77</v>
      </c>
      <c r="W2414" s="18" t="s">
        <v>184</v>
      </c>
      <c r="X2414" s="16">
        <v>10</v>
      </c>
      <c r="Y2414" s="18" t="s">
        <v>540</v>
      </c>
      <c r="Z2414" s="18"/>
      <c r="AS2414" s="1">
        <f>IF($A2414&lt;&gt;0,1,0)</f>
        <v>0</v>
      </c>
      <c r="AT2414" s="1">
        <f>$A2414*$B2414</f>
        <v>0</v>
      </c>
      <c r="AU2414" s="1">
        <f>$A2414*$O2414</f>
        <v>0</v>
      </c>
      <c r="AV2414" s="1">
        <f>IF($R2414=0,0,INT($A2414/$R2414))</f>
        <v>0</v>
      </c>
      <c r="AW2414" s="1">
        <f>$A2414-$AV2414*$R2414</f>
        <v>0</v>
      </c>
    </row>
    <row r="2415" ht="24.95" customHeight="1" outlineLevel="3" s="1" customFormat="1">
      <c r="A2415" s="15"/>
      <c r="B2415" s="16">
        <v>970</v>
      </c>
      <c r="C2415" s="17">
        <v>1358</v>
      </c>
      <c r="D2415" s="16">
        <v>29400</v>
      </c>
      <c r="E2415" s="18"/>
      <c r="F2415" s="18" t="s">
        <v>524</v>
      </c>
      <c r="G2415" s="18" t="s">
        <v>7889</v>
      </c>
      <c r="H2415" s="18" t="s">
        <v>49</v>
      </c>
      <c r="I2415" s="18" t="s">
        <v>87</v>
      </c>
      <c r="J2415" s="16">
        <v>2026</v>
      </c>
      <c r="K2415" s="18" t="s">
        <v>7890</v>
      </c>
      <c r="L2415" s="16">
        <v>9785961492415</v>
      </c>
      <c r="M2415" s="18" t="s">
        <v>7891</v>
      </c>
      <c r="N2415" s="16">
        <v>112</v>
      </c>
      <c r="O2415" s="19">
        <v>0.39</v>
      </c>
      <c r="P2415" s="16">
        <v>210</v>
      </c>
      <c r="Q2415" s="16">
        <v>210</v>
      </c>
      <c r="R2415" s="16">
        <v>12</v>
      </c>
      <c r="S2415" s="18" t="s">
        <v>83</v>
      </c>
      <c r="T2415" s="18" t="s">
        <v>183</v>
      </c>
      <c r="U2415" s="17">
        <v>5000</v>
      </c>
      <c r="V2415" s="18" t="s">
        <v>77</v>
      </c>
      <c r="W2415" s="18" t="s">
        <v>184</v>
      </c>
      <c r="X2415" s="16">
        <v>10</v>
      </c>
      <c r="Y2415" s="18" t="s">
        <v>540</v>
      </c>
      <c r="Z2415" s="18"/>
      <c r="AS2415" s="1">
        <f>IF($A2415&lt;&gt;0,1,0)</f>
        <v>0</v>
      </c>
      <c r="AT2415" s="1">
        <f>$A2415*$B2415</f>
        <v>0</v>
      </c>
      <c r="AU2415" s="1">
        <f>$A2415*$O2415</f>
        <v>0</v>
      </c>
      <c r="AV2415" s="1">
        <f>IF($R2415=0,0,INT($A2415/$R2415))</f>
        <v>0</v>
      </c>
      <c r="AW2415" s="1">
        <f>$A2415-$AV2415*$R2415</f>
        <v>0</v>
      </c>
    </row>
    <row r="2416" ht="24.95" customHeight="1" outlineLevel="3" s="1" customFormat="1">
      <c r="A2416" s="15"/>
      <c r="B2416" s="16">
        <v>970</v>
      </c>
      <c r="C2416" s="17">
        <v>1358</v>
      </c>
      <c r="D2416" s="16">
        <v>32327</v>
      </c>
      <c r="E2416" s="18"/>
      <c r="F2416" s="18" t="s">
        <v>524</v>
      </c>
      <c r="G2416" s="18" t="s">
        <v>7892</v>
      </c>
      <c r="H2416" s="18" t="s">
        <v>49</v>
      </c>
      <c r="I2416" s="18" t="s">
        <v>87</v>
      </c>
      <c r="J2416" s="16">
        <v>2026</v>
      </c>
      <c r="K2416" s="18" t="s">
        <v>7893</v>
      </c>
      <c r="L2416" s="16">
        <v>9785006302013</v>
      </c>
      <c r="M2416" s="18" t="s">
        <v>7894</v>
      </c>
      <c r="N2416" s="16">
        <v>110</v>
      </c>
      <c r="O2416" s="19">
        <v>0.39</v>
      </c>
      <c r="P2416" s="16">
        <v>210</v>
      </c>
      <c r="Q2416" s="16">
        <v>210</v>
      </c>
      <c r="R2416" s="16">
        <v>12</v>
      </c>
      <c r="S2416" s="18" t="s">
        <v>52</v>
      </c>
      <c r="T2416" s="18" t="s">
        <v>183</v>
      </c>
      <c r="U2416" s="17">
        <v>3000</v>
      </c>
      <c r="V2416" s="18" t="s">
        <v>77</v>
      </c>
      <c r="W2416" s="18" t="s">
        <v>184</v>
      </c>
      <c r="X2416" s="16">
        <v>10</v>
      </c>
      <c r="Y2416" s="18" t="s">
        <v>7895</v>
      </c>
      <c r="Z2416" s="18" t="s">
        <v>98</v>
      </c>
      <c r="AS2416" s="1">
        <f>IF($A2416&lt;&gt;0,1,0)</f>
        <v>0</v>
      </c>
      <c r="AT2416" s="1">
        <f>$A2416*$B2416</f>
        <v>0</v>
      </c>
      <c r="AU2416" s="1">
        <f>$A2416*$O2416</f>
        <v>0</v>
      </c>
      <c r="AV2416" s="1">
        <f>IF($R2416=0,0,INT($A2416/$R2416))</f>
        <v>0</v>
      </c>
      <c r="AW2416" s="1">
        <f>$A2416-$AV2416*$R2416</f>
        <v>0</v>
      </c>
    </row>
    <row r="2417" ht="24.95" customHeight="1" outlineLevel="3" s="1" customFormat="1">
      <c r="A2417" s="15"/>
      <c r="B2417" s="16">
        <v>970</v>
      </c>
      <c r="C2417" s="17">
        <v>1358</v>
      </c>
      <c r="D2417" s="16">
        <v>29398</v>
      </c>
      <c r="E2417" s="18"/>
      <c r="F2417" s="18" t="s">
        <v>524</v>
      </c>
      <c r="G2417" s="18" t="s">
        <v>7896</v>
      </c>
      <c r="H2417" s="18" t="s">
        <v>49</v>
      </c>
      <c r="I2417" s="18" t="s">
        <v>87</v>
      </c>
      <c r="J2417" s="16">
        <v>2026</v>
      </c>
      <c r="K2417" s="18" t="s">
        <v>7897</v>
      </c>
      <c r="L2417" s="16">
        <v>9785961492392</v>
      </c>
      <c r="M2417" s="18" t="s">
        <v>7898</v>
      </c>
      <c r="N2417" s="16">
        <v>112</v>
      </c>
      <c r="O2417" s="19">
        <v>0.39</v>
      </c>
      <c r="P2417" s="16">
        <v>210</v>
      </c>
      <c r="Q2417" s="16">
        <v>210</v>
      </c>
      <c r="R2417" s="16">
        <v>12</v>
      </c>
      <c r="S2417" s="18" t="s">
        <v>83</v>
      </c>
      <c r="T2417" s="18" t="s">
        <v>183</v>
      </c>
      <c r="U2417" s="17">
        <v>3000</v>
      </c>
      <c r="V2417" s="18" t="s">
        <v>77</v>
      </c>
      <c r="W2417" s="18" t="s">
        <v>184</v>
      </c>
      <c r="X2417" s="16">
        <v>10</v>
      </c>
      <c r="Y2417" s="18" t="s">
        <v>7899</v>
      </c>
      <c r="Z2417" s="18"/>
      <c r="AS2417" s="1">
        <f>IF($A2417&lt;&gt;0,1,0)</f>
        <v>0</v>
      </c>
      <c r="AT2417" s="1">
        <f>$A2417*$B2417</f>
        <v>0</v>
      </c>
      <c r="AU2417" s="1">
        <f>$A2417*$O2417</f>
        <v>0</v>
      </c>
      <c r="AV2417" s="1">
        <f>IF($R2417=0,0,INT($A2417/$R2417))</f>
        <v>0</v>
      </c>
      <c r="AW2417" s="1">
        <f>$A2417-$AV2417*$R2417</f>
        <v>0</v>
      </c>
    </row>
    <row r="2418" ht="24.95" customHeight="1" outlineLevel="3" s="1" customFormat="1">
      <c r="A2418" s="15"/>
      <c r="B2418" s="16">
        <v>970</v>
      </c>
      <c r="C2418" s="17">
        <v>1358</v>
      </c>
      <c r="D2418" s="16">
        <v>28273</v>
      </c>
      <c r="E2418" s="18"/>
      <c r="F2418" s="18" t="s">
        <v>524</v>
      </c>
      <c r="G2418" s="18" t="s">
        <v>7900</v>
      </c>
      <c r="H2418" s="18" t="s">
        <v>49</v>
      </c>
      <c r="I2418" s="18" t="s">
        <v>87</v>
      </c>
      <c r="J2418" s="16">
        <v>2026</v>
      </c>
      <c r="K2418" s="18" t="s">
        <v>7901</v>
      </c>
      <c r="L2418" s="16">
        <v>9785961487671</v>
      </c>
      <c r="M2418" s="18" t="s">
        <v>7902</v>
      </c>
      <c r="N2418" s="16">
        <v>104</v>
      </c>
      <c r="O2418" s="19">
        <v>0.36</v>
      </c>
      <c r="P2418" s="16">
        <v>210</v>
      </c>
      <c r="Q2418" s="16">
        <v>210</v>
      </c>
      <c r="R2418" s="16">
        <v>12</v>
      </c>
      <c r="S2418" s="18" t="s">
        <v>83</v>
      </c>
      <c r="T2418" s="18" t="s">
        <v>183</v>
      </c>
      <c r="U2418" s="17">
        <v>3000</v>
      </c>
      <c r="V2418" s="18" t="s">
        <v>77</v>
      </c>
      <c r="W2418" s="18" t="s">
        <v>184</v>
      </c>
      <c r="X2418" s="16">
        <v>10</v>
      </c>
      <c r="Y2418" s="18" t="s">
        <v>528</v>
      </c>
      <c r="Z2418" s="18"/>
      <c r="AS2418" s="1">
        <f>IF($A2418&lt;&gt;0,1,0)</f>
        <v>0</v>
      </c>
      <c r="AT2418" s="1">
        <f>$A2418*$B2418</f>
        <v>0</v>
      </c>
      <c r="AU2418" s="1">
        <f>$A2418*$O2418</f>
        <v>0</v>
      </c>
      <c r="AV2418" s="1">
        <f>IF($R2418=0,0,INT($A2418/$R2418))</f>
        <v>0</v>
      </c>
      <c r="AW2418" s="1">
        <f>$A2418-$AV2418*$R2418</f>
        <v>0</v>
      </c>
    </row>
    <row r="2419" ht="24.95" customHeight="1" outlineLevel="3" s="1" customFormat="1">
      <c r="A2419" s="15"/>
      <c r="B2419" s="16">
        <v>970</v>
      </c>
      <c r="C2419" s="17">
        <v>1358</v>
      </c>
      <c r="D2419" s="16">
        <v>28179</v>
      </c>
      <c r="E2419" s="18"/>
      <c r="F2419" s="18" t="s">
        <v>524</v>
      </c>
      <c r="G2419" s="18" t="s">
        <v>525</v>
      </c>
      <c r="H2419" s="18" t="s">
        <v>49</v>
      </c>
      <c r="I2419" s="18" t="s">
        <v>87</v>
      </c>
      <c r="J2419" s="16">
        <v>2026</v>
      </c>
      <c r="K2419" s="18" t="s">
        <v>526</v>
      </c>
      <c r="L2419" s="16">
        <v>9785961487497</v>
      </c>
      <c r="M2419" s="18" t="s">
        <v>527</v>
      </c>
      <c r="N2419" s="16">
        <v>104</v>
      </c>
      <c r="O2419" s="19">
        <v>0.33</v>
      </c>
      <c r="P2419" s="16">
        <v>210</v>
      </c>
      <c r="Q2419" s="16">
        <v>210</v>
      </c>
      <c r="R2419" s="16">
        <v>12</v>
      </c>
      <c r="S2419" s="18" t="s">
        <v>83</v>
      </c>
      <c r="T2419" s="18" t="s">
        <v>183</v>
      </c>
      <c r="U2419" s="17">
        <v>5000</v>
      </c>
      <c r="V2419" s="18" t="s">
        <v>77</v>
      </c>
      <c r="W2419" s="18" t="s">
        <v>184</v>
      </c>
      <c r="X2419" s="16">
        <v>10</v>
      </c>
      <c r="Y2419" s="18" t="s">
        <v>528</v>
      </c>
      <c r="Z2419" s="18" t="s">
        <v>149</v>
      </c>
      <c r="AS2419" s="1">
        <f>IF($A2419&lt;&gt;0,1,0)</f>
        <v>0</v>
      </c>
      <c r="AT2419" s="1">
        <f>$A2419*$B2419</f>
        <v>0</v>
      </c>
      <c r="AU2419" s="1">
        <f>$A2419*$O2419</f>
        <v>0</v>
      </c>
      <c r="AV2419" s="1">
        <f>IF($R2419=0,0,INT($A2419/$R2419))</f>
        <v>0</v>
      </c>
      <c r="AW2419" s="1">
        <f>$A2419-$AV2419*$R2419</f>
        <v>0</v>
      </c>
    </row>
    <row r="2420" ht="24.95" customHeight="1" outlineLevel="3" s="1" customFormat="1">
      <c r="A2420" s="15"/>
      <c r="B2420" s="16">
        <v>650</v>
      </c>
      <c r="C2420" s="16">
        <v>975</v>
      </c>
      <c r="D2420" s="16">
        <v>27853</v>
      </c>
      <c r="E2420" s="18"/>
      <c r="F2420" s="18" t="s">
        <v>7903</v>
      </c>
      <c r="G2420" s="18" t="s">
        <v>7904</v>
      </c>
      <c r="H2420" s="18" t="s">
        <v>49</v>
      </c>
      <c r="I2420" s="18"/>
      <c r="J2420" s="16">
        <v>2023</v>
      </c>
      <c r="K2420" s="18" t="s">
        <v>7905</v>
      </c>
      <c r="L2420" s="16">
        <v>9785961491296</v>
      </c>
      <c r="M2420" s="18" t="s">
        <v>7906</v>
      </c>
      <c r="N2420" s="16">
        <v>96</v>
      </c>
      <c r="O2420" s="19">
        <v>0.47</v>
      </c>
      <c r="P2420" s="16">
        <v>200</v>
      </c>
      <c r="Q2420" s="16">
        <v>270</v>
      </c>
      <c r="R2420" s="16">
        <v>12</v>
      </c>
      <c r="S2420" s="18" t="s">
        <v>83</v>
      </c>
      <c r="T2420" s="18" t="s">
        <v>183</v>
      </c>
      <c r="U2420" s="17">
        <v>4000</v>
      </c>
      <c r="V2420" s="18" t="s">
        <v>77</v>
      </c>
      <c r="W2420" s="18" t="s">
        <v>184</v>
      </c>
      <c r="X2420" s="16">
        <v>10</v>
      </c>
      <c r="Y2420" s="18" t="s">
        <v>927</v>
      </c>
      <c r="Z2420" s="18"/>
      <c r="AS2420" s="1">
        <f>IF($A2420&lt;&gt;0,1,0)</f>
        <v>0</v>
      </c>
      <c r="AT2420" s="1">
        <f>$A2420*$B2420</f>
        <v>0</v>
      </c>
      <c r="AU2420" s="1">
        <f>$A2420*$O2420</f>
        <v>0</v>
      </c>
      <c r="AV2420" s="1">
        <f>IF($R2420=0,0,INT($A2420/$R2420))</f>
        <v>0</v>
      </c>
      <c r="AW2420" s="1">
        <f>$A2420-$AV2420*$R2420</f>
        <v>0</v>
      </c>
    </row>
    <row r="2421" ht="24.95" customHeight="1" outlineLevel="3" s="1" customFormat="1">
      <c r="A2421" s="15"/>
      <c r="B2421" s="16">
        <v>790</v>
      </c>
      <c r="C2421" s="17">
        <v>1146</v>
      </c>
      <c r="D2421" s="16">
        <v>27342</v>
      </c>
      <c r="E2421" s="18"/>
      <c r="F2421" s="18" t="s">
        <v>7907</v>
      </c>
      <c r="G2421" s="18" t="s">
        <v>7908</v>
      </c>
      <c r="H2421" s="18" t="s">
        <v>49</v>
      </c>
      <c r="I2421" s="18" t="s">
        <v>87</v>
      </c>
      <c r="J2421" s="16">
        <v>2026</v>
      </c>
      <c r="K2421" s="18" t="s">
        <v>7909</v>
      </c>
      <c r="L2421" s="16">
        <v>9785961484687</v>
      </c>
      <c r="M2421" s="18" t="s">
        <v>7910</v>
      </c>
      <c r="N2421" s="16">
        <v>12</v>
      </c>
      <c r="O2421" s="19">
        <v>0.3</v>
      </c>
      <c r="P2421" s="16">
        <v>240</v>
      </c>
      <c r="Q2421" s="16">
        <v>320</v>
      </c>
      <c r="R2421" s="16">
        <v>40</v>
      </c>
      <c r="S2421" s="18" t="s">
        <v>83</v>
      </c>
      <c r="T2421" s="18" t="s">
        <v>183</v>
      </c>
      <c r="U2421" s="17">
        <v>5000</v>
      </c>
      <c r="V2421" s="18" t="s">
        <v>44</v>
      </c>
      <c r="W2421" s="18" t="s">
        <v>184</v>
      </c>
      <c r="X2421" s="16">
        <v>10</v>
      </c>
      <c r="Y2421" s="18" t="s">
        <v>7911</v>
      </c>
      <c r="Z2421" s="18"/>
      <c r="AS2421" s="1">
        <f>IF($A2421&lt;&gt;0,1,0)</f>
        <v>0</v>
      </c>
      <c r="AT2421" s="1">
        <f>$A2421*$B2421</f>
        <v>0</v>
      </c>
      <c r="AU2421" s="1">
        <f>$A2421*$O2421</f>
        <v>0</v>
      </c>
      <c r="AV2421" s="1">
        <f>IF($R2421=0,0,INT($A2421/$R2421))</f>
        <v>0</v>
      </c>
      <c r="AW2421" s="1">
        <f>$A2421-$AV2421*$R2421</f>
        <v>0</v>
      </c>
    </row>
    <row r="2422" ht="24.95" customHeight="1" outlineLevel="3" s="1" customFormat="1">
      <c r="A2422" s="15"/>
      <c r="B2422" s="16">
        <v>790</v>
      </c>
      <c r="C2422" s="17">
        <v>1146</v>
      </c>
      <c r="D2422" s="16">
        <v>27343</v>
      </c>
      <c r="E2422" s="18"/>
      <c r="F2422" s="18" t="s">
        <v>1003</v>
      </c>
      <c r="G2422" s="18" t="s">
        <v>7912</v>
      </c>
      <c r="H2422" s="18" t="s">
        <v>49</v>
      </c>
      <c r="I2422" s="18" t="s">
        <v>87</v>
      </c>
      <c r="J2422" s="16">
        <v>2026</v>
      </c>
      <c r="K2422" s="18" t="s">
        <v>7913</v>
      </c>
      <c r="L2422" s="16">
        <v>9785961484694</v>
      </c>
      <c r="M2422" s="18" t="s">
        <v>7914</v>
      </c>
      <c r="N2422" s="16">
        <v>14</v>
      </c>
      <c r="O2422" s="19">
        <v>0.38</v>
      </c>
      <c r="P2422" s="16">
        <v>240</v>
      </c>
      <c r="Q2422" s="16">
        <v>320</v>
      </c>
      <c r="R2422" s="16">
        <v>20</v>
      </c>
      <c r="S2422" s="18" t="s">
        <v>83</v>
      </c>
      <c r="T2422" s="18" t="s">
        <v>183</v>
      </c>
      <c r="U2422" s="17">
        <v>2500</v>
      </c>
      <c r="V2422" s="18" t="s">
        <v>44</v>
      </c>
      <c r="W2422" s="18" t="s">
        <v>184</v>
      </c>
      <c r="X2422" s="16">
        <v>10</v>
      </c>
      <c r="Y2422" s="18" t="s">
        <v>528</v>
      </c>
      <c r="Z2422" s="18" t="s">
        <v>874</v>
      </c>
      <c r="AS2422" s="1">
        <f>IF($A2422&lt;&gt;0,1,0)</f>
        <v>0</v>
      </c>
      <c r="AT2422" s="1">
        <f>$A2422*$B2422</f>
        <v>0</v>
      </c>
      <c r="AU2422" s="1">
        <f>$A2422*$O2422</f>
        <v>0</v>
      </c>
      <c r="AV2422" s="1">
        <f>IF($R2422=0,0,INT($A2422/$R2422))</f>
        <v>0</v>
      </c>
      <c r="AW2422" s="1">
        <f>$A2422-$AV2422*$R2422</f>
        <v>0</v>
      </c>
    </row>
    <row r="2423" ht="24.95" customHeight="1" outlineLevel="3" s="1" customFormat="1">
      <c r="A2423" s="15"/>
      <c r="B2423" s="16">
        <v>990</v>
      </c>
      <c r="C2423" s="17">
        <v>1386</v>
      </c>
      <c r="D2423" s="16">
        <v>18077</v>
      </c>
      <c r="E2423" s="18"/>
      <c r="F2423" s="18" t="s">
        <v>524</v>
      </c>
      <c r="G2423" s="18" t="s">
        <v>7915</v>
      </c>
      <c r="H2423" s="18" t="s">
        <v>49</v>
      </c>
      <c r="I2423" s="18" t="s">
        <v>87</v>
      </c>
      <c r="J2423" s="16">
        <v>2025</v>
      </c>
      <c r="K2423" s="18" t="s">
        <v>7916</v>
      </c>
      <c r="L2423" s="16">
        <v>9785961436969</v>
      </c>
      <c r="M2423" s="18" t="s">
        <v>7917</v>
      </c>
      <c r="N2423" s="16">
        <v>16</v>
      </c>
      <c r="O2423" s="19">
        <v>0.39</v>
      </c>
      <c r="P2423" s="16">
        <v>225</v>
      </c>
      <c r="Q2423" s="16">
        <v>246</v>
      </c>
      <c r="R2423" s="16">
        <v>5</v>
      </c>
      <c r="S2423" s="18" t="s">
        <v>90</v>
      </c>
      <c r="T2423" s="18" t="s">
        <v>183</v>
      </c>
      <c r="U2423" s="17">
        <v>2500</v>
      </c>
      <c r="V2423" s="18" t="s">
        <v>77</v>
      </c>
      <c r="W2423" s="18" t="s">
        <v>184</v>
      </c>
      <c r="X2423" s="16">
        <v>10</v>
      </c>
      <c r="Y2423" s="18" t="s">
        <v>7918</v>
      </c>
      <c r="Z2423" s="18"/>
      <c r="AS2423" s="1">
        <f>IF($A2423&lt;&gt;0,1,0)</f>
        <v>0</v>
      </c>
      <c r="AT2423" s="1">
        <f>$A2423*$B2423</f>
        <v>0</v>
      </c>
      <c r="AU2423" s="1">
        <f>$A2423*$O2423</f>
        <v>0</v>
      </c>
      <c r="AV2423" s="1">
        <f>IF($R2423=0,0,INT($A2423/$R2423))</f>
        <v>0</v>
      </c>
      <c r="AW2423" s="1">
        <f>$A2423-$AV2423*$R2423</f>
        <v>0</v>
      </c>
    </row>
    <row r="2424" ht="24.95" customHeight="1" outlineLevel="3" s="1" customFormat="1">
      <c r="A2424" s="15"/>
      <c r="B2424" s="16">
        <v>560</v>
      </c>
      <c r="C2424" s="16">
        <v>840</v>
      </c>
      <c r="D2424" s="16">
        <v>27265</v>
      </c>
      <c r="E2424" s="18"/>
      <c r="F2424" s="18" t="s">
        <v>57</v>
      </c>
      <c r="G2424" s="18" t="s">
        <v>7919</v>
      </c>
      <c r="H2424" s="18" t="s">
        <v>49</v>
      </c>
      <c r="I2424" s="18" t="s">
        <v>87</v>
      </c>
      <c r="J2424" s="16">
        <v>2024</v>
      </c>
      <c r="K2424" s="18" t="s">
        <v>7920</v>
      </c>
      <c r="L2424" s="16">
        <v>9785961484519</v>
      </c>
      <c r="M2424" s="18" t="s">
        <v>7921</v>
      </c>
      <c r="N2424" s="16">
        <v>64</v>
      </c>
      <c r="O2424" s="19">
        <v>0.3</v>
      </c>
      <c r="P2424" s="16">
        <v>190</v>
      </c>
      <c r="Q2424" s="16">
        <v>220</v>
      </c>
      <c r="R2424" s="16">
        <v>14</v>
      </c>
      <c r="S2424" s="18" t="s">
        <v>83</v>
      </c>
      <c r="T2424" s="18" t="s">
        <v>183</v>
      </c>
      <c r="U2424" s="17">
        <v>3000</v>
      </c>
      <c r="V2424" s="18" t="s">
        <v>77</v>
      </c>
      <c r="W2424" s="18" t="s">
        <v>55</v>
      </c>
      <c r="X2424" s="16">
        <v>10</v>
      </c>
      <c r="Y2424" s="18" t="s">
        <v>7922</v>
      </c>
      <c r="Z2424" s="18"/>
      <c r="AS2424" s="1">
        <f>IF($A2424&lt;&gt;0,1,0)</f>
        <v>0</v>
      </c>
      <c r="AT2424" s="1">
        <f>$A2424*$B2424</f>
        <v>0</v>
      </c>
      <c r="AU2424" s="1">
        <f>$A2424*$O2424</f>
        <v>0</v>
      </c>
      <c r="AV2424" s="1">
        <f>IF($R2424=0,0,INT($A2424/$R2424))</f>
        <v>0</v>
      </c>
      <c r="AW2424" s="1">
        <f>$A2424-$AV2424*$R2424</f>
        <v>0</v>
      </c>
    </row>
    <row r="2425" ht="24.95" customHeight="1" outlineLevel="3" s="1" customFormat="1">
      <c r="A2425" s="15"/>
      <c r="B2425" s="16">
        <v>560</v>
      </c>
      <c r="C2425" s="16">
        <v>840</v>
      </c>
      <c r="D2425" s="16">
        <v>30599</v>
      </c>
      <c r="E2425" s="18"/>
      <c r="F2425" s="18" t="s">
        <v>57</v>
      </c>
      <c r="G2425" s="18" t="s">
        <v>7923</v>
      </c>
      <c r="H2425" s="18" t="s">
        <v>49</v>
      </c>
      <c r="I2425" s="18"/>
      <c r="J2425" s="16">
        <v>2024</v>
      </c>
      <c r="K2425" s="18" t="s">
        <v>7924</v>
      </c>
      <c r="L2425" s="16">
        <v>9785961495973</v>
      </c>
      <c r="M2425" s="18" t="s">
        <v>7925</v>
      </c>
      <c r="N2425" s="16">
        <v>64</v>
      </c>
      <c r="O2425" s="19">
        <v>0.31</v>
      </c>
      <c r="P2425" s="16">
        <v>200</v>
      </c>
      <c r="Q2425" s="16">
        <v>230</v>
      </c>
      <c r="R2425" s="16">
        <v>14</v>
      </c>
      <c r="S2425" s="18" t="s">
        <v>83</v>
      </c>
      <c r="T2425" s="18" t="s">
        <v>183</v>
      </c>
      <c r="U2425" s="17">
        <v>3000</v>
      </c>
      <c r="V2425" s="18" t="s">
        <v>77</v>
      </c>
      <c r="W2425" s="18" t="s">
        <v>55</v>
      </c>
      <c r="X2425" s="16">
        <v>10</v>
      </c>
      <c r="Y2425" s="18" t="s">
        <v>7926</v>
      </c>
      <c r="Z2425" s="18"/>
      <c r="AS2425" s="1">
        <f>IF($A2425&lt;&gt;0,1,0)</f>
        <v>0</v>
      </c>
      <c r="AT2425" s="1">
        <f>$A2425*$B2425</f>
        <v>0</v>
      </c>
      <c r="AU2425" s="1">
        <f>$A2425*$O2425</f>
        <v>0</v>
      </c>
      <c r="AV2425" s="1">
        <f>IF($R2425=0,0,INT($A2425/$R2425))</f>
        <v>0</v>
      </c>
      <c r="AW2425" s="1">
        <f>$A2425-$AV2425*$R2425</f>
        <v>0</v>
      </c>
    </row>
    <row r="2426" ht="24.95" customHeight="1" outlineLevel="3" s="1" customFormat="1">
      <c r="A2426" s="15"/>
      <c r="B2426" s="16">
        <v>350</v>
      </c>
      <c r="C2426" s="16">
        <v>560</v>
      </c>
      <c r="D2426" s="16">
        <v>29475</v>
      </c>
      <c r="E2426" s="18"/>
      <c r="F2426" s="18" t="s">
        <v>7927</v>
      </c>
      <c r="G2426" s="18" t="s">
        <v>7928</v>
      </c>
      <c r="H2426" s="18" t="s">
        <v>49</v>
      </c>
      <c r="I2426" s="18"/>
      <c r="J2426" s="16">
        <v>2025</v>
      </c>
      <c r="K2426" s="18" t="s">
        <v>7929</v>
      </c>
      <c r="L2426" s="16">
        <v>9785961492736</v>
      </c>
      <c r="M2426" s="18" t="s">
        <v>7930</v>
      </c>
      <c r="N2426" s="16">
        <v>64</v>
      </c>
      <c r="O2426" s="19">
        <v>0.18</v>
      </c>
      <c r="P2426" s="16">
        <v>200</v>
      </c>
      <c r="Q2426" s="16">
        <v>260</v>
      </c>
      <c r="R2426" s="16">
        <v>20</v>
      </c>
      <c r="S2426" s="18" t="s">
        <v>328</v>
      </c>
      <c r="T2426" s="18" t="s">
        <v>183</v>
      </c>
      <c r="U2426" s="17">
        <v>2000</v>
      </c>
      <c r="V2426" s="18" t="s">
        <v>44</v>
      </c>
      <c r="W2426" s="18" t="s">
        <v>184</v>
      </c>
      <c r="X2426" s="16">
        <v>10</v>
      </c>
      <c r="Y2426" s="18" t="s">
        <v>7931</v>
      </c>
      <c r="Z2426" s="18"/>
      <c r="AS2426" s="1">
        <f>IF($A2426&lt;&gt;0,1,0)</f>
        <v>0</v>
      </c>
      <c r="AT2426" s="1">
        <f>$A2426*$B2426</f>
        <v>0</v>
      </c>
      <c r="AU2426" s="1">
        <f>$A2426*$O2426</f>
        <v>0</v>
      </c>
      <c r="AV2426" s="1">
        <f>IF($R2426=0,0,INT($A2426/$R2426))</f>
        <v>0</v>
      </c>
      <c r="AW2426" s="1">
        <f>$A2426-$AV2426*$R2426</f>
        <v>0</v>
      </c>
    </row>
    <row r="2427" ht="24.95" customHeight="1" outlineLevel="3" s="1" customFormat="1">
      <c r="A2427" s="15"/>
      <c r="B2427" s="16">
        <v>390</v>
      </c>
      <c r="C2427" s="16">
        <v>624</v>
      </c>
      <c r="D2427" s="16">
        <v>27429</v>
      </c>
      <c r="E2427" s="18"/>
      <c r="F2427" s="18" t="s">
        <v>7932</v>
      </c>
      <c r="G2427" s="18" t="s">
        <v>7933</v>
      </c>
      <c r="H2427" s="18" t="s">
        <v>49</v>
      </c>
      <c r="I2427" s="18" t="s">
        <v>87</v>
      </c>
      <c r="J2427" s="16">
        <v>2023</v>
      </c>
      <c r="K2427" s="18" t="s">
        <v>7934</v>
      </c>
      <c r="L2427" s="16">
        <v>9785961484960</v>
      </c>
      <c r="M2427" s="18" t="s">
        <v>7935</v>
      </c>
      <c r="N2427" s="16">
        <v>72</v>
      </c>
      <c r="O2427" s="19">
        <v>0.28</v>
      </c>
      <c r="P2427" s="16">
        <v>170</v>
      </c>
      <c r="Q2427" s="16">
        <v>240</v>
      </c>
      <c r="R2427" s="16">
        <v>15</v>
      </c>
      <c r="S2427" s="18" t="s">
        <v>123</v>
      </c>
      <c r="T2427" s="18" t="s">
        <v>183</v>
      </c>
      <c r="U2427" s="17">
        <v>3000</v>
      </c>
      <c r="V2427" s="18" t="s">
        <v>77</v>
      </c>
      <c r="W2427" s="18" t="s">
        <v>184</v>
      </c>
      <c r="X2427" s="16">
        <v>10</v>
      </c>
      <c r="Y2427" s="18" t="s">
        <v>528</v>
      </c>
      <c r="Z2427" s="18"/>
      <c r="AS2427" s="1">
        <f>IF($A2427&lt;&gt;0,1,0)</f>
        <v>0</v>
      </c>
      <c r="AT2427" s="1">
        <f>$A2427*$B2427</f>
        <v>0</v>
      </c>
      <c r="AU2427" s="1">
        <f>$A2427*$O2427</f>
        <v>0</v>
      </c>
      <c r="AV2427" s="1">
        <f>IF($R2427=0,0,INT($A2427/$R2427))</f>
        <v>0</v>
      </c>
      <c r="AW2427" s="1">
        <f>$A2427-$AV2427*$R2427</f>
        <v>0</v>
      </c>
    </row>
    <row r="2428" ht="24.95" customHeight="1" outlineLevel="3" s="1" customFormat="1">
      <c r="A2428" s="15"/>
      <c r="B2428" s="16">
        <v>690</v>
      </c>
      <c r="C2428" s="17">
        <v>1035</v>
      </c>
      <c r="D2428" s="16">
        <v>27564</v>
      </c>
      <c r="E2428" s="18"/>
      <c r="F2428" s="18" t="s">
        <v>7932</v>
      </c>
      <c r="G2428" s="18" t="s">
        <v>7936</v>
      </c>
      <c r="H2428" s="18" t="s">
        <v>49</v>
      </c>
      <c r="I2428" s="18" t="s">
        <v>87</v>
      </c>
      <c r="J2428" s="16">
        <v>2026</v>
      </c>
      <c r="K2428" s="18" t="s">
        <v>7937</v>
      </c>
      <c r="L2428" s="16">
        <v>9785961485660</v>
      </c>
      <c r="M2428" s="18" t="s">
        <v>7938</v>
      </c>
      <c r="N2428" s="16">
        <v>72</v>
      </c>
      <c r="O2428" s="19">
        <v>0.28</v>
      </c>
      <c r="P2428" s="16">
        <v>170</v>
      </c>
      <c r="Q2428" s="16">
        <v>250</v>
      </c>
      <c r="R2428" s="16">
        <v>16</v>
      </c>
      <c r="S2428" s="18" t="s">
        <v>123</v>
      </c>
      <c r="T2428" s="18" t="s">
        <v>183</v>
      </c>
      <c r="U2428" s="17">
        <v>1000</v>
      </c>
      <c r="V2428" s="18" t="s">
        <v>77</v>
      </c>
      <c r="W2428" s="18" t="s">
        <v>184</v>
      </c>
      <c r="X2428" s="16">
        <v>10</v>
      </c>
      <c r="Y2428" s="18" t="s">
        <v>528</v>
      </c>
      <c r="Z2428" s="18"/>
      <c r="AS2428" s="1">
        <f>IF($A2428&lt;&gt;0,1,0)</f>
        <v>0</v>
      </c>
      <c r="AT2428" s="1">
        <f>$A2428*$B2428</f>
        <v>0</v>
      </c>
      <c r="AU2428" s="1">
        <f>$A2428*$O2428</f>
        <v>0</v>
      </c>
      <c r="AV2428" s="1">
        <f>IF($R2428=0,0,INT($A2428/$R2428))</f>
        <v>0</v>
      </c>
      <c r="AW2428" s="1">
        <f>$A2428-$AV2428*$R2428</f>
        <v>0</v>
      </c>
    </row>
    <row r="2429" ht="24.95" customHeight="1" outlineLevel="3" s="1" customFormat="1">
      <c r="A2429" s="15"/>
      <c r="B2429" s="16">
        <v>390</v>
      </c>
      <c r="C2429" s="16">
        <v>624</v>
      </c>
      <c r="D2429" s="16">
        <v>27430</v>
      </c>
      <c r="E2429" s="18"/>
      <c r="F2429" s="18" t="s">
        <v>7932</v>
      </c>
      <c r="G2429" s="18" t="s">
        <v>7939</v>
      </c>
      <c r="H2429" s="18" t="s">
        <v>49</v>
      </c>
      <c r="I2429" s="18" t="s">
        <v>87</v>
      </c>
      <c r="J2429" s="16">
        <v>2023</v>
      </c>
      <c r="K2429" s="18" t="s">
        <v>7940</v>
      </c>
      <c r="L2429" s="16">
        <v>9785961484977</v>
      </c>
      <c r="M2429" s="18" t="s">
        <v>7941</v>
      </c>
      <c r="N2429" s="16">
        <v>72</v>
      </c>
      <c r="O2429" s="19">
        <v>0.28</v>
      </c>
      <c r="P2429" s="16">
        <v>170</v>
      </c>
      <c r="Q2429" s="16">
        <v>240</v>
      </c>
      <c r="R2429" s="16">
        <v>15</v>
      </c>
      <c r="S2429" s="18" t="s">
        <v>123</v>
      </c>
      <c r="T2429" s="18" t="s">
        <v>183</v>
      </c>
      <c r="U2429" s="17">
        <v>3000</v>
      </c>
      <c r="V2429" s="18" t="s">
        <v>77</v>
      </c>
      <c r="W2429" s="18" t="s">
        <v>184</v>
      </c>
      <c r="X2429" s="16">
        <v>10</v>
      </c>
      <c r="Y2429" s="18" t="s">
        <v>528</v>
      </c>
      <c r="Z2429" s="18"/>
      <c r="AS2429" s="1">
        <f>IF($A2429&lt;&gt;0,1,0)</f>
        <v>0</v>
      </c>
      <c r="AT2429" s="1">
        <f>$A2429*$B2429</f>
        <v>0</v>
      </c>
      <c r="AU2429" s="1">
        <f>$A2429*$O2429</f>
        <v>0</v>
      </c>
      <c r="AV2429" s="1">
        <f>IF($R2429=0,0,INT($A2429/$R2429))</f>
        <v>0</v>
      </c>
      <c r="AW2429" s="1">
        <f>$A2429-$AV2429*$R2429</f>
        <v>0</v>
      </c>
    </row>
    <row r="2430" ht="24.95" customHeight="1" outlineLevel="3" s="1" customFormat="1">
      <c r="A2430" s="15"/>
      <c r="B2430" s="16">
        <v>690</v>
      </c>
      <c r="C2430" s="17">
        <v>1035</v>
      </c>
      <c r="D2430" s="16">
        <v>27563</v>
      </c>
      <c r="E2430" s="18"/>
      <c r="F2430" s="18" t="s">
        <v>7932</v>
      </c>
      <c r="G2430" s="18" t="s">
        <v>7942</v>
      </c>
      <c r="H2430" s="18" t="s">
        <v>49</v>
      </c>
      <c r="I2430" s="18" t="s">
        <v>87</v>
      </c>
      <c r="J2430" s="16">
        <v>2026</v>
      </c>
      <c r="K2430" s="18" t="s">
        <v>7943</v>
      </c>
      <c r="L2430" s="16">
        <v>9785961485653</v>
      </c>
      <c r="M2430" s="18" t="s">
        <v>7944</v>
      </c>
      <c r="N2430" s="16">
        <v>72</v>
      </c>
      <c r="O2430" s="19">
        <v>0.28</v>
      </c>
      <c r="P2430" s="16">
        <v>170</v>
      </c>
      <c r="Q2430" s="16">
        <v>240</v>
      </c>
      <c r="R2430" s="16">
        <v>16</v>
      </c>
      <c r="S2430" s="18" t="s">
        <v>123</v>
      </c>
      <c r="T2430" s="18" t="s">
        <v>183</v>
      </c>
      <c r="U2430" s="17">
        <v>1000</v>
      </c>
      <c r="V2430" s="18" t="s">
        <v>77</v>
      </c>
      <c r="W2430" s="18" t="s">
        <v>184</v>
      </c>
      <c r="X2430" s="16">
        <v>10</v>
      </c>
      <c r="Y2430" s="18" t="s">
        <v>528</v>
      </c>
      <c r="Z2430" s="18"/>
      <c r="AS2430" s="1">
        <f>IF($A2430&lt;&gt;0,1,0)</f>
        <v>0</v>
      </c>
      <c r="AT2430" s="1">
        <f>$A2430*$B2430</f>
        <v>0</v>
      </c>
      <c r="AU2430" s="1">
        <f>$A2430*$O2430</f>
        <v>0</v>
      </c>
      <c r="AV2430" s="1">
        <f>IF($R2430=0,0,INT($A2430/$R2430))</f>
        <v>0</v>
      </c>
      <c r="AW2430" s="1">
        <f>$A2430-$AV2430*$R2430</f>
        <v>0</v>
      </c>
    </row>
    <row r="2431" ht="21.95" customHeight="1" outlineLevel="3" s="1" customFormat="1">
      <c r="A2431" s="15"/>
      <c r="B2431" s="16">
        <v>440</v>
      </c>
      <c r="C2431" s="16">
        <v>682</v>
      </c>
      <c r="D2431" s="16">
        <v>30990</v>
      </c>
      <c r="E2431" s="18"/>
      <c r="F2431" s="18" t="s">
        <v>524</v>
      </c>
      <c r="G2431" s="18" t="s">
        <v>7945</v>
      </c>
      <c r="H2431" s="18" t="s">
        <v>49</v>
      </c>
      <c r="I2431" s="18" t="s">
        <v>87</v>
      </c>
      <c r="J2431" s="16">
        <v>2024</v>
      </c>
      <c r="K2431" s="18" t="s">
        <v>7946</v>
      </c>
      <c r="L2431" s="16">
        <v>9785961497144</v>
      </c>
      <c r="M2431" s="18" t="s">
        <v>7947</v>
      </c>
      <c r="N2431" s="16">
        <v>30</v>
      </c>
      <c r="O2431" s="19">
        <v>0.18</v>
      </c>
      <c r="P2431" s="16">
        <v>190</v>
      </c>
      <c r="Q2431" s="16">
        <v>180</v>
      </c>
      <c r="R2431" s="16">
        <v>20</v>
      </c>
      <c r="S2431" s="18" t="s">
        <v>52</v>
      </c>
      <c r="T2431" s="18" t="s">
        <v>183</v>
      </c>
      <c r="U2431" s="17">
        <v>2000</v>
      </c>
      <c r="V2431" s="18" t="s">
        <v>77</v>
      </c>
      <c r="W2431" s="18" t="s">
        <v>184</v>
      </c>
      <c r="X2431" s="16">
        <v>10</v>
      </c>
      <c r="Y2431" s="43" t="str">
        <f>HYPERLINK("","")</f>
      </c>
      <c r="Z2431" s="18"/>
      <c r="AS2431" s="1">
        <f>IF($A2431&lt;&gt;0,1,0)</f>
        <v>0</v>
      </c>
      <c r="AT2431" s="1">
        <f>$A2431*$B2431</f>
        <v>0</v>
      </c>
      <c r="AU2431" s="1">
        <f>$A2431*$O2431</f>
        <v>0</v>
      </c>
      <c r="AV2431" s="1">
        <f>IF($R2431=0,0,INT($A2431/$R2431))</f>
        <v>0</v>
      </c>
      <c r="AW2431" s="1">
        <f>$A2431-$AV2431*$R2431</f>
        <v>0</v>
      </c>
    </row>
    <row r="2432" ht="24.95" customHeight="1" outlineLevel="3" s="1" customFormat="1">
      <c r="A2432" s="15"/>
      <c r="B2432" s="16">
        <v>990</v>
      </c>
      <c r="C2432" s="17">
        <v>1386</v>
      </c>
      <c r="D2432" s="16">
        <v>22554</v>
      </c>
      <c r="E2432" s="18"/>
      <c r="F2432" s="18" t="s">
        <v>524</v>
      </c>
      <c r="G2432" s="18" t="s">
        <v>7948</v>
      </c>
      <c r="H2432" s="18" t="s">
        <v>49</v>
      </c>
      <c r="I2432" s="18" t="s">
        <v>87</v>
      </c>
      <c r="J2432" s="16">
        <v>2025</v>
      </c>
      <c r="K2432" s="18" t="s">
        <v>7949</v>
      </c>
      <c r="L2432" s="16">
        <v>9785961454260</v>
      </c>
      <c r="M2432" s="18" t="s">
        <v>7950</v>
      </c>
      <c r="N2432" s="16">
        <v>14</v>
      </c>
      <c r="O2432" s="19">
        <v>0.4</v>
      </c>
      <c r="P2432" s="16">
        <v>230</v>
      </c>
      <c r="Q2432" s="16">
        <v>250</v>
      </c>
      <c r="R2432" s="16">
        <v>5</v>
      </c>
      <c r="S2432" s="18" t="s">
        <v>328</v>
      </c>
      <c r="T2432" s="18" t="s">
        <v>183</v>
      </c>
      <c r="U2432" s="17">
        <v>2500</v>
      </c>
      <c r="V2432" s="18" t="s">
        <v>77</v>
      </c>
      <c r="W2432" s="18" t="s">
        <v>184</v>
      </c>
      <c r="X2432" s="16">
        <v>10</v>
      </c>
      <c r="Y2432" s="18" t="s">
        <v>7951</v>
      </c>
      <c r="Z2432" s="18"/>
      <c r="AS2432" s="1">
        <f>IF($A2432&lt;&gt;0,1,0)</f>
        <v>0</v>
      </c>
      <c r="AT2432" s="1">
        <f>$A2432*$B2432</f>
        <v>0</v>
      </c>
      <c r="AU2432" s="1">
        <f>$A2432*$O2432</f>
        <v>0</v>
      </c>
      <c r="AV2432" s="1">
        <f>IF($R2432=0,0,INT($A2432/$R2432))</f>
        <v>0</v>
      </c>
      <c r="AW2432" s="1">
        <f>$A2432-$AV2432*$R2432</f>
        <v>0</v>
      </c>
    </row>
    <row r="2433" ht="24.95" customHeight="1" outlineLevel="3" s="1" customFormat="1">
      <c r="A2433" s="15"/>
      <c r="B2433" s="16">
        <v>590</v>
      </c>
      <c r="C2433" s="16">
        <v>885</v>
      </c>
      <c r="D2433" s="16">
        <v>33185</v>
      </c>
      <c r="E2433" s="18"/>
      <c r="F2433" s="18" t="s">
        <v>7932</v>
      </c>
      <c r="G2433" s="18" t="s">
        <v>7952</v>
      </c>
      <c r="H2433" s="18" t="s">
        <v>49</v>
      </c>
      <c r="I2433" s="18" t="s">
        <v>87</v>
      </c>
      <c r="J2433" s="16">
        <v>2025</v>
      </c>
      <c r="K2433" s="18" t="s">
        <v>7953</v>
      </c>
      <c r="L2433" s="16">
        <v>9785006303935</v>
      </c>
      <c r="M2433" s="18" t="s">
        <v>7954</v>
      </c>
      <c r="N2433" s="16">
        <v>112</v>
      </c>
      <c r="O2433" s="19">
        <v>0.24</v>
      </c>
      <c r="P2433" s="16">
        <v>130</v>
      </c>
      <c r="Q2433" s="16">
        <v>210</v>
      </c>
      <c r="R2433" s="16">
        <v>22</v>
      </c>
      <c r="S2433" s="18" t="s">
        <v>90</v>
      </c>
      <c r="T2433" s="18" t="s">
        <v>183</v>
      </c>
      <c r="U2433" s="17">
        <v>1000</v>
      </c>
      <c r="V2433" s="18" t="s">
        <v>77</v>
      </c>
      <c r="W2433" s="18" t="s">
        <v>55</v>
      </c>
      <c r="X2433" s="16">
        <v>10</v>
      </c>
      <c r="Y2433" s="18" t="s">
        <v>7955</v>
      </c>
      <c r="Z2433" s="18"/>
      <c r="AS2433" s="1">
        <f>IF($A2433&lt;&gt;0,1,0)</f>
        <v>0</v>
      </c>
      <c r="AT2433" s="1">
        <f>$A2433*$B2433</f>
        <v>0</v>
      </c>
      <c r="AU2433" s="1">
        <f>$A2433*$O2433</f>
        <v>0</v>
      </c>
      <c r="AV2433" s="1">
        <f>IF($R2433=0,0,INT($A2433/$R2433))</f>
        <v>0</v>
      </c>
      <c r="AW2433" s="1">
        <f>$A2433-$AV2433*$R2433</f>
        <v>0</v>
      </c>
    </row>
    <row r="2434" ht="24.95" customHeight="1" outlineLevel="3" s="1" customFormat="1">
      <c r="A2434" s="15"/>
      <c r="B2434" s="16">
        <v>690</v>
      </c>
      <c r="C2434" s="17">
        <v>1035</v>
      </c>
      <c r="D2434" s="16">
        <v>22555</v>
      </c>
      <c r="E2434" s="18"/>
      <c r="F2434" s="18" t="s">
        <v>524</v>
      </c>
      <c r="G2434" s="18" t="s">
        <v>7956</v>
      </c>
      <c r="H2434" s="18" t="s">
        <v>49</v>
      </c>
      <c r="I2434" s="18" t="s">
        <v>87</v>
      </c>
      <c r="J2434" s="16">
        <v>2021</v>
      </c>
      <c r="K2434" s="18" t="s">
        <v>7957</v>
      </c>
      <c r="L2434" s="16">
        <v>9785961454406</v>
      </c>
      <c r="M2434" s="18" t="s">
        <v>7958</v>
      </c>
      <c r="N2434" s="16">
        <v>16</v>
      </c>
      <c r="O2434" s="19">
        <v>0.4</v>
      </c>
      <c r="P2434" s="16">
        <v>225</v>
      </c>
      <c r="Q2434" s="16">
        <v>246</v>
      </c>
      <c r="R2434" s="16">
        <v>34</v>
      </c>
      <c r="S2434" s="18" t="s">
        <v>328</v>
      </c>
      <c r="T2434" s="18" t="s">
        <v>183</v>
      </c>
      <c r="U2434" s="17">
        <v>5000</v>
      </c>
      <c r="V2434" s="18" t="s">
        <v>77</v>
      </c>
      <c r="W2434" s="18" t="s">
        <v>184</v>
      </c>
      <c r="X2434" s="16">
        <v>10</v>
      </c>
      <c r="Y2434" s="18" t="s">
        <v>7951</v>
      </c>
      <c r="Z2434" s="18"/>
      <c r="AS2434" s="1">
        <f>IF($A2434&lt;&gt;0,1,0)</f>
        <v>0</v>
      </c>
      <c r="AT2434" s="1">
        <f>$A2434*$B2434</f>
        <v>0</v>
      </c>
      <c r="AU2434" s="1">
        <f>$A2434*$O2434</f>
        <v>0</v>
      </c>
      <c r="AV2434" s="1">
        <f>IF($R2434=0,0,INT($A2434/$R2434))</f>
        <v>0</v>
      </c>
      <c r="AW2434" s="1">
        <f>$A2434-$AV2434*$R2434</f>
        <v>0</v>
      </c>
    </row>
    <row r="2435" ht="24.95" customHeight="1" outlineLevel="3" s="1" customFormat="1">
      <c r="A2435" s="15"/>
      <c r="B2435" s="16">
        <v>540</v>
      </c>
      <c r="C2435" s="16">
        <v>837</v>
      </c>
      <c r="D2435" s="16">
        <v>34314</v>
      </c>
      <c r="E2435" s="18"/>
      <c r="F2435" s="18" t="s">
        <v>7959</v>
      </c>
      <c r="G2435" s="18" t="s">
        <v>7960</v>
      </c>
      <c r="H2435" s="18" t="s">
        <v>49</v>
      </c>
      <c r="I2435" s="18" t="s">
        <v>87</v>
      </c>
      <c r="J2435" s="16">
        <v>2025</v>
      </c>
      <c r="K2435" s="18" t="s">
        <v>7961</v>
      </c>
      <c r="L2435" s="16">
        <v>9785006307148</v>
      </c>
      <c r="M2435" s="18" t="s">
        <v>7962</v>
      </c>
      <c r="N2435" s="16">
        <v>40</v>
      </c>
      <c r="O2435" s="19">
        <v>0.19</v>
      </c>
      <c r="P2435" s="16">
        <v>190</v>
      </c>
      <c r="Q2435" s="16">
        <v>180</v>
      </c>
      <c r="R2435" s="16">
        <v>20</v>
      </c>
      <c r="S2435" s="18" t="s">
        <v>52</v>
      </c>
      <c r="T2435" s="18" t="s">
        <v>183</v>
      </c>
      <c r="U2435" s="17">
        <v>3000</v>
      </c>
      <c r="V2435" s="18" t="s">
        <v>77</v>
      </c>
      <c r="W2435" s="18" t="s">
        <v>184</v>
      </c>
      <c r="X2435" s="16">
        <v>10</v>
      </c>
      <c r="Y2435" s="18" t="s">
        <v>7963</v>
      </c>
      <c r="Z2435" s="18"/>
      <c r="AS2435" s="1">
        <f>IF($A2435&lt;&gt;0,1,0)</f>
        <v>0</v>
      </c>
      <c r="AT2435" s="1">
        <f>$A2435*$B2435</f>
        <v>0</v>
      </c>
      <c r="AU2435" s="1">
        <f>$A2435*$O2435</f>
        <v>0</v>
      </c>
      <c r="AV2435" s="1">
        <f>IF($R2435=0,0,INT($A2435/$R2435))</f>
        <v>0</v>
      </c>
      <c r="AW2435" s="1">
        <f>$A2435-$AV2435*$R2435</f>
        <v>0</v>
      </c>
    </row>
    <row r="2436" ht="24.95" customHeight="1" outlineLevel="3" s="1" customFormat="1">
      <c r="A2436" s="15"/>
      <c r="B2436" s="16">
        <v>540</v>
      </c>
      <c r="C2436" s="16">
        <v>837</v>
      </c>
      <c r="D2436" s="16">
        <v>36614</v>
      </c>
      <c r="E2436" s="18"/>
      <c r="F2436" s="18" t="s">
        <v>179</v>
      </c>
      <c r="G2436" s="18" t="s">
        <v>180</v>
      </c>
      <c r="H2436" s="18" t="s">
        <v>49</v>
      </c>
      <c r="I2436" s="18" t="s">
        <v>87</v>
      </c>
      <c r="J2436" s="16">
        <v>2026</v>
      </c>
      <c r="K2436" s="18" t="s">
        <v>181</v>
      </c>
      <c r="L2436" s="16">
        <v>9785002830503</v>
      </c>
      <c r="M2436" s="18" t="s">
        <v>182</v>
      </c>
      <c r="N2436" s="16">
        <v>32</v>
      </c>
      <c r="O2436" s="19">
        <v>0.2</v>
      </c>
      <c r="P2436" s="16">
        <v>180</v>
      </c>
      <c r="Q2436" s="16">
        <v>190</v>
      </c>
      <c r="R2436" s="16">
        <v>20</v>
      </c>
      <c r="S2436" s="18" t="s">
        <v>52</v>
      </c>
      <c r="T2436" s="18" t="s">
        <v>183</v>
      </c>
      <c r="U2436" s="17">
        <v>3000</v>
      </c>
      <c r="V2436" s="18" t="s">
        <v>77</v>
      </c>
      <c r="W2436" s="18" t="s">
        <v>184</v>
      </c>
      <c r="X2436" s="16">
        <v>10</v>
      </c>
      <c r="Y2436" s="43" t="str">
        <f>HYPERLINK("","")</f>
      </c>
      <c r="Z2436" s="18" t="s">
        <v>185</v>
      </c>
      <c r="AS2436" s="1">
        <f>IF($A2436&lt;&gt;0,1,0)</f>
        <v>0</v>
      </c>
      <c r="AT2436" s="1">
        <f>$A2436*$B2436</f>
        <v>0</v>
      </c>
      <c r="AU2436" s="1">
        <f>$A2436*$O2436</f>
        <v>0</v>
      </c>
      <c r="AV2436" s="1">
        <f>IF($R2436=0,0,INT($A2436/$R2436))</f>
        <v>0</v>
      </c>
      <c r="AW2436" s="1">
        <f>$A2436-$AV2436*$R2436</f>
        <v>0</v>
      </c>
    </row>
    <row r="2437" ht="24.95" customHeight="1" outlineLevel="3" s="1" customFormat="1">
      <c r="A2437" s="15"/>
      <c r="B2437" s="16">
        <v>440</v>
      </c>
      <c r="C2437" s="16">
        <v>682</v>
      </c>
      <c r="D2437" s="16">
        <v>30138</v>
      </c>
      <c r="E2437" s="18"/>
      <c r="F2437" s="18" t="s">
        <v>524</v>
      </c>
      <c r="G2437" s="18" t="s">
        <v>7964</v>
      </c>
      <c r="H2437" s="18" t="s">
        <v>49</v>
      </c>
      <c r="I2437" s="18" t="s">
        <v>87</v>
      </c>
      <c r="J2437" s="16">
        <v>2024</v>
      </c>
      <c r="K2437" s="18" t="s">
        <v>7965</v>
      </c>
      <c r="L2437" s="16">
        <v>9785961494846</v>
      </c>
      <c r="M2437" s="18" t="s">
        <v>7966</v>
      </c>
      <c r="N2437" s="16">
        <v>30</v>
      </c>
      <c r="O2437" s="19">
        <v>0.17</v>
      </c>
      <c r="P2437" s="16">
        <v>180</v>
      </c>
      <c r="Q2437" s="16">
        <v>180</v>
      </c>
      <c r="R2437" s="16">
        <v>20</v>
      </c>
      <c r="S2437" s="18" t="s">
        <v>52</v>
      </c>
      <c r="T2437" s="18" t="s">
        <v>183</v>
      </c>
      <c r="U2437" s="17">
        <v>2000</v>
      </c>
      <c r="V2437" s="18" t="s">
        <v>77</v>
      </c>
      <c r="W2437" s="18" t="s">
        <v>184</v>
      </c>
      <c r="X2437" s="16">
        <v>10</v>
      </c>
      <c r="Y2437" s="18" t="s">
        <v>7967</v>
      </c>
      <c r="Z2437" s="18"/>
      <c r="AS2437" s="1">
        <f>IF($A2437&lt;&gt;0,1,0)</f>
        <v>0</v>
      </c>
      <c r="AT2437" s="1">
        <f>$A2437*$B2437</f>
        <v>0</v>
      </c>
      <c r="AU2437" s="1">
        <f>$A2437*$O2437</f>
        <v>0</v>
      </c>
      <c r="AV2437" s="1">
        <f>IF($R2437=0,0,INT($A2437/$R2437))</f>
        <v>0</v>
      </c>
      <c r="AW2437" s="1">
        <f>$A2437-$AV2437*$R2437</f>
        <v>0</v>
      </c>
    </row>
    <row r="2438" ht="24.95" customHeight="1" outlineLevel="3" s="1" customFormat="1">
      <c r="A2438" s="15"/>
      <c r="B2438" s="16">
        <v>490</v>
      </c>
      <c r="C2438" s="16">
        <v>760</v>
      </c>
      <c r="D2438" s="16">
        <v>33104</v>
      </c>
      <c r="E2438" s="18"/>
      <c r="F2438" s="18" t="s">
        <v>524</v>
      </c>
      <c r="G2438" s="18" t="s">
        <v>7968</v>
      </c>
      <c r="H2438" s="18" t="s">
        <v>49</v>
      </c>
      <c r="I2438" s="18" t="s">
        <v>87</v>
      </c>
      <c r="J2438" s="16">
        <v>2025</v>
      </c>
      <c r="K2438" s="18" t="s">
        <v>7969</v>
      </c>
      <c r="L2438" s="16">
        <v>9785006300835</v>
      </c>
      <c r="M2438" s="18" t="s">
        <v>7970</v>
      </c>
      <c r="N2438" s="16">
        <v>32</v>
      </c>
      <c r="O2438" s="19">
        <v>0.18</v>
      </c>
      <c r="P2438" s="16">
        <v>190</v>
      </c>
      <c r="Q2438" s="16">
        <v>180</v>
      </c>
      <c r="R2438" s="16">
        <v>20</v>
      </c>
      <c r="S2438" s="18" t="s">
        <v>52</v>
      </c>
      <c r="T2438" s="18" t="s">
        <v>183</v>
      </c>
      <c r="U2438" s="17">
        <v>1500</v>
      </c>
      <c r="V2438" s="18" t="s">
        <v>77</v>
      </c>
      <c r="W2438" s="18" t="s">
        <v>184</v>
      </c>
      <c r="X2438" s="16">
        <v>10</v>
      </c>
      <c r="Y2438" s="18" t="s">
        <v>7971</v>
      </c>
      <c r="Z2438" s="18"/>
      <c r="AS2438" s="1">
        <f>IF($A2438&lt;&gt;0,1,0)</f>
        <v>0</v>
      </c>
      <c r="AT2438" s="1">
        <f>$A2438*$B2438</f>
        <v>0</v>
      </c>
      <c r="AU2438" s="1">
        <f>$A2438*$O2438</f>
        <v>0</v>
      </c>
      <c r="AV2438" s="1">
        <f>IF($R2438=0,0,INT($A2438/$R2438))</f>
        <v>0</v>
      </c>
      <c r="AW2438" s="1">
        <f>$A2438-$AV2438*$R2438</f>
        <v>0</v>
      </c>
    </row>
    <row r="2439" ht="24.95" customHeight="1" outlineLevel="3" s="1" customFormat="1">
      <c r="A2439" s="15"/>
      <c r="B2439" s="16">
        <v>590</v>
      </c>
      <c r="C2439" s="16">
        <v>885</v>
      </c>
      <c r="D2439" s="16">
        <v>25838</v>
      </c>
      <c r="E2439" s="18"/>
      <c r="F2439" s="18" t="s">
        <v>524</v>
      </c>
      <c r="G2439" s="18" t="s">
        <v>7972</v>
      </c>
      <c r="H2439" s="18" t="s">
        <v>49</v>
      </c>
      <c r="I2439" s="18" t="s">
        <v>87</v>
      </c>
      <c r="J2439" s="16">
        <v>2022</v>
      </c>
      <c r="K2439" s="18" t="s">
        <v>7973</v>
      </c>
      <c r="L2439" s="16">
        <v>9785961478693</v>
      </c>
      <c r="M2439" s="18" t="s">
        <v>7974</v>
      </c>
      <c r="N2439" s="16">
        <v>32</v>
      </c>
      <c r="O2439" s="19">
        <v>0.3</v>
      </c>
      <c r="P2439" s="16">
        <v>206</v>
      </c>
      <c r="Q2439" s="16">
        <v>207</v>
      </c>
      <c r="R2439" s="16">
        <v>18</v>
      </c>
      <c r="S2439" s="18" t="s">
        <v>83</v>
      </c>
      <c r="T2439" s="18" t="s">
        <v>183</v>
      </c>
      <c r="U2439" s="17">
        <v>5000</v>
      </c>
      <c r="V2439" s="18" t="s">
        <v>77</v>
      </c>
      <c r="W2439" s="18" t="s">
        <v>184</v>
      </c>
      <c r="X2439" s="16">
        <v>10</v>
      </c>
      <c r="Y2439" s="18" t="s">
        <v>7967</v>
      </c>
      <c r="Z2439" s="18"/>
      <c r="AS2439" s="1">
        <f>IF($A2439&lt;&gt;0,1,0)</f>
        <v>0</v>
      </c>
      <c r="AT2439" s="1">
        <f>$A2439*$B2439</f>
        <v>0</v>
      </c>
      <c r="AU2439" s="1">
        <f>$A2439*$O2439</f>
        <v>0</v>
      </c>
      <c r="AV2439" s="1">
        <f>IF($R2439=0,0,INT($A2439/$R2439))</f>
        <v>0</v>
      </c>
      <c r="AW2439" s="1">
        <f>$A2439-$AV2439*$R2439</f>
        <v>0</v>
      </c>
    </row>
    <row r="2440" ht="21.95" customHeight="1" outlineLevel="3" s="1" customFormat="1">
      <c r="A2440" s="15"/>
      <c r="B2440" s="16">
        <v>590</v>
      </c>
      <c r="C2440" s="16">
        <v>885</v>
      </c>
      <c r="D2440" s="16">
        <v>28537</v>
      </c>
      <c r="E2440" s="18"/>
      <c r="F2440" s="18" t="s">
        <v>524</v>
      </c>
      <c r="G2440" s="18" t="s">
        <v>7975</v>
      </c>
      <c r="H2440" s="18" t="s">
        <v>49</v>
      </c>
      <c r="I2440" s="18" t="s">
        <v>87</v>
      </c>
      <c r="J2440" s="16">
        <v>2026</v>
      </c>
      <c r="K2440" s="18" t="s">
        <v>7976</v>
      </c>
      <c r="L2440" s="16">
        <v>9785961489309</v>
      </c>
      <c r="M2440" s="18" t="s">
        <v>7977</v>
      </c>
      <c r="N2440" s="16">
        <v>30</v>
      </c>
      <c r="O2440" s="19">
        <v>0.15</v>
      </c>
      <c r="P2440" s="16">
        <v>180</v>
      </c>
      <c r="Q2440" s="16">
        <v>190</v>
      </c>
      <c r="R2440" s="16">
        <v>20</v>
      </c>
      <c r="S2440" s="18" t="s">
        <v>52</v>
      </c>
      <c r="T2440" s="18" t="s">
        <v>183</v>
      </c>
      <c r="U2440" s="17">
        <v>1500</v>
      </c>
      <c r="V2440" s="18" t="s">
        <v>77</v>
      </c>
      <c r="W2440" s="18" t="s">
        <v>184</v>
      </c>
      <c r="X2440" s="16">
        <v>10</v>
      </c>
      <c r="Y2440" s="43" t="str">
        <f>HYPERLINK("","")</f>
      </c>
      <c r="Z2440" s="18"/>
      <c r="AS2440" s="1">
        <f>IF($A2440&lt;&gt;0,1,0)</f>
        <v>0</v>
      </c>
      <c r="AT2440" s="1">
        <f>$A2440*$B2440</f>
        <v>0</v>
      </c>
      <c r="AU2440" s="1">
        <f>$A2440*$O2440</f>
        <v>0</v>
      </c>
      <c r="AV2440" s="1">
        <f>IF($R2440=0,0,INT($A2440/$R2440))</f>
        <v>0</v>
      </c>
      <c r="AW2440" s="1">
        <f>$A2440-$AV2440*$R2440</f>
        <v>0</v>
      </c>
    </row>
    <row r="2441" ht="24.95" customHeight="1" outlineLevel="3" s="1" customFormat="1">
      <c r="A2441" s="15"/>
      <c r="B2441" s="16">
        <v>590</v>
      </c>
      <c r="C2441" s="16">
        <v>885</v>
      </c>
      <c r="D2441" s="16">
        <v>30014</v>
      </c>
      <c r="E2441" s="18"/>
      <c r="F2441" s="18" t="s">
        <v>524</v>
      </c>
      <c r="G2441" s="18" t="s">
        <v>7978</v>
      </c>
      <c r="H2441" s="18" t="s">
        <v>49</v>
      </c>
      <c r="I2441" s="18" t="s">
        <v>87</v>
      </c>
      <c r="J2441" s="16">
        <v>2026</v>
      </c>
      <c r="K2441" s="18" t="s">
        <v>7979</v>
      </c>
      <c r="L2441" s="16">
        <v>9785961494549</v>
      </c>
      <c r="M2441" s="18" t="s">
        <v>7980</v>
      </c>
      <c r="N2441" s="16">
        <v>28</v>
      </c>
      <c r="O2441" s="19">
        <v>0.17</v>
      </c>
      <c r="P2441" s="16">
        <v>180</v>
      </c>
      <c r="Q2441" s="16">
        <v>190</v>
      </c>
      <c r="R2441" s="16">
        <v>20</v>
      </c>
      <c r="S2441" s="18" t="s">
        <v>52</v>
      </c>
      <c r="T2441" s="18" t="s">
        <v>183</v>
      </c>
      <c r="U2441" s="17">
        <v>1500</v>
      </c>
      <c r="V2441" s="18" t="s">
        <v>77</v>
      </c>
      <c r="W2441" s="18" t="s">
        <v>184</v>
      </c>
      <c r="X2441" s="16">
        <v>10</v>
      </c>
      <c r="Y2441" s="18" t="s">
        <v>7981</v>
      </c>
      <c r="Z2441" s="18"/>
      <c r="AS2441" s="1">
        <f>IF($A2441&lt;&gt;0,1,0)</f>
        <v>0</v>
      </c>
      <c r="AT2441" s="1">
        <f>$A2441*$B2441</f>
        <v>0</v>
      </c>
      <c r="AU2441" s="1">
        <f>$A2441*$O2441</f>
        <v>0</v>
      </c>
      <c r="AV2441" s="1">
        <f>IF($R2441=0,0,INT($A2441/$R2441))</f>
        <v>0</v>
      </c>
      <c r="AW2441" s="1">
        <f>$A2441-$AV2441*$R2441</f>
        <v>0</v>
      </c>
    </row>
    <row r="2442" ht="24.95" customHeight="1" outlineLevel="3" s="1" customFormat="1">
      <c r="A2442" s="15"/>
      <c r="B2442" s="16">
        <v>590</v>
      </c>
      <c r="C2442" s="16">
        <v>885</v>
      </c>
      <c r="D2442" s="16">
        <v>31284</v>
      </c>
      <c r="E2442" s="18"/>
      <c r="F2442" s="18" t="s">
        <v>524</v>
      </c>
      <c r="G2442" s="18" t="s">
        <v>7982</v>
      </c>
      <c r="H2442" s="18" t="s">
        <v>49</v>
      </c>
      <c r="I2442" s="18" t="s">
        <v>87</v>
      </c>
      <c r="J2442" s="16">
        <v>2026</v>
      </c>
      <c r="K2442" s="18" t="s">
        <v>7983</v>
      </c>
      <c r="L2442" s="16">
        <v>9785961498080</v>
      </c>
      <c r="M2442" s="18" t="s">
        <v>7984</v>
      </c>
      <c r="N2442" s="16">
        <v>32</v>
      </c>
      <c r="O2442" s="19">
        <v>0.18</v>
      </c>
      <c r="P2442" s="16">
        <v>190</v>
      </c>
      <c r="Q2442" s="16">
        <v>180</v>
      </c>
      <c r="R2442" s="16">
        <v>20</v>
      </c>
      <c r="S2442" s="18" t="s">
        <v>52</v>
      </c>
      <c r="T2442" s="18" t="s">
        <v>183</v>
      </c>
      <c r="U2442" s="17">
        <v>3000</v>
      </c>
      <c r="V2442" s="18" t="s">
        <v>77</v>
      </c>
      <c r="W2442" s="18" t="s">
        <v>184</v>
      </c>
      <c r="X2442" s="16">
        <v>10</v>
      </c>
      <c r="Y2442" s="18" t="s">
        <v>540</v>
      </c>
      <c r="Z2442" s="18"/>
      <c r="AS2442" s="1">
        <f>IF($A2442&lt;&gt;0,1,0)</f>
        <v>0</v>
      </c>
      <c r="AT2442" s="1">
        <f>$A2442*$B2442</f>
        <v>0</v>
      </c>
      <c r="AU2442" s="1">
        <f>$A2442*$O2442</f>
        <v>0</v>
      </c>
      <c r="AV2442" s="1">
        <f>IF($R2442=0,0,INT($A2442/$R2442))</f>
        <v>0</v>
      </c>
      <c r="AW2442" s="1">
        <f>$A2442-$AV2442*$R2442</f>
        <v>0</v>
      </c>
    </row>
    <row r="2443" ht="24.95" customHeight="1" outlineLevel="3" s="1" customFormat="1">
      <c r="A2443" s="15"/>
      <c r="B2443" s="16">
        <v>590</v>
      </c>
      <c r="C2443" s="16">
        <v>885</v>
      </c>
      <c r="D2443" s="16">
        <v>33572</v>
      </c>
      <c r="E2443" s="18"/>
      <c r="F2443" s="18" t="s">
        <v>524</v>
      </c>
      <c r="G2443" s="18" t="s">
        <v>7985</v>
      </c>
      <c r="H2443" s="18" t="s">
        <v>49</v>
      </c>
      <c r="I2443" s="18" t="s">
        <v>87</v>
      </c>
      <c r="J2443" s="16">
        <v>2026</v>
      </c>
      <c r="K2443" s="18" t="s">
        <v>7986</v>
      </c>
      <c r="L2443" s="16">
        <v>9785006305076</v>
      </c>
      <c r="M2443" s="18" t="s">
        <v>7987</v>
      </c>
      <c r="N2443" s="16">
        <v>32</v>
      </c>
      <c r="O2443" s="19">
        <v>0.19</v>
      </c>
      <c r="P2443" s="16">
        <v>190</v>
      </c>
      <c r="Q2443" s="16">
        <v>180</v>
      </c>
      <c r="R2443" s="16">
        <v>20</v>
      </c>
      <c r="S2443" s="18" t="s">
        <v>52</v>
      </c>
      <c r="T2443" s="18" t="s">
        <v>183</v>
      </c>
      <c r="U2443" s="17">
        <v>1500</v>
      </c>
      <c r="V2443" s="18" t="s">
        <v>77</v>
      </c>
      <c r="W2443" s="18" t="s">
        <v>184</v>
      </c>
      <c r="X2443" s="16">
        <v>10</v>
      </c>
      <c r="Y2443" s="18" t="s">
        <v>7988</v>
      </c>
      <c r="Z2443" s="18" t="s">
        <v>2419</v>
      </c>
      <c r="AS2443" s="1">
        <f>IF($A2443&lt;&gt;0,1,0)</f>
        <v>0</v>
      </c>
      <c r="AT2443" s="1">
        <f>$A2443*$B2443</f>
        <v>0</v>
      </c>
      <c r="AU2443" s="1">
        <f>$A2443*$O2443</f>
        <v>0</v>
      </c>
      <c r="AV2443" s="1">
        <f>IF($R2443=0,0,INT($A2443/$R2443))</f>
        <v>0</v>
      </c>
      <c r="AW2443" s="1">
        <f>$A2443-$AV2443*$R2443</f>
        <v>0</v>
      </c>
    </row>
    <row r="2444" ht="24.95" customHeight="1" outlineLevel="3" s="1" customFormat="1">
      <c r="A2444" s="15"/>
      <c r="B2444" s="16">
        <v>540</v>
      </c>
      <c r="C2444" s="16">
        <v>837</v>
      </c>
      <c r="D2444" s="16">
        <v>35455</v>
      </c>
      <c r="E2444" s="18"/>
      <c r="F2444" s="18" t="s">
        <v>524</v>
      </c>
      <c r="G2444" s="18" t="s">
        <v>7989</v>
      </c>
      <c r="H2444" s="18" t="s">
        <v>49</v>
      </c>
      <c r="I2444" s="18" t="s">
        <v>87</v>
      </c>
      <c r="J2444" s="16">
        <v>2026</v>
      </c>
      <c r="K2444" s="18" t="s">
        <v>7990</v>
      </c>
      <c r="L2444" s="16">
        <v>9785006312463</v>
      </c>
      <c r="M2444" s="18" t="s">
        <v>7991</v>
      </c>
      <c r="N2444" s="16">
        <v>30</v>
      </c>
      <c r="O2444" s="19">
        <v>0.18</v>
      </c>
      <c r="P2444" s="16">
        <v>180</v>
      </c>
      <c r="Q2444" s="16">
        <v>180</v>
      </c>
      <c r="R2444" s="16">
        <v>20</v>
      </c>
      <c r="S2444" s="18" t="s">
        <v>52</v>
      </c>
      <c r="T2444" s="18" t="s">
        <v>183</v>
      </c>
      <c r="U2444" s="17">
        <v>1500</v>
      </c>
      <c r="V2444" s="18" t="s">
        <v>77</v>
      </c>
      <c r="W2444" s="18" t="s">
        <v>184</v>
      </c>
      <c r="X2444" s="16">
        <v>10</v>
      </c>
      <c r="Y2444" s="18" t="s">
        <v>7918</v>
      </c>
      <c r="Z2444" s="18"/>
      <c r="AS2444" s="1">
        <f>IF($A2444&lt;&gt;0,1,0)</f>
        <v>0</v>
      </c>
      <c r="AT2444" s="1">
        <f>$A2444*$B2444</f>
        <v>0</v>
      </c>
      <c r="AU2444" s="1">
        <f>$A2444*$O2444</f>
        <v>0</v>
      </c>
      <c r="AV2444" s="1">
        <f>IF($R2444=0,0,INT($A2444/$R2444))</f>
        <v>0</v>
      </c>
      <c r="AW2444" s="1">
        <f>$A2444-$AV2444*$R2444</f>
        <v>0</v>
      </c>
    </row>
    <row r="2445" ht="21.95" customHeight="1" outlineLevel="3" s="1" customFormat="1">
      <c r="A2445" s="15"/>
      <c r="B2445" s="16">
        <v>590</v>
      </c>
      <c r="C2445" s="16">
        <v>885</v>
      </c>
      <c r="D2445" s="16">
        <v>36575</v>
      </c>
      <c r="E2445" s="18"/>
      <c r="F2445" s="18" t="s">
        <v>524</v>
      </c>
      <c r="G2445" s="18" t="s">
        <v>7992</v>
      </c>
      <c r="H2445" s="18" t="s">
        <v>49</v>
      </c>
      <c r="I2445" s="18" t="s">
        <v>87</v>
      </c>
      <c r="J2445" s="16">
        <v>2026</v>
      </c>
      <c r="K2445" s="18" t="s">
        <v>7993</v>
      </c>
      <c r="L2445" s="16">
        <v>9785006317666</v>
      </c>
      <c r="M2445" s="18" t="s">
        <v>7994</v>
      </c>
      <c r="N2445" s="16">
        <v>32</v>
      </c>
      <c r="O2445" s="19">
        <v>0.18</v>
      </c>
      <c r="P2445" s="16">
        <v>180</v>
      </c>
      <c r="Q2445" s="16">
        <v>170</v>
      </c>
      <c r="R2445" s="16">
        <v>20</v>
      </c>
      <c r="S2445" s="18" t="s">
        <v>52</v>
      </c>
      <c r="T2445" s="18" t="s">
        <v>183</v>
      </c>
      <c r="U2445" s="17">
        <v>1500</v>
      </c>
      <c r="V2445" s="18" t="s">
        <v>77</v>
      </c>
      <c r="W2445" s="18" t="s">
        <v>184</v>
      </c>
      <c r="X2445" s="16">
        <v>10</v>
      </c>
      <c r="Y2445" s="43" t="str">
        <f>HYPERLINK("","")</f>
      </c>
      <c r="Z2445" s="18"/>
      <c r="AS2445" s="1">
        <f>IF($A2445&lt;&gt;0,1,0)</f>
        <v>0</v>
      </c>
      <c r="AT2445" s="1">
        <f>$A2445*$B2445</f>
        <v>0</v>
      </c>
      <c r="AU2445" s="1">
        <f>$A2445*$O2445</f>
        <v>0</v>
      </c>
      <c r="AV2445" s="1">
        <f>IF($R2445=0,0,INT($A2445/$R2445))</f>
        <v>0</v>
      </c>
      <c r="AW2445" s="1">
        <f>$A2445-$AV2445*$R2445</f>
        <v>0</v>
      </c>
    </row>
    <row r="2446" ht="21.95" customHeight="1" outlineLevel="3" s="1" customFormat="1">
      <c r="A2446" s="15"/>
      <c r="B2446" s="16">
        <v>590</v>
      </c>
      <c r="C2446" s="16">
        <v>885</v>
      </c>
      <c r="D2446" s="16">
        <v>29426</v>
      </c>
      <c r="E2446" s="18"/>
      <c r="F2446" s="18" t="s">
        <v>524</v>
      </c>
      <c r="G2446" s="18" t="s">
        <v>7995</v>
      </c>
      <c r="H2446" s="18" t="s">
        <v>49</v>
      </c>
      <c r="I2446" s="18" t="s">
        <v>87</v>
      </c>
      <c r="J2446" s="16">
        <v>2026</v>
      </c>
      <c r="K2446" s="18" t="s">
        <v>7996</v>
      </c>
      <c r="L2446" s="16">
        <v>9785961492552</v>
      </c>
      <c r="M2446" s="18" t="s">
        <v>7997</v>
      </c>
      <c r="N2446" s="16">
        <v>32</v>
      </c>
      <c r="O2446" s="19">
        <v>0.18</v>
      </c>
      <c r="P2446" s="16">
        <v>190</v>
      </c>
      <c r="Q2446" s="16">
        <v>180</v>
      </c>
      <c r="R2446" s="16">
        <v>20</v>
      </c>
      <c r="S2446" s="18" t="s">
        <v>52</v>
      </c>
      <c r="T2446" s="18" t="s">
        <v>183</v>
      </c>
      <c r="U2446" s="17">
        <v>1500</v>
      </c>
      <c r="V2446" s="18" t="s">
        <v>77</v>
      </c>
      <c r="W2446" s="18" t="s">
        <v>184</v>
      </c>
      <c r="X2446" s="16">
        <v>10</v>
      </c>
      <c r="Y2446" s="43" t="str">
        <f>HYPERLINK("","")</f>
      </c>
      <c r="Z2446" s="18"/>
      <c r="AS2446" s="1">
        <f>IF($A2446&lt;&gt;0,1,0)</f>
        <v>0</v>
      </c>
      <c r="AT2446" s="1">
        <f>$A2446*$B2446</f>
        <v>0</v>
      </c>
      <c r="AU2446" s="1">
        <f>$A2446*$O2446</f>
        <v>0</v>
      </c>
      <c r="AV2446" s="1">
        <f>IF($R2446=0,0,INT($A2446/$R2446))</f>
        <v>0</v>
      </c>
      <c r="AW2446" s="1">
        <f>$A2446-$AV2446*$R2446</f>
        <v>0</v>
      </c>
    </row>
    <row r="2447" ht="21.95" customHeight="1" outlineLevel="3" s="1" customFormat="1">
      <c r="A2447" s="15"/>
      <c r="B2447" s="16">
        <v>690</v>
      </c>
      <c r="C2447" s="17">
        <v>1035</v>
      </c>
      <c r="D2447" s="16">
        <v>34957</v>
      </c>
      <c r="E2447" s="18"/>
      <c r="F2447" s="18" t="s">
        <v>524</v>
      </c>
      <c r="G2447" s="18" t="s">
        <v>7998</v>
      </c>
      <c r="H2447" s="18" t="s">
        <v>49</v>
      </c>
      <c r="I2447" s="18" t="s">
        <v>87</v>
      </c>
      <c r="J2447" s="16">
        <v>2026</v>
      </c>
      <c r="K2447" s="18" t="s">
        <v>7999</v>
      </c>
      <c r="L2447" s="16">
        <v>9785006309616</v>
      </c>
      <c r="M2447" s="18" t="s">
        <v>8000</v>
      </c>
      <c r="N2447" s="16">
        <v>192</v>
      </c>
      <c r="O2447" s="19">
        <v>0.22</v>
      </c>
      <c r="P2447" s="16">
        <v>130</v>
      </c>
      <c r="Q2447" s="16">
        <v>140</v>
      </c>
      <c r="R2447" s="16">
        <v>20</v>
      </c>
      <c r="S2447" s="18" t="s">
        <v>90</v>
      </c>
      <c r="T2447" s="18" t="s">
        <v>183</v>
      </c>
      <c r="U2447" s="17">
        <v>5000</v>
      </c>
      <c r="V2447" s="18" t="s">
        <v>44</v>
      </c>
      <c r="W2447" s="18" t="s">
        <v>184</v>
      </c>
      <c r="X2447" s="16">
        <v>10</v>
      </c>
      <c r="Y2447" s="43" t="str">
        <f>HYPERLINK("","")</f>
      </c>
      <c r="Z2447" s="18"/>
      <c r="AS2447" s="1">
        <f>IF($A2447&lt;&gt;0,1,0)</f>
        <v>0</v>
      </c>
      <c r="AT2447" s="1">
        <f>$A2447*$B2447</f>
        <v>0</v>
      </c>
      <c r="AU2447" s="1">
        <f>$A2447*$O2447</f>
        <v>0</v>
      </c>
      <c r="AV2447" s="1">
        <f>IF($R2447=0,0,INT($A2447/$R2447))</f>
        <v>0</v>
      </c>
      <c r="AW2447" s="1">
        <f>$A2447-$AV2447*$R2447</f>
        <v>0</v>
      </c>
    </row>
    <row r="2448" ht="24.95" customHeight="1" outlineLevel="3" s="1" customFormat="1">
      <c r="A2448" s="15"/>
      <c r="B2448" s="16">
        <v>390</v>
      </c>
      <c r="C2448" s="16">
        <v>624</v>
      </c>
      <c r="D2448" s="16">
        <v>26447</v>
      </c>
      <c r="E2448" s="18"/>
      <c r="F2448" s="18" t="s">
        <v>8001</v>
      </c>
      <c r="G2448" s="18" t="s">
        <v>8002</v>
      </c>
      <c r="H2448" s="18" t="s">
        <v>49</v>
      </c>
      <c r="I2448" s="18" t="s">
        <v>87</v>
      </c>
      <c r="J2448" s="16">
        <v>2023</v>
      </c>
      <c r="K2448" s="18" t="s">
        <v>8003</v>
      </c>
      <c r="L2448" s="16">
        <v>9785961481723</v>
      </c>
      <c r="M2448" s="18" t="s">
        <v>8004</v>
      </c>
      <c r="N2448" s="16">
        <v>32</v>
      </c>
      <c r="O2448" s="19">
        <v>0.12</v>
      </c>
      <c r="P2448" s="16">
        <v>190</v>
      </c>
      <c r="Q2448" s="16">
        <v>270</v>
      </c>
      <c r="R2448" s="16">
        <v>30</v>
      </c>
      <c r="S2448" s="18" t="s">
        <v>83</v>
      </c>
      <c r="T2448" s="18" t="s">
        <v>183</v>
      </c>
      <c r="U2448" s="17">
        <v>2000</v>
      </c>
      <c r="V2448" s="18" t="s">
        <v>44</v>
      </c>
      <c r="W2448" s="18" t="s">
        <v>55</v>
      </c>
      <c r="X2448" s="16">
        <v>10</v>
      </c>
      <c r="Y2448" s="18" t="s">
        <v>8005</v>
      </c>
      <c r="Z2448" s="18"/>
      <c r="AS2448" s="1">
        <f>IF($A2448&lt;&gt;0,1,0)</f>
        <v>0</v>
      </c>
      <c r="AT2448" s="1">
        <f>$A2448*$B2448</f>
        <v>0</v>
      </c>
      <c r="AU2448" s="1">
        <f>$A2448*$O2448</f>
        <v>0</v>
      </c>
      <c r="AV2448" s="1">
        <f>IF($R2448=0,0,INT($A2448/$R2448))</f>
        <v>0</v>
      </c>
      <c r="AW2448" s="1">
        <f>$A2448-$AV2448*$R2448</f>
        <v>0</v>
      </c>
    </row>
    <row r="2449" ht="24.95" customHeight="1" outlineLevel="3" s="1" customFormat="1">
      <c r="A2449" s="15"/>
      <c r="B2449" s="16">
        <v>590</v>
      </c>
      <c r="C2449" s="16">
        <v>885</v>
      </c>
      <c r="D2449" s="16">
        <v>25044</v>
      </c>
      <c r="E2449" s="18"/>
      <c r="F2449" s="18" t="s">
        <v>524</v>
      </c>
      <c r="G2449" s="18" t="s">
        <v>8006</v>
      </c>
      <c r="H2449" s="18" t="s">
        <v>49</v>
      </c>
      <c r="I2449" s="18" t="s">
        <v>87</v>
      </c>
      <c r="J2449" s="16">
        <v>2022</v>
      </c>
      <c r="K2449" s="18" t="s">
        <v>8007</v>
      </c>
      <c r="L2449" s="16">
        <v>9785961476705</v>
      </c>
      <c r="M2449" s="18" t="s">
        <v>8008</v>
      </c>
      <c r="N2449" s="16">
        <v>32</v>
      </c>
      <c r="O2449" s="19">
        <v>0.3</v>
      </c>
      <c r="P2449" s="16">
        <v>206</v>
      </c>
      <c r="Q2449" s="16">
        <v>207</v>
      </c>
      <c r="R2449" s="16">
        <v>18</v>
      </c>
      <c r="S2449" s="18" t="s">
        <v>83</v>
      </c>
      <c r="T2449" s="18" t="s">
        <v>183</v>
      </c>
      <c r="U2449" s="17">
        <v>5000</v>
      </c>
      <c r="V2449" s="18" t="s">
        <v>77</v>
      </c>
      <c r="W2449" s="18" t="s">
        <v>184</v>
      </c>
      <c r="X2449" s="16">
        <v>10</v>
      </c>
      <c r="Y2449" s="18" t="s">
        <v>8009</v>
      </c>
      <c r="Z2449" s="18"/>
      <c r="AS2449" s="1">
        <f>IF($A2449&lt;&gt;0,1,0)</f>
        <v>0</v>
      </c>
      <c r="AT2449" s="1">
        <f>$A2449*$B2449</f>
        <v>0</v>
      </c>
      <c r="AU2449" s="1">
        <f>$A2449*$O2449</f>
        <v>0</v>
      </c>
      <c r="AV2449" s="1">
        <f>IF($R2449=0,0,INT($A2449/$R2449))</f>
        <v>0</v>
      </c>
      <c r="AW2449" s="1">
        <f>$A2449-$AV2449*$R2449</f>
        <v>0</v>
      </c>
    </row>
    <row r="2450" ht="24.95" customHeight="1" outlineLevel="3" s="1" customFormat="1">
      <c r="A2450" s="15"/>
      <c r="B2450" s="16">
        <v>260</v>
      </c>
      <c r="C2450" s="16">
        <v>416</v>
      </c>
      <c r="D2450" s="16">
        <v>36583</v>
      </c>
      <c r="E2450" s="18"/>
      <c r="F2450" s="18" t="s">
        <v>7932</v>
      </c>
      <c r="G2450" s="18" t="s">
        <v>8010</v>
      </c>
      <c r="H2450" s="18" t="s">
        <v>49</v>
      </c>
      <c r="I2450" s="18" t="s">
        <v>87</v>
      </c>
      <c r="J2450" s="16">
        <v>2026</v>
      </c>
      <c r="K2450" s="18" t="s">
        <v>8011</v>
      </c>
      <c r="L2450" s="16">
        <v>9785006317529</v>
      </c>
      <c r="M2450" s="18" t="s">
        <v>8012</v>
      </c>
      <c r="N2450" s="16">
        <v>112</v>
      </c>
      <c r="O2450" s="19">
        <v>0.09</v>
      </c>
      <c r="P2450" s="16">
        <v>120</v>
      </c>
      <c r="Q2450" s="16">
        <v>190</v>
      </c>
      <c r="R2450" s="16">
        <v>20</v>
      </c>
      <c r="S2450" s="18" t="s">
        <v>90</v>
      </c>
      <c r="T2450" s="18" t="s">
        <v>183</v>
      </c>
      <c r="U2450" s="17">
        <v>1500</v>
      </c>
      <c r="V2450" s="18" t="s">
        <v>44</v>
      </c>
      <c r="W2450" s="18" t="s">
        <v>55</v>
      </c>
      <c r="X2450" s="16">
        <v>10</v>
      </c>
      <c r="Y2450" s="18" t="s">
        <v>8013</v>
      </c>
      <c r="Z2450" s="18" t="s">
        <v>744</v>
      </c>
      <c r="AS2450" s="1">
        <f>IF($A2450&lt;&gt;0,1,0)</f>
        <v>0</v>
      </c>
      <c r="AT2450" s="1">
        <f>$A2450*$B2450</f>
        <v>0</v>
      </c>
      <c r="AU2450" s="1">
        <f>$A2450*$O2450</f>
        <v>0</v>
      </c>
      <c r="AV2450" s="1">
        <f>IF($R2450=0,0,INT($A2450/$R2450))</f>
        <v>0</v>
      </c>
      <c r="AW2450" s="1">
        <f>$A2450-$AV2450*$R2450</f>
        <v>0</v>
      </c>
    </row>
    <row r="2451" ht="24.95" customHeight="1" outlineLevel="3" s="1" customFormat="1">
      <c r="A2451" s="15"/>
      <c r="B2451" s="16">
        <v>500</v>
      </c>
      <c r="C2451" s="16">
        <v>775</v>
      </c>
      <c r="D2451" s="16">
        <v>27262</v>
      </c>
      <c r="E2451" s="18"/>
      <c r="F2451" s="18" t="s">
        <v>7932</v>
      </c>
      <c r="G2451" s="18" t="s">
        <v>8014</v>
      </c>
      <c r="H2451" s="18" t="s">
        <v>49</v>
      </c>
      <c r="I2451" s="18" t="s">
        <v>87</v>
      </c>
      <c r="J2451" s="16">
        <v>2024</v>
      </c>
      <c r="K2451" s="18" t="s">
        <v>8015</v>
      </c>
      <c r="L2451" s="16">
        <v>9785961484489</v>
      </c>
      <c r="M2451" s="18" t="s">
        <v>8016</v>
      </c>
      <c r="N2451" s="16">
        <v>192</v>
      </c>
      <c r="O2451" s="19">
        <v>0.39</v>
      </c>
      <c r="P2451" s="16">
        <v>150</v>
      </c>
      <c r="Q2451" s="16">
        <v>220</v>
      </c>
      <c r="R2451" s="16">
        <v>10</v>
      </c>
      <c r="S2451" s="18" t="s">
        <v>43</v>
      </c>
      <c r="T2451" s="18" t="s">
        <v>183</v>
      </c>
      <c r="U2451" s="17">
        <v>2000</v>
      </c>
      <c r="V2451" s="18" t="s">
        <v>77</v>
      </c>
      <c r="W2451" s="18" t="s">
        <v>55</v>
      </c>
      <c r="X2451" s="16">
        <v>10</v>
      </c>
      <c r="Y2451" s="18" t="s">
        <v>528</v>
      </c>
      <c r="Z2451" s="18"/>
      <c r="AS2451" s="1">
        <f>IF($A2451&lt;&gt;0,1,0)</f>
        <v>0</v>
      </c>
      <c r="AT2451" s="1">
        <f>$A2451*$B2451</f>
        <v>0</v>
      </c>
      <c r="AU2451" s="1">
        <f>$A2451*$O2451</f>
        <v>0</v>
      </c>
      <c r="AV2451" s="1">
        <f>IF($R2451=0,0,INT($A2451/$R2451))</f>
        <v>0</v>
      </c>
      <c r="AW2451" s="1">
        <f>$A2451-$AV2451*$R2451</f>
        <v>0</v>
      </c>
    </row>
    <row r="2452" ht="24.95" customHeight="1" outlineLevel="3" s="1" customFormat="1">
      <c r="A2452" s="15"/>
      <c r="B2452" s="16">
        <v>500</v>
      </c>
      <c r="C2452" s="16">
        <v>775</v>
      </c>
      <c r="D2452" s="16">
        <v>27263</v>
      </c>
      <c r="E2452" s="18"/>
      <c r="F2452" s="18" t="s">
        <v>8017</v>
      </c>
      <c r="G2452" s="18" t="s">
        <v>8018</v>
      </c>
      <c r="H2452" s="18" t="s">
        <v>49</v>
      </c>
      <c r="I2452" s="18" t="s">
        <v>87</v>
      </c>
      <c r="J2452" s="16">
        <v>2023</v>
      </c>
      <c r="K2452" s="18" t="s">
        <v>8019</v>
      </c>
      <c r="L2452" s="16">
        <v>9785961484496</v>
      </c>
      <c r="M2452" s="18" t="s">
        <v>8020</v>
      </c>
      <c r="N2452" s="16">
        <v>200</v>
      </c>
      <c r="O2452" s="19">
        <v>0.4</v>
      </c>
      <c r="P2452" s="16">
        <v>150</v>
      </c>
      <c r="Q2452" s="16">
        <v>220</v>
      </c>
      <c r="R2452" s="16">
        <v>16</v>
      </c>
      <c r="S2452" s="18" t="s">
        <v>43</v>
      </c>
      <c r="T2452" s="18" t="s">
        <v>183</v>
      </c>
      <c r="U2452" s="17">
        <v>3000</v>
      </c>
      <c r="V2452" s="18" t="s">
        <v>77</v>
      </c>
      <c r="W2452" s="18" t="s">
        <v>55</v>
      </c>
      <c r="X2452" s="16">
        <v>10</v>
      </c>
      <c r="Y2452" s="18" t="s">
        <v>528</v>
      </c>
      <c r="Z2452" s="18"/>
      <c r="AS2452" s="1">
        <f>IF($A2452&lt;&gt;0,1,0)</f>
        <v>0</v>
      </c>
      <c r="AT2452" s="1">
        <f>$A2452*$B2452</f>
        <v>0</v>
      </c>
      <c r="AU2452" s="1">
        <f>$A2452*$O2452</f>
        <v>0</v>
      </c>
      <c r="AV2452" s="1">
        <f>IF($R2452=0,0,INT($A2452/$R2452))</f>
        <v>0</v>
      </c>
      <c r="AW2452" s="1">
        <f>$A2452-$AV2452*$R2452</f>
        <v>0</v>
      </c>
    </row>
    <row r="2453" ht="24.95" customHeight="1" outlineLevel="3" s="1" customFormat="1">
      <c r="A2453" s="15"/>
      <c r="B2453" s="16">
        <v>500</v>
      </c>
      <c r="C2453" s="16">
        <v>775</v>
      </c>
      <c r="D2453" s="16">
        <v>29325</v>
      </c>
      <c r="E2453" s="18"/>
      <c r="F2453" s="18" t="s">
        <v>8017</v>
      </c>
      <c r="G2453" s="18" t="s">
        <v>8021</v>
      </c>
      <c r="H2453" s="18" t="s">
        <v>49</v>
      </c>
      <c r="I2453" s="18" t="s">
        <v>87</v>
      </c>
      <c r="J2453" s="16">
        <v>2024</v>
      </c>
      <c r="K2453" s="18" t="s">
        <v>8022</v>
      </c>
      <c r="L2453" s="16">
        <v>9785961492286</v>
      </c>
      <c r="M2453" s="18" t="s">
        <v>8023</v>
      </c>
      <c r="N2453" s="16">
        <v>192</v>
      </c>
      <c r="O2453" s="19">
        <v>0.39</v>
      </c>
      <c r="P2453" s="16">
        <v>150</v>
      </c>
      <c r="Q2453" s="16">
        <v>220</v>
      </c>
      <c r="R2453" s="16">
        <v>16</v>
      </c>
      <c r="S2453" s="18" t="s">
        <v>43</v>
      </c>
      <c r="T2453" s="18" t="s">
        <v>183</v>
      </c>
      <c r="U2453" s="17">
        <v>2000</v>
      </c>
      <c r="V2453" s="18" t="s">
        <v>77</v>
      </c>
      <c r="W2453" s="18" t="s">
        <v>55</v>
      </c>
      <c r="X2453" s="16">
        <v>10</v>
      </c>
      <c r="Y2453" s="18" t="s">
        <v>8024</v>
      </c>
      <c r="Z2453" s="18"/>
      <c r="AS2453" s="1">
        <f>IF($A2453&lt;&gt;0,1,0)</f>
        <v>0</v>
      </c>
      <c r="AT2453" s="1">
        <f>$A2453*$B2453</f>
        <v>0</v>
      </c>
      <c r="AU2453" s="1">
        <f>$A2453*$O2453</f>
        <v>0</v>
      </c>
      <c r="AV2453" s="1">
        <f>IF($R2453=0,0,INT($A2453/$R2453))</f>
        <v>0</v>
      </c>
      <c r="AW2453" s="1">
        <f>$A2453-$AV2453*$R2453</f>
        <v>0</v>
      </c>
    </row>
    <row r="2454" ht="24.95" customHeight="1" outlineLevel="3" s="1" customFormat="1">
      <c r="A2454" s="15"/>
      <c r="B2454" s="16">
        <v>500</v>
      </c>
      <c r="C2454" s="16">
        <v>775</v>
      </c>
      <c r="D2454" s="16">
        <v>27264</v>
      </c>
      <c r="E2454" s="18"/>
      <c r="F2454" s="18" t="s">
        <v>7932</v>
      </c>
      <c r="G2454" s="18" t="s">
        <v>8025</v>
      </c>
      <c r="H2454" s="18" t="s">
        <v>49</v>
      </c>
      <c r="I2454" s="18" t="s">
        <v>87</v>
      </c>
      <c r="J2454" s="16">
        <v>2023</v>
      </c>
      <c r="K2454" s="18" t="s">
        <v>8026</v>
      </c>
      <c r="L2454" s="16">
        <v>9785961484502</v>
      </c>
      <c r="M2454" s="18" t="s">
        <v>8027</v>
      </c>
      <c r="N2454" s="16">
        <v>216</v>
      </c>
      <c r="O2454" s="19">
        <v>0.43</v>
      </c>
      <c r="P2454" s="16">
        <v>150</v>
      </c>
      <c r="Q2454" s="16">
        <v>220</v>
      </c>
      <c r="R2454" s="16">
        <v>16</v>
      </c>
      <c r="S2454" s="18" t="s">
        <v>43</v>
      </c>
      <c r="T2454" s="18" t="s">
        <v>183</v>
      </c>
      <c r="U2454" s="17">
        <v>3000</v>
      </c>
      <c r="V2454" s="18" t="s">
        <v>77</v>
      </c>
      <c r="W2454" s="18" t="s">
        <v>55</v>
      </c>
      <c r="X2454" s="16">
        <v>10</v>
      </c>
      <c r="Y2454" s="18" t="s">
        <v>528</v>
      </c>
      <c r="Z2454" s="18"/>
      <c r="AS2454" s="1">
        <f>IF($A2454&lt;&gt;0,1,0)</f>
        <v>0</v>
      </c>
      <c r="AT2454" s="1">
        <f>$A2454*$B2454</f>
        <v>0</v>
      </c>
      <c r="AU2454" s="1">
        <f>$A2454*$O2454</f>
        <v>0</v>
      </c>
      <c r="AV2454" s="1">
        <f>IF($R2454=0,0,INT($A2454/$R2454))</f>
        <v>0</v>
      </c>
      <c r="AW2454" s="1">
        <f>$A2454-$AV2454*$R2454</f>
        <v>0</v>
      </c>
    </row>
    <row r="2455" ht="24.95" customHeight="1" outlineLevel="3" s="1" customFormat="1">
      <c r="A2455" s="15"/>
      <c r="B2455" s="16">
        <v>260</v>
      </c>
      <c r="C2455" s="16">
        <v>416</v>
      </c>
      <c r="D2455" s="16">
        <v>36582</v>
      </c>
      <c r="E2455" s="18"/>
      <c r="F2455" s="18" t="s">
        <v>7932</v>
      </c>
      <c r="G2455" s="18" t="s">
        <v>8028</v>
      </c>
      <c r="H2455" s="18" t="s">
        <v>49</v>
      </c>
      <c r="I2455" s="18" t="s">
        <v>87</v>
      </c>
      <c r="J2455" s="16">
        <v>2026</v>
      </c>
      <c r="K2455" s="18" t="s">
        <v>8029</v>
      </c>
      <c r="L2455" s="16">
        <v>9785006317512</v>
      </c>
      <c r="M2455" s="18" t="s">
        <v>8030</v>
      </c>
      <c r="N2455" s="16">
        <v>112</v>
      </c>
      <c r="O2455" s="19">
        <v>0.09</v>
      </c>
      <c r="P2455" s="16">
        <v>120</v>
      </c>
      <c r="Q2455" s="16">
        <v>190</v>
      </c>
      <c r="R2455" s="16">
        <v>20</v>
      </c>
      <c r="S2455" s="18" t="s">
        <v>90</v>
      </c>
      <c r="T2455" s="18" t="s">
        <v>183</v>
      </c>
      <c r="U2455" s="17">
        <v>1500</v>
      </c>
      <c r="V2455" s="18" t="s">
        <v>44</v>
      </c>
      <c r="W2455" s="18" t="s">
        <v>55</v>
      </c>
      <c r="X2455" s="16">
        <v>10</v>
      </c>
      <c r="Y2455" s="18" t="s">
        <v>8013</v>
      </c>
      <c r="Z2455" s="18" t="s">
        <v>744</v>
      </c>
      <c r="AS2455" s="1">
        <f>IF($A2455&lt;&gt;0,1,0)</f>
        <v>0</v>
      </c>
      <c r="AT2455" s="1">
        <f>$A2455*$B2455</f>
        <v>0</v>
      </c>
      <c r="AU2455" s="1">
        <f>$A2455*$O2455</f>
        <v>0</v>
      </c>
      <c r="AV2455" s="1">
        <f>IF($R2455=0,0,INT($A2455/$R2455))</f>
        <v>0</v>
      </c>
      <c r="AW2455" s="1">
        <f>$A2455-$AV2455*$R2455</f>
        <v>0</v>
      </c>
    </row>
    <row r="2456" ht="24.95" customHeight="1" outlineLevel="3" s="1" customFormat="1">
      <c r="A2456" s="15"/>
      <c r="B2456" s="16">
        <v>590</v>
      </c>
      <c r="C2456" s="16">
        <v>885</v>
      </c>
      <c r="D2456" s="16">
        <v>33411</v>
      </c>
      <c r="E2456" s="18"/>
      <c r="F2456" s="18" t="s">
        <v>524</v>
      </c>
      <c r="G2456" s="18" t="s">
        <v>8031</v>
      </c>
      <c r="H2456" s="18" t="s">
        <v>49</v>
      </c>
      <c r="I2456" s="18" t="s">
        <v>87</v>
      </c>
      <c r="J2456" s="16">
        <v>2026</v>
      </c>
      <c r="K2456" s="18" t="s">
        <v>8032</v>
      </c>
      <c r="L2456" s="16">
        <v>9785006304659</v>
      </c>
      <c r="M2456" s="18" t="s">
        <v>8033</v>
      </c>
      <c r="N2456" s="16">
        <v>30</v>
      </c>
      <c r="O2456" s="19">
        <v>0.19</v>
      </c>
      <c r="P2456" s="16">
        <v>190</v>
      </c>
      <c r="Q2456" s="16">
        <v>180</v>
      </c>
      <c r="R2456" s="16">
        <v>20</v>
      </c>
      <c r="S2456" s="18" t="s">
        <v>52</v>
      </c>
      <c r="T2456" s="18" t="s">
        <v>183</v>
      </c>
      <c r="U2456" s="17">
        <v>1500</v>
      </c>
      <c r="V2456" s="18" t="s">
        <v>77</v>
      </c>
      <c r="W2456" s="18" t="s">
        <v>184</v>
      </c>
      <c r="X2456" s="16">
        <v>10</v>
      </c>
      <c r="Y2456" s="18" t="s">
        <v>7967</v>
      </c>
      <c r="Z2456" s="18" t="s">
        <v>2419</v>
      </c>
      <c r="AS2456" s="1">
        <f>IF($A2456&lt;&gt;0,1,0)</f>
        <v>0</v>
      </c>
      <c r="AT2456" s="1">
        <f>$A2456*$B2456</f>
        <v>0</v>
      </c>
      <c r="AU2456" s="1">
        <f>$A2456*$O2456</f>
        <v>0</v>
      </c>
      <c r="AV2456" s="1">
        <f>IF($R2456=0,0,INT($A2456/$R2456))</f>
        <v>0</v>
      </c>
      <c r="AW2456" s="1">
        <f>$A2456-$AV2456*$R2456</f>
        <v>0</v>
      </c>
    </row>
    <row r="2457" ht="24.95" customHeight="1" outlineLevel="3" s="1" customFormat="1">
      <c r="A2457" s="15"/>
      <c r="B2457" s="16">
        <v>590</v>
      </c>
      <c r="C2457" s="16">
        <v>885</v>
      </c>
      <c r="D2457" s="16">
        <v>29060</v>
      </c>
      <c r="E2457" s="18"/>
      <c r="F2457" s="18" t="s">
        <v>524</v>
      </c>
      <c r="G2457" s="18" t="s">
        <v>8034</v>
      </c>
      <c r="H2457" s="18" t="s">
        <v>49</v>
      </c>
      <c r="I2457" s="18" t="s">
        <v>87</v>
      </c>
      <c r="J2457" s="16">
        <v>2025</v>
      </c>
      <c r="K2457" s="18" t="s">
        <v>8035</v>
      </c>
      <c r="L2457" s="16">
        <v>9785961491272</v>
      </c>
      <c r="M2457" s="18" t="s">
        <v>8036</v>
      </c>
      <c r="N2457" s="16">
        <v>30</v>
      </c>
      <c r="O2457" s="19">
        <v>0.15</v>
      </c>
      <c r="P2457" s="16">
        <v>180</v>
      </c>
      <c r="Q2457" s="16">
        <v>190</v>
      </c>
      <c r="R2457" s="16">
        <v>20</v>
      </c>
      <c r="S2457" s="18" t="s">
        <v>52</v>
      </c>
      <c r="T2457" s="18" t="s">
        <v>183</v>
      </c>
      <c r="U2457" s="17">
        <v>2000</v>
      </c>
      <c r="V2457" s="18" t="s">
        <v>77</v>
      </c>
      <c r="W2457" s="18" t="s">
        <v>184</v>
      </c>
      <c r="X2457" s="16">
        <v>10</v>
      </c>
      <c r="Y2457" s="18" t="s">
        <v>7981</v>
      </c>
      <c r="Z2457" s="18"/>
      <c r="AS2457" s="1">
        <f>IF($A2457&lt;&gt;0,1,0)</f>
        <v>0</v>
      </c>
      <c r="AT2457" s="1">
        <f>$A2457*$B2457</f>
        <v>0</v>
      </c>
      <c r="AU2457" s="1">
        <f>$A2457*$O2457</f>
        <v>0</v>
      </c>
      <c r="AV2457" s="1">
        <f>IF($R2457=0,0,INT($A2457/$R2457))</f>
        <v>0</v>
      </c>
      <c r="AW2457" s="1">
        <f>$A2457-$AV2457*$R2457</f>
        <v>0</v>
      </c>
    </row>
    <row r="2458" ht="24.95" customHeight="1" outlineLevel="3" s="1" customFormat="1">
      <c r="A2458" s="15"/>
      <c r="B2458" s="16">
        <v>260</v>
      </c>
      <c r="C2458" s="16">
        <v>416</v>
      </c>
      <c r="D2458" s="16">
        <v>36580</v>
      </c>
      <c r="E2458" s="18"/>
      <c r="F2458" s="18" t="s">
        <v>7932</v>
      </c>
      <c r="G2458" s="18" t="s">
        <v>8037</v>
      </c>
      <c r="H2458" s="18" t="s">
        <v>49</v>
      </c>
      <c r="I2458" s="18" t="s">
        <v>87</v>
      </c>
      <c r="J2458" s="16">
        <v>2026</v>
      </c>
      <c r="K2458" s="18" t="s">
        <v>8038</v>
      </c>
      <c r="L2458" s="16">
        <v>9785006317499</v>
      </c>
      <c r="M2458" s="18" t="s">
        <v>8039</v>
      </c>
      <c r="N2458" s="16">
        <v>96</v>
      </c>
      <c r="O2458" s="19">
        <v>0.08</v>
      </c>
      <c r="P2458" s="16">
        <v>120</v>
      </c>
      <c r="Q2458" s="16">
        <v>190</v>
      </c>
      <c r="R2458" s="16">
        <v>20</v>
      </c>
      <c r="S2458" s="18" t="s">
        <v>90</v>
      </c>
      <c r="T2458" s="18" t="s">
        <v>183</v>
      </c>
      <c r="U2458" s="17">
        <v>1500</v>
      </c>
      <c r="V2458" s="18" t="s">
        <v>44</v>
      </c>
      <c r="W2458" s="18" t="s">
        <v>55</v>
      </c>
      <c r="X2458" s="16">
        <v>10</v>
      </c>
      <c r="Y2458" s="18" t="s">
        <v>8040</v>
      </c>
      <c r="Z2458" s="18" t="s">
        <v>744</v>
      </c>
      <c r="AS2458" s="1">
        <f>IF($A2458&lt;&gt;0,1,0)</f>
        <v>0</v>
      </c>
      <c r="AT2458" s="1">
        <f>$A2458*$B2458</f>
        <v>0</v>
      </c>
      <c r="AU2458" s="1">
        <f>$A2458*$O2458</f>
        <v>0</v>
      </c>
      <c r="AV2458" s="1">
        <f>IF($R2458=0,0,INT($A2458/$R2458))</f>
        <v>0</v>
      </c>
      <c r="AW2458" s="1">
        <f>$A2458-$AV2458*$R2458</f>
        <v>0</v>
      </c>
    </row>
    <row r="2459" ht="24.95" customHeight="1" outlineLevel="3" s="1" customFormat="1">
      <c r="A2459" s="15"/>
      <c r="B2459" s="16">
        <v>590</v>
      </c>
      <c r="C2459" s="16">
        <v>885</v>
      </c>
      <c r="D2459" s="16">
        <v>28669</v>
      </c>
      <c r="E2459" s="18"/>
      <c r="F2459" s="18" t="s">
        <v>524</v>
      </c>
      <c r="G2459" s="18" t="s">
        <v>8041</v>
      </c>
      <c r="H2459" s="18" t="s">
        <v>49</v>
      </c>
      <c r="I2459" s="18" t="s">
        <v>87</v>
      </c>
      <c r="J2459" s="16">
        <v>2026</v>
      </c>
      <c r="K2459" s="18" t="s">
        <v>8042</v>
      </c>
      <c r="L2459" s="16">
        <v>9785961489620</v>
      </c>
      <c r="M2459" s="18" t="s">
        <v>8043</v>
      </c>
      <c r="N2459" s="16">
        <v>40</v>
      </c>
      <c r="O2459" s="19">
        <v>0.19</v>
      </c>
      <c r="P2459" s="16">
        <v>180</v>
      </c>
      <c r="Q2459" s="16">
        <v>180</v>
      </c>
      <c r="R2459" s="16">
        <v>20</v>
      </c>
      <c r="S2459" s="18" t="s">
        <v>52</v>
      </c>
      <c r="T2459" s="18" t="s">
        <v>183</v>
      </c>
      <c r="U2459" s="17">
        <v>2000</v>
      </c>
      <c r="V2459" s="18" t="s">
        <v>77</v>
      </c>
      <c r="W2459" s="18" t="s">
        <v>184</v>
      </c>
      <c r="X2459" s="16">
        <v>10</v>
      </c>
      <c r="Y2459" s="18" t="s">
        <v>7967</v>
      </c>
      <c r="Z2459" s="18" t="s">
        <v>178</v>
      </c>
      <c r="AS2459" s="1">
        <f>IF($A2459&lt;&gt;0,1,0)</f>
        <v>0</v>
      </c>
      <c r="AT2459" s="1">
        <f>$A2459*$B2459</f>
        <v>0</v>
      </c>
      <c r="AU2459" s="1">
        <f>$A2459*$O2459</f>
        <v>0</v>
      </c>
      <c r="AV2459" s="1">
        <f>IF($R2459=0,0,INT($A2459/$R2459))</f>
        <v>0</v>
      </c>
      <c r="AW2459" s="1">
        <f>$A2459-$AV2459*$R2459</f>
        <v>0</v>
      </c>
    </row>
    <row r="2460" ht="24.95" customHeight="1" outlineLevel="3" s="1" customFormat="1">
      <c r="A2460" s="15"/>
      <c r="B2460" s="16">
        <v>260</v>
      </c>
      <c r="C2460" s="16">
        <v>416</v>
      </c>
      <c r="D2460" s="16">
        <v>31811</v>
      </c>
      <c r="E2460" s="18"/>
      <c r="F2460" s="18" t="s">
        <v>7932</v>
      </c>
      <c r="G2460" s="18" t="s">
        <v>8044</v>
      </c>
      <c r="H2460" s="18" t="s">
        <v>49</v>
      </c>
      <c r="I2460" s="18" t="s">
        <v>87</v>
      </c>
      <c r="J2460" s="16">
        <v>2026</v>
      </c>
      <c r="K2460" s="18" t="s">
        <v>8045</v>
      </c>
      <c r="L2460" s="16">
        <v>9785006300231</v>
      </c>
      <c r="M2460" s="18" t="s">
        <v>8046</v>
      </c>
      <c r="N2460" s="16">
        <v>112</v>
      </c>
      <c r="O2460" s="19">
        <v>0.09</v>
      </c>
      <c r="P2460" s="16">
        <v>120</v>
      </c>
      <c r="Q2460" s="16">
        <v>190</v>
      </c>
      <c r="R2460" s="16">
        <v>20</v>
      </c>
      <c r="S2460" s="18" t="s">
        <v>90</v>
      </c>
      <c r="T2460" s="18" t="s">
        <v>183</v>
      </c>
      <c r="U2460" s="17">
        <v>1500</v>
      </c>
      <c r="V2460" s="18" t="s">
        <v>44</v>
      </c>
      <c r="W2460" s="18" t="s">
        <v>55</v>
      </c>
      <c r="X2460" s="16">
        <v>10</v>
      </c>
      <c r="Y2460" s="18" t="s">
        <v>8047</v>
      </c>
      <c r="Z2460" s="18" t="s">
        <v>744</v>
      </c>
      <c r="AS2460" s="1">
        <f>IF($A2460&lt;&gt;0,1,0)</f>
        <v>0</v>
      </c>
      <c r="AT2460" s="1">
        <f>$A2460*$B2460</f>
        <v>0</v>
      </c>
      <c r="AU2460" s="1">
        <f>$A2460*$O2460</f>
        <v>0</v>
      </c>
      <c r="AV2460" s="1">
        <f>IF($R2460=0,0,INT($A2460/$R2460))</f>
        <v>0</v>
      </c>
      <c r="AW2460" s="1">
        <f>$A2460-$AV2460*$R2460</f>
        <v>0</v>
      </c>
    </row>
    <row r="2461" ht="21.95" customHeight="1" outlineLevel="3" s="1" customFormat="1">
      <c r="A2461" s="15"/>
      <c r="B2461" s="16">
        <v>590</v>
      </c>
      <c r="C2461" s="16">
        <v>885</v>
      </c>
      <c r="D2461" s="16">
        <v>33125</v>
      </c>
      <c r="E2461" s="18"/>
      <c r="F2461" s="18" t="s">
        <v>7932</v>
      </c>
      <c r="G2461" s="18" t="s">
        <v>8048</v>
      </c>
      <c r="H2461" s="18" t="s">
        <v>49</v>
      </c>
      <c r="I2461" s="18" t="s">
        <v>87</v>
      </c>
      <c r="J2461" s="16">
        <v>2025</v>
      </c>
      <c r="K2461" s="18" t="s">
        <v>8049</v>
      </c>
      <c r="L2461" s="16">
        <v>9785006303799</v>
      </c>
      <c r="M2461" s="18" t="s">
        <v>8050</v>
      </c>
      <c r="N2461" s="16">
        <v>112</v>
      </c>
      <c r="O2461" s="19">
        <v>0.24</v>
      </c>
      <c r="P2461" s="16">
        <v>130</v>
      </c>
      <c r="Q2461" s="16">
        <v>210</v>
      </c>
      <c r="R2461" s="16">
        <v>22</v>
      </c>
      <c r="S2461" s="18" t="s">
        <v>90</v>
      </c>
      <c r="T2461" s="18" t="s">
        <v>183</v>
      </c>
      <c r="U2461" s="17">
        <v>1000</v>
      </c>
      <c r="V2461" s="18" t="s">
        <v>77</v>
      </c>
      <c r="W2461" s="18" t="s">
        <v>55</v>
      </c>
      <c r="X2461" s="16">
        <v>10</v>
      </c>
      <c r="Y2461" s="43" t="str">
        <f>HYPERLINK("","")</f>
      </c>
      <c r="Z2461" s="18"/>
      <c r="AS2461" s="1">
        <f>IF($A2461&lt;&gt;0,1,0)</f>
        <v>0</v>
      </c>
      <c r="AT2461" s="1">
        <f>$A2461*$B2461</f>
        <v>0</v>
      </c>
      <c r="AU2461" s="1">
        <f>$A2461*$O2461</f>
        <v>0</v>
      </c>
      <c r="AV2461" s="1">
        <f>IF($R2461=0,0,INT($A2461/$R2461))</f>
        <v>0</v>
      </c>
      <c r="AW2461" s="1">
        <f>$A2461-$AV2461*$R2461</f>
        <v>0</v>
      </c>
    </row>
    <row r="2462" ht="21.95" customHeight="1" outlineLevel="3" s="1" customFormat="1">
      <c r="A2462" s="15"/>
      <c r="B2462" s="16">
        <v>590</v>
      </c>
      <c r="C2462" s="16">
        <v>885</v>
      </c>
      <c r="D2462" s="16">
        <v>30989</v>
      </c>
      <c r="E2462" s="18"/>
      <c r="F2462" s="18" t="s">
        <v>524</v>
      </c>
      <c r="G2462" s="18" t="s">
        <v>8051</v>
      </c>
      <c r="H2462" s="18" t="s">
        <v>49</v>
      </c>
      <c r="I2462" s="18" t="s">
        <v>87</v>
      </c>
      <c r="J2462" s="16">
        <v>2026</v>
      </c>
      <c r="K2462" s="18" t="s">
        <v>8052</v>
      </c>
      <c r="L2462" s="16">
        <v>9785961497137</v>
      </c>
      <c r="M2462" s="18" t="s">
        <v>8053</v>
      </c>
      <c r="N2462" s="16">
        <v>32</v>
      </c>
      <c r="O2462" s="19">
        <v>0.18</v>
      </c>
      <c r="P2462" s="16">
        <v>190</v>
      </c>
      <c r="Q2462" s="16">
        <v>180</v>
      </c>
      <c r="R2462" s="16">
        <v>20</v>
      </c>
      <c r="S2462" s="18" t="s">
        <v>52</v>
      </c>
      <c r="T2462" s="18" t="s">
        <v>183</v>
      </c>
      <c r="U2462" s="17">
        <v>1500</v>
      </c>
      <c r="V2462" s="18" t="s">
        <v>77</v>
      </c>
      <c r="W2462" s="18" t="s">
        <v>184</v>
      </c>
      <c r="X2462" s="16">
        <v>10</v>
      </c>
      <c r="Y2462" s="43" t="str">
        <f>HYPERLINK("","")</f>
      </c>
      <c r="Z2462" s="18"/>
      <c r="AS2462" s="1">
        <f>IF($A2462&lt;&gt;0,1,0)</f>
        <v>0</v>
      </c>
      <c r="AT2462" s="1">
        <f>$A2462*$B2462</f>
        <v>0</v>
      </c>
      <c r="AU2462" s="1">
        <f>$A2462*$O2462</f>
        <v>0</v>
      </c>
      <c r="AV2462" s="1">
        <f>IF($R2462=0,0,INT($A2462/$R2462))</f>
        <v>0</v>
      </c>
      <c r="AW2462" s="1">
        <f>$A2462-$AV2462*$R2462</f>
        <v>0</v>
      </c>
    </row>
    <row r="2463" ht="21.95" customHeight="1" outlineLevel="3" s="1" customFormat="1">
      <c r="A2463" s="15"/>
      <c r="B2463" s="16">
        <v>690</v>
      </c>
      <c r="C2463" s="17">
        <v>1035</v>
      </c>
      <c r="D2463" s="16">
        <v>34956</v>
      </c>
      <c r="E2463" s="18"/>
      <c r="F2463" s="18" t="s">
        <v>524</v>
      </c>
      <c r="G2463" s="18" t="s">
        <v>8054</v>
      </c>
      <c r="H2463" s="18" t="s">
        <v>49</v>
      </c>
      <c r="I2463" s="18" t="s">
        <v>87</v>
      </c>
      <c r="J2463" s="16">
        <v>2026</v>
      </c>
      <c r="K2463" s="18" t="s">
        <v>8055</v>
      </c>
      <c r="L2463" s="16">
        <v>9785006309609</v>
      </c>
      <c r="M2463" s="18" t="s">
        <v>8056</v>
      </c>
      <c r="N2463" s="16">
        <v>192</v>
      </c>
      <c r="O2463" s="19">
        <v>0.22</v>
      </c>
      <c r="P2463" s="16">
        <v>120</v>
      </c>
      <c r="Q2463" s="16">
        <v>140</v>
      </c>
      <c r="R2463" s="16">
        <v>20</v>
      </c>
      <c r="S2463" s="18" t="s">
        <v>90</v>
      </c>
      <c r="T2463" s="18" t="s">
        <v>183</v>
      </c>
      <c r="U2463" s="17">
        <v>5000</v>
      </c>
      <c r="V2463" s="18" t="s">
        <v>44</v>
      </c>
      <c r="W2463" s="18" t="s">
        <v>184</v>
      </c>
      <c r="X2463" s="16">
        <v>10</v>
      </c>
      <c r="Y2463" s="43" t="str">
        <f>HYPERLINK("","")</f>
      </c>
      <c r="Z2463" s="18"/>
      <c r="AS2463" s="1">
        <f>IF($A2463&lt;&gt;0,1,0)</f>
        <v>0</v>
      </c>
      <c r="AT2463" s="1">
        <f>$A2463*$B2463</f>
        <v>0</v>
      </c>
      <c r="AU2463" s="1">
        <f>$A2463*$O2463</f>
        <v>0</v>
      </c>
      <c r="AV2463" s="1">
        <f>IF($R2463=0,0,INT($A2463/$R2463))</f>
        <v>0</v>
      </c>
      <c r="AW2463" s="1">
        <f>$A2463-$AV2463*$R2463</f>
        <v>0</v>
      </c>
    </row>
    <row r="2464" ht="24.95" customHeight="1" outlineLevel="3" s="1" customFormat="1">
      <c r="A2464" s="15"/>
      <c r="B2464" s="16">
        <v>540</v>
      </c>
      <c r="C2464" s="16">
        <v>837</v>
      </c>
      <c r="D2464" s="16">
        <v>28155</v>
      </c>
      <c r="E2464" s="18"/>
      <c r="F2464" s="18" t="s">
        <v>524</v>
      </c>
      <c r="G2464" s="18" t="s">
        <v>8057</v>
      </c>
      <c r="H2464" s="18" t="s">
        <v>49</v>
      </c>
      <c r="I2464" s="18" t="s">
        <v>87</v>
      </c>
      <c r="J2464" s="16">
        <v>2026</v>
      </c>
      <c r="K2464" s="18" t="s">
        <v>8058</v>
      </c>
      <c r="L2464" s="16">
        <v>9785961487428</v>
      </c>
      <c r="M2464" s="18" t="s">
        <v>8059</v>
      </c>
      <c r="N2464" s="16">
        <v>32</v>
      </c>
      <c r="O2464" s="19">
        <v>0.16</v>
      </c>
      <c r="P2464" s="16">
        <v>180</v>
      </c>
      <c r="Q2464" s="16">
        <v>190</v>
      </c>
      <c r="R2464" s="16">
        <v>20</v>
      </c>
      <c r="S2464" s="18" t="s">
        <v>52</v>
      </c>
      <c r="T2464" s="18" t="s">
        <v>183</v>
      </c>
      <c r="U2464" s="17">
        <v>1500</v>
      </c>
      <c r="V2464" s="18" t="s">
        <v>77</v>
      </c>
      <c r="W2464" s="18" t="s">
        <v>184</v>
      </c>
      <c r="X2464" s="16">
        <v>10</v>
      </c>
      <c r="Y2464" s="18" t="s">
        <v>528</v>
      </c>
      <c r="Z2464" s="18"/>
      <c r="AS2464" s="1">
        <f>IF($A2464&lt;&gt;0,1,0)</f>
        <v>0</v>
      </c>
      <c r="AT2464" s="1">
        <f>$A2464*$B2464</f>
        <v>0</v>
      </c>
      <c r="AU2464" s="1">
        <f>$A2464*$O2464</f>
        <v>0</v>
      </c>
      <c r="AV2464" s="1">
        <f>IF($R2464=0,0,INT($A2464/$R2464))</f>
        <v>0</v>
      </c>
      <c r="AW2464" s="1">
        <f>$A2464-$AV2464*$R2464</f>
        <v>0</v>
      </c>
    </row>
    <row r="2465" ht="24.95" customHeight="1" outlineLevel="3" s="1" customFormat="1">
      <c r="A2465" s="15"/>
      <c r="B2465" s="16">
        <v>590</v>
      </c>
      <c r="C2465" s="16">
        <v>885</v>
      </c>
      <c r="D2465" s="16">
        <v>27248</v>
      </c>
      <c r="E2465" s="18"/>
      <c r="F2465" s="18" t="s">
        <v>7932</v>
      </c>
      <c r="G2465" s="18" t="s">
        <v>8060</v>
      </c>
      <c r="H2465" s="18" t="s">
        <v>49</v>
      </c>
      <c r="I2465" s="18" t="s">
        <v>87</v>
      </c>
      <c r="J2465" s="16">
        <v>2024</v>
      </c>
      <c r="K2465" s="18" t="s">
        <v>8061</v>
      </c>
      <c r="L2465" s="16">
        <v>9785961484359</v>
      </c>
      <c r="M2465" s="18" t="s">
        <v>8062</v>
      </c>
      <c r="N2465" s="16">
        <v>128</v>
      </c>
      <c r="O2465" s="19">
        <v>0.26</v>
      </c>
      <c r="P2465" s="16">
        <v>130</v>
      </c>
      <c r="Q2465" s="16">
        <v>210</v>
      </c>
      <c r="R2465" s="16">
        <v>20</v>
      </c>
      <c r="S2465" s="18" t="s">
        <v>90</v>
      </c>
      <c r="T2465" s="18" t="s">
        <v>183</v>
      </c>
      <c r="U2465" s="17">
        <v>2000</v>
      </c>
      <c r="V2465" s="18" t="s">
        <v>77</v>
      </c>
      <c r="W2465" s="18" t="s">
        <v>55</v>
      </c>
      <c r="X2465" s="16">
        <v>10</v>
      </c>
      <c r="Y2465" s="18" t="s">
        <v>8040</v>
      </c>
      <c r="Z2465" s="18"/>
      <c r="AS2465" s="1">
        <f>IF($A2465&lt;&gt;0,1,0)</f>
        <v>0</v>
      </c>
      <c r="AT2465" s="1">
        <f>$A2465*$B2465</f>
        <v>0</v>
      </c>
      <c r="AU2465" s="1">
        <f>$A2465*$O2465</f>
        <v>0</v>
      </c>
      <c r="AV2465" s="1">
        <f>IF($R2465=0,0,INT($A2465/$R2465))</f>
        <v>0</v>
      </c>
      <c r="AW2465" s="1">
        <f>$A2465-$AV2465*$R2465</f>
        <v>0</v>
      </c>
    </row>
    <row r="2466" ht="24.95" customHeight="1" outlineLevel="3" s="1" customFormat="1">
      <c r="A2466" s="15"/>
      <c r="B2466" s="16">
        <v>690</v>
      </c>
      <c r="C2466" s="17">
        <v>1035</v>
      </c>
      <c r="D2466" s="16">
        <v>29639</v>
      </c>
      <c r="E2466" s="18"/>
      <c r="F2466" s="18" t="s">
        <v>524</v>
      </c>
      <c r="G2466" s="18" t="s">
        <v>8063</v>
      </c>
      <c r="H2466" s="18" t="s">
        <v>49</v>
      </c>
      <c r="I2466" s="18" t="s">
        <v>87</v>
      </c>
      <c r="J2466" s="16">
        <v>2026</v>
      </c>
      <c r="K2466" s="18" t="s">
        <v>8064</v>
      </c>
      <c r="L2466" s="16">
        <v>9785961493252</v>
      </c>
      <c r="M2466" s="18" t="s">
        <v>8065</v>
      </c>
      <c r="N2466" s="16">
        <v>192</v>
      </c>
      <c r="O2466" s="19">
        <v>0.22</v>
      </c>
      <c r="P2466" s="16">
        <v>120</v>
      </c>
      <c r="Q2466" s="16">
        <v>140</v>
      </c>
      <c r="R2466" s="16">
        <v>20</v>
      </c>
      <c r="S2466" s="18" t="s">
        <v>90</v>
      </c>
      <c r="T2466" s="18" t="s">
        <v>183</v>
      </c>
      <c r="U2466" s="17">
        <v>4000</v>
      </c>
      <c r="V2466" s="18" t="s">
        <v>44</v>
      </c>
      <c r="W2466" s="18" t="s">
        <v>184</v>
      </c>
      <c r="X2466" s="16">
        <v>10</v>
      </c>
      <c r="Y2466" s="18" t="s">
        <v>540</v>
      </c>
      <c r="Z2466" s="18" t="s">
        <v>874</v>
      </c>
      <c r="AS2466" s="1">
        <f>IF($A2466&lt;&gt;0,1,0)</f>
        <v>0</v>
      </c>
      <c r="AT2466" s="1">
        <f>$A2466*$B2466</f>
        <v>0</v>
      </c>
      <c r="AU2466" s="1">
        <f>$A2466*$O2466</f>
        <v>0</v>
      </c>
      <c r="AV2466" s="1">
        <f>IF($R2466=0,0,INT($A2466/$R2466))</f>
        <v>0</v>
      </c>
      <c r="AW2466" s="1">
        <f>$A2466-$AV2466*$R2466</f>
        <v>0</v>
      </c>
    </row>
    <row r="2467" ht="24.95" customHeight="1" outlineLevel="3" s="1" customFormat="1">
      <c r="A2467" s="15"/>
      <c r="B2467" s="16">
        <v>990</v>
      </c>
      <c r="C2467" s="17">
        <v>1386</v>
      </c>
      <c r="D2467" s="16">
        <v>23663</v>
      </c>
      <c r="E2467" s="18"/>
      <c r="F2467" s="18" t="s">
        <v>524</v>
      </c>
      <c r="G2467" s="18" t="s">
        <v>8066</v>
      </c>
      <c r="H2467" s="18" t="s">
        <v>49</v>
      </c>
      <c r="I2467" s="18" t="s">
        <v>87</v>
      </c>
      <c r="J2467" s="16">
        <v>2025</v>
      </c>
      <c r="K2467" s="18" t="s">
        <v>8067</v>
      </c>
      <c r="L2467" s="16">
        <v>9785961473728</v>
      </c>
      <c r="M2467" s="18" t="s">
        <v>8068</v>
      </c>
      <c r="N2467" s="16">
        <v>14</v>
      </c>
      <c r="O2467" s="19">
        <v>0.41</v>
      </c>
      <c r="P2467" s="16">
        <v>225</v>
      </c>
      <c r="Q2467" s="16">
        <v>246</v>
      </c>
      <c r="R2467" s="16">
        <v>1</v>
      </c>
      <c r="S2467" s="18" t="s">
        <v>328</v>
      </c>
      <c r="T2467" s="18" t="s">
        <v>183</v>
      </c>
      <c r="U2467" s="17">
        <v>1000</v>
      </c>
      <c r="V2467" s="18" t="s">
        <v>77</v>
      </c>
      <c r="W2467" s="18" t="s">
        <v>55</v>
      </c>
      <c r="X2467" s="16">
        <v>10</v>
      </c>
      <c r="Y2467" s="18" t="s">
        <v>8069</v>
      </c>
      <c r="Z2467" s="18"/>
      <c r="AS2467" s="1">
        <f>IF($A2467&lt;&gt;0,1,0)</f>
        <v>0</v>
      </c>
      <c r="AT2467" s="1">
        <f>$A2467*$B2467</f>
        <v>0</v>
      </c>
      <c r="AU2467" s="1">
        <f>$A2467*$O2467</f>
        <v>0</v>
      </c>
      <c r="AV2467" s="1">
        <f>IF($R2467=0,0,INT($A2467/$R2467))</f>
        <v>0</v>
      </c>
      <c r="AW2467" s="1">
        <f>$A2467-$AV2467*$R2467</f>
        <v>0</v>
      </c>
    </row>
    <row r="2468" ht="21.95" customHeight="1" outlineLevel="3" s="1" customFormat="1">
      <c r="A2468" s="15"/>
      <c r="B2468" s="16">
        <v>260</v>
      </c>
      <c r="C2468" s="16">
        <v>416</v>
      </c>
      <c r="D2468" s="16">
        <v>36523</v>
      </c>
      <c r="E2468" s="18"/>
      <c r="F2468" s="18" t="s">
        <v>7932</v>
      </c>
      <c r="G2468" s="18" t="s">
        <v>8070</v>
      </c>
      <c r="H2468" s="18" t="s">
        <v>49</v>
      </c>
      <c r="I2468" s="18" t="s">
        <v>87</v>
      </c>
      <c r="J2468" s="16">
        <v>2026</v>
      </c>
      <c r="K2468" s="18" t="s">
        <v>8071</v>
      </c>
      <c r="L2468" s="16">
        <v>9785006317383</v>
      </c>
      <c r="M2468" s="18" t="s">
        <v>8072</v>
      </c>
      <c r="N2468" s="16">
        <v>96</v>
      </c>
      <c r="O2468" s="19">
        <v>0.08</v>
      </c>
      <c r="P2468" s="16">
        <v>120</v>
      </c>
      <c r="Q2468" s="16">
        <v>190</v>
      </c>
      <c r="R2468" s="16">
        <v>20</v>
      </c>
      <c r="S2468" s="18" t="s">
        <v>90</v>
      </c>
      <c r="T2468" s="18" t="s">
        <v>183</v>
      </c>
      <c r="U2468" s="17">
        <v>1500</v>
      </c>
      <c r="V2468" s="18" t="s">
        <v>44</v>
      </c>
      <c r="W2468" s="18" t="s">
        <v>55</v>
      </c>
      <c r="X2468" s="16">
        <v>10</v>
      </c>
      <c r="Y2468" s="43" t="str">
        <f>HYPERLINK("","")</f>
      </c>
      <c r="Z2468" s="18" t="s">
        <v>744</v>
      </c>
      <c r="AS2468" s="1">
        <f>IF($A2468&lt;&gt;0,1,0)</f>
        <v>0</v>
      </c>
      <c r="AT2468" s="1">
        <f>$A2468*$B2468</f>
        <v>0</v>
      </c>
      <c r="AU2468" s="1">
        <f>$A2468*$O2468</f>
        <v>0</v>
      </c>
      <c r="AV2468" s="1">
        <f>IF($R2468=0,0,INT($A2468/$R2468))</f>
        <v>0</v>
      </c>
      <c r="AW2468" s="1">
        <f>$A2468-$AV2468*$R2468</f>
        <v>0</v>
      </c>
    </row>
    <row r="2469" ht="24.95" customHeight="1" outlineLevel="3" s="1" customFormat="1">
      <c r="A2469" s="15"/>
      <c r="B2469" s="16">
        <v>260</v>
      </c>
      <c r="C2469" s="16">
        <v>416</v>
      </c>
      <c r="D2469" s="16">
        <v>36584</v>
      </c>
      <c r="E2469" s="18"/>
      <c r="F2469" s="18" t="s">
        <v>7932</v>
      </c>
      <c r="G2469" s="18" t="s">
        <v>8073</v>
      </c>
      <c r="H2469" s="18" t="s">
        <v>49</v>
      </c>
      <c r="I2469" s="18" t="s">
        <v>87</v>
      </c>
      <c r="J2469" s="16">
        <v>2026</v>
      </c>
      <c r="K2469" s="18" t="s">
        <v>8074</v>
      </c>
      <c r="L2469" s="16">
        <v>9785006317536</v>
      </c>
      <c r="M2469" s="18" t="s">
        <v>8075</v>
      </c>
      <c r="N2469" s="16">
        <v>112</v>
      </c>
      <c r="O2469" s="19">
        <v>0.09</v>
      </c>
      <c r="P2469" s="16">
        <v>120</v>
      </c>
      <c r="Q2469" s="16">
        <v>190</v>
      </c>
      <c r="R2469" s="16">
        <v>20</v>
      </c>
      <c r="S2469" s="18" t="s">
        <v>90</v>
      </c>
      <c r="T2469" s="18" t="s">
        <v>183</v>
      </c>
      <c r="U2469" s="17">
        <v>1500</v>
      </c>
      <c r="V2469" s="18" t="s">
        <v>44</v>
      </c>
      <c r="W2469" s="18" t="s">
        <v>55</v>
      </c>
      <c r="X2469" s="16">
        <v>10</v>
      </c>
      <c r="Y2469" s="18" t="s">
        <v>8013</v>
      </c>
      <c r="Z2469" s="18" t="s">
        <v>744</v>
      </c>
      <c r="AS2469" s="1">
        <f>IF($A2469&lt;&gt;0,1,0)</f>
        <v>0</v>
      </c>
      <c r="AT2469" s="1">
        <f>$A2469*$B2469</f>
        <v>0</v>
      </c>
      <c r="AU2469" s="1">
        <f>$A2469*$O2469</f>
        <v>0</v>
      </c>
      <c r="AV2469" s="1">
        <f>IF($R2469=0,0,INT($A2469/$R2469))</f>
        <v>0</v>
      </c>
      <c r="AW2469" s="1">
        <f>$A2469-$AV2469*$R2469</f>
        <v>0</v>
      </c>
    </row>
    <row r="2470" ht="21.95" customHeight="1" outlineLevel="3" s="1" customFormat="1">
      <c r="A2470" s="15"/>
      <c r="B2470" s="16">
        <v>690</v>
      </c>
      <c r="C2470" s="17">
        <v>1035</v>
      </c>
      <c r="D2470" s="16">
        <v>34955</v>
      </c>
      <c r="E2470" s="18"/>
      <c r="F2470" s="18" t="s">
        <v>524</v>
      </c>
      <c r="G2470" s="18" t="s">
        <v>8076</v>
      </c>
      <c r="H2470" s="18" t="s">
        <v>49</v>
      </c>
      <c r="I2470" s="18" t="s">
        <v>87</v>
      </c>
      <c r="J2470" s="16">
        <v>2026</v>
      </c>
      <c r="K2470" s="18" t="s">
        <v>8077</v>
      </c>
      <c r="L2470" s="16">
        <v>9785006309593</v>
      </c>
      <c r="M2470" s="18" t="s">
        <v>8078</v>
      </c>
      <c r="N2470" s="16">
        <v>192</v>
      </c>
      <c r="O2470" s="19">
        <v>0.22</v>
      </c>
      <c r="P2470" s="16">
        <v>120</v>
      </c>
      <c r="Q2470" s="16">
        <v>140</v>
      </c>
      <c r="R2470" s="16">
        <v>20</v>
      </c>
      <c r="S2470" s="18" t="s">
        <v>90</v>
      </c>
      <c r="T2470" s="18" t="s">
        <v>183</v>
      </c>
      <c r="U2470" s="17">
        <v>5000</v>
      </c>
      <c r="V2470" s="18" t="s">
        <v>44</v>
      </c>
      <c r="W2470" s="18" t="s">
        <v>184</v>
      </c>
      <c r="X2470" s="16">
        <v>10</v>
      </c>
      <c r="Y2470" s="43" t="str">
        <f>HYPERLINK("","")</f>
      </c>
      <c r="Z2470" s="18"/>
      <c r="AS2470" s="1">
        <f>IF($A2470&lt;&gt;0,1,0)</f>
        <v>0</v>
      </c>
      <c r="AT2470" s="1">
        <f>$A2470*$B2470</f>
        <v>0</v>
      </c>
      <c r="AU2470" s="1">
        <f>$A2470*$O2470</f>
        <v>0</v>
      </c>
      <c r="AV2470" s="1">
        <f>IF($R2470=0,0,INT($A2470/$R2470))</f>
        <v>0</v>
      </c>
      <c r="AW2470" s="1">
        <f>$A2470-$AV2470*$R2470</f>
        <v>0</v>
      </c>
    </row>
    <row r="2471" ht="21.95" customHeight="1" outlineLevel="3" s="1" customFormat="1">
      <c r="A2471" s="15"/>
      <c r="B2471" s="16">
        <v>260</v>
      </c>
      <c r="C2471" s="16">
        <v>416</v>
      </c>
      <c r="D2471" s="16">
        <v>36579</v>
      </c>
      <c r="E2471" s="18"/>
      <c r="F2471" s="18" t="s">
        <v>7932</v>
      </c>
      <c r="G2471" s="18" t="s">
        <v>8079</v>
      </c>
      <c r="H2471" s="18" t="s">
        <v>49</v>
      </c>
      <c r="I2471" s="18" t="s">
        <v>87</v>
      </c>
      <c r="J2471" s="16">
        <v>2026</v>
      </c>
      <c r="K2471" s="18" t="s">
        <v>8080</v>
      </c>
      <c r="L2471" s="16">
        <v>9785006317482</v>
      </c>
      <c r="M2471" s="18" t="s">
        <v>8081</v>
      </c>
      <c r="N2471" s="16">
        <v>96</v>
      </c>
      <c r="O2471" s="19">
        <v>0.08</v>
      </c>
      <c r="P2471" s="16">
        <v>120</v>
      </c>
      <c r="Q2471" s="16">
        <v>190</v>
      </c>
      <c r="R2471" s="16">
        <v>20</v>
      </c>
      <c r="S2471" s="18" t="s">
        <v>90</v>
      </c>
      <c r="T2471" s="18" t="s">
        <v>183</v>
      </c>
      <c r="U2471" s="17">
        <v>1500</v>
      </c>
      <c r="V2471" s="18" t="s">
        <v>44</v>
      </c>
      <c r="W2471" s="18" t="s">
        <v>55</v>
      </c>
      <c r="X2471" s="16">
        <v>10</v>
      </c>
      <c r="Y2471" s="43" t="str">
        <f>HYPERLINK("","")</f>
      </c>
      <c r="Z2471" s="18" t="s">
        <v>744</v>
      </c>
      <c r="AS2471" s="1">
        <f>IF($A2471&lt;&gt;0,1,0)</f>
        <v>0</v>
      </c>
      <c r="AT2471" s="1">
        <f>$A2471*$B2471</f>
        <v>0</v>
      </c>
      <c r="AU2471" s="1">
        <f>$A2471*$O2471</f>
        <v>0</v>
      </c>
      <c r="AV2471" s="1">
        <f>IF($R2471=0,0,INT($A2471/$R2471))</f>
        <v>0</v>
      </c>
      <c r="AW2471" s="1">
        <f>$A2471-$AV2471*$R2471</f>
        <v>0</v>
      </c>
    </row>
    <row r="2472" ht="24.95" customHeight="1" outlineLevel="3" s="1" customFormat="1">
      <c r="A2472" s="15"/>
      <c r="B2472" s="16">
        <v>520</v>
      </c>
      <c r="C2472" s="16">
        <v>806</v>
      </c>
      <c r="D2472" s="16">
        <v>27249</v>
      </c>
      <c r="E2472" s="18"/>
      <c r="F2472" s="18" t="s">
        <v>8082</v>
      </c>
      <c r="G2472" s="18" t="s">
        <v>8083</v>
      </c>
      <c r="H2472" s="18" t="s">
        <v>49</v>
      </c>
      <c r="I2472" s="18" t="s">
        <v>87</v>
      </c>
      <c r="J2472" s="16">
        <v>2024</v>
      </c>
      <c r="K2472" s="18" t="s">
        <v>8084</v>
      </c>
      <c r="L2472" s="16">
        <v>9785961484366</v>
      </c>
      <c r="M2472" s="18" t="s">
        <v>8085</v>
      </c>
      <c r="N2472" s="16">
        <v>112</v>
      </c>
      <c r="O2472" s="19">
        <v>0.24</v>
      </c>
      <c r="P2472" s="16">
        <v>140</v>
      </c>
      <c r="Q2472" s="16">
        <v>210</v>
      </c>
      <c r="R2472" s="16">
        <v>22</v>
      </c>
      <c r="S2472" s="18" t="s">
        <v>90</v>
      </c>
      <c r="T2472" s="18" t="s">
        <v>183</v>
      </c>
      <c r="U2472" s="17">
        <v>2000</v>
      </c>
      <c r="V2472" s="18" t="s">
        <v>77</v>
      </c>
      <c r="W2472" s="18" t="s">
        <v>55</v>
      </c>
      <c r="X2472" s="16">
        <v>10</v>
      </c>
      <c r="Y2472" s="18" t="s">
        <v>8040</v>
      </c>
      <c r="Z2472" s="18"/>
      <c r="AS2472" s="1">
        <f>IF($A2472&lt;&gt;0,1,0)</f>
        <v>0</v>
      </c>
      <c r="AT2472" s="1">
        <f>$A2472*$B2472</f>
        <v>0</v>
      </c>
      <c r="AU2472" s="1">
        <f>$A2472*$O2472</f>
        <v>0</v>
      </c>
      <c r="AV2472" s="1">
        <f>IF($R2472=0,0,INT($A2472/$R2472))</f>
        <v>0</v>
      </c>
      <c r="AW2472" s="1">
        <f>$A2472-$AV2472*$R2472</f>
        <v>0</v>
      </c>
    </row>
    <row r="2473" ht="24.95" customHeight="1" outlineLevel="3" s="1" customFormat="1">
      <c r="A2473" s="15"/>
      <c r="B2473" s="16">
        <v>260</v>
      </c>
      <c r="C2473" s="16">
        <v>416</v>
      </c>
      <c r="D2473" s="16">
        <v>36585</v>
      </c>
      <c r="E2473" s="18"/>
      <c r="F2473" s="18" t="s">
        <v>7932</v>
      </c>
      <c r="G2473" s="18" t="s">
        <v>8086</v>
      </c>
      <c r="H2473" s="18" t="s">
        <v>49</v>
      </c>
      <c r="I2473" s="18" t="s">
        <v>87</v>
      </c>
      <c r="J2473" s="16">
        <v>2026</v>
      </c>
      <c r="K2473" s="18" t="s">
        <v>8087</v>
      </c>
      <c r="L2473" s="16">
        <v>9785006317543</v>
      </c>
      <c r="M2473" s="18" t="s">
        <v>8088</v>
      </c>
      <c r="N2473" s="16">
        <v>96</v>
      </c>
      <c r="O2473" s="19">
        <v>0.08</v>
      </c>
      <c r="P2473" s="16">
        <v>120</v>
      </c>
      <c r="Q2473" s="16">
        <v>190</v>
      </c>
      <c r="R2473" s="16">
        <v>20</v>
      </c>
      <c r="S2473" s="18" t="s">
        <v>90</v>
      </c>
      <c r="T2473" s="18" t="s">
        <v>183</v>
      </c>
      <c r="U2473" s="17">
        <v>1500</v>
      </c>
      <c r="V2473" s="18" t="s">
        <v>44</v>
      </c>
      <c r="W2473" s="18" t="s">
        <v>55</v>
      </c>
      <c r="X2473" s="16">
        <v>10</v>
      </c>
      <c r="Y2473" s="18" t="s">
        <v>8089</v>
      </c>
      <c r="Z2473" s="18" t="s">
        <v>744</v>
      </c>
      <c r="AS2473" s="1">
        <f>IF($A2473&lt;&gt;0,1,0)</f>
        <v>0</v>
      </c>
      <c r="AT2473" s="1">
        <f>$A2473*$B2473</f>
        <v>0</v>
      </c>
      <c r="AU2473" s="1">
        <f>$A2473*$O2473</f>
        <v>0</v>
      </c>
      <c r="AV2473" s="1">
        <f>IF($R2473=0,0,INT($A2473/$R2473))</f>
        <v>0</v>
      </c>
      <c r="AW2473" s="1">
        <f>$A2473-$AV2473*$R2473</f>
        <v>0</v>
      </c>
    </row>
    <row r="2474" ht="24.95" customHeight="1" outlineLevel="3" s="1" customFormat="1">
      <c r="A2474" s="15"/>
      <c r="B2474" s="16">
        <v>260</v>
      </c>
      <c r="C2474" s="16">
        <v>416</v>
      </c>
      <c r="D2474" s="16">
        <v>36581</v>
      </c>
      <c r="E2474" s="18"/>
      <c r="F2474" s="18" t="s">
        <v>7932</v>
      </c>
      <c r="G2474" s="18" t="s">
        <v>8090</v>
      </c>
      <c r="H2474" s="18" t="s">
        <v>49</v>
      </c>
      <c r="I2474" s="18" t="s">
        <v>87</v>
      </c>
      <c r="J2474" s="16">
        <v>2026</v>
      </c>
      <c r="K2474" s="18" t="s">
        <v>8091</v>
      </c>
      <c r="L2474" s="16">
        <v>9785006317505</v>
      </c>
      <c r="M2474" s="18" t="s">
        <v>8092</v>
      </c>
      <c r="N2474" s="16">
        <v>112</v>
      </c>
      <c r="O2474" s="19">
        <v>0.09</v>
      </c>
      <c r="P2474" s="16">
        <v>120</v>
      </c>
      <c r="Q2474" s="16">
        <v>190</v>
      </c>
      <c r="R2474" s="16">
        <v>20</v>
      </c>
      <c r="S2474" s="18" t="s">
        <v>90</v>
      </c>
      <c r="T2474" s="18" t="s">
        <v>183</v>
      </c>
      <c r="U2474" s="17">
        <v>1500</v>
      </c>
      <c r="V2474" s="18" t="s">
        <v>44</v>
      </c>
      <c r="W2474" s="18" t="s">
        <v>55</v>
      </c>
      <c r="X2474" s="16">
        <v>10</v>
      </c>
      <c r="Y2474" s="18" t="s">
        <v>528</v>
      </c>
      <c r="Z2474" s="18" t="s">
        <v>744</v>
      </c>
      <c r="AS2474" s="1">
        <f>IF($A2474&lt;&gt;0,1,0)</f>
        <v>0</v>
      </c>
      <c r="AT2474" s="1">
        <f>$A2474*$B2474</f>
        <v>0</v>
      </c>
      <c r="AU2474" s="1">
        <f>$A2474*$O2474</f>
        <v>0</v>
      </c>
      <c r="AV2474" s="1">
        <f>IF($R2474=0,0,INT($A2474/$R2474))</f>
        <v>0</v>
      </c>
      <c r="AW2474" s="1">
        <f>$A2474-$AV2474*$R2474</f>
        <v>0</v>
      </c>
    </row>
    <row r="2475" ht="24.95" customHeight="1" outlineLevel="3" s="1" customFormat="1">
      <c r="A2475" s="15"/>
      <c r="B2475" s="16">
        <v>590</v>
      </c>
      <c r="C2475" s="16">
        <v>885</v>
      </c>
      <c r="D2475" s="16">
        <v>29321</v>
      </c>
      <c r="E2475" s="18"/>
      <c r="F2475" s="18" t="s">
        <v>524</v>
      </c>
      <c r="G2475" s="18" t="s">
        <v>8093</v>
      </c>
      <c r="H2475" s="18" t="s">
        <v>49</v>
      </c>
      <c r="I2475" s="18" t="s">
        <v>87</v>
      </c>
      <c r="J2475" s="16">
        <v>2025</v>
      </c>
      <c r="K2475" s="18" t="s">
        <v>8094</v>
      </c>
      <c r="L2475" s="16">
        <v>9785961492262</v>
      </c>
      <c r="M2475" s="18" t="s">
        <v>8095</v>
      </c>
      <c r="N2475" s="16">
        <v>32</v>
      </c>
      <c r="O2475" s="19">
        <v>0.19</v>
      </c>
      <c r="P2475" s="16">
        <v>190</v>
      </c>
      <c r="Q2475" s="16">
        <v>180</v>
      </c>
      <c r="R2475" s="16">
        <v>20</v>
      </c>
      <c r="S2475" s="18" t="s">
        <v>52</v>
      </c>
      <c r="T2475" s="18" t="s">
        <v>183</v>
      </c>
      <c r="U2475" s="17">
        <v>2000</v>
      </c>
      <c r="V2475" s="18" t="s">
        <v>77</v>
      </c>
      <c r="W2475" s="18" t="s">
        <v>184</v>
      </c>
      <c r="X2475" s="16">
        <v>10</v>
      </c>
      <c r="Y2475" s="18" t="s">
        <v>7981</v>
      </c>
      <c r="Z2475" s="18"/>
      <c r="AS2475" s="1">
        <f>IF($A2475&lt;&gt;0,1,0)</f>
        <v>0</v>
      </c>
      <c r="AT2475" s="1">
        <f>$A2475*$B2475</f>
        <v>0</v>
      </c>
      <c r="AU2475" s="1">
        <f>$A2475*$O2475</f>
        <v>0</v>
      </c>
      <c r="AV2475" s="1">
        <f>IF($R2475=0,0,INT($A2475/$R2475))</f>
        <v>0</v>
      </c>
      <c r="AW2475" s="1">
        <f>$A2475-$AV2475*$R2475</f>
        <v>0</v>
      </c>
    </row>
    <row r="2476" ht="24.95" customHeight="1" outlineLevel="3" s="1" customFormat="1">
      <c r="A2476" s="15"/>
      <c r="B2476" s="16">
        <v>260</v>
      </c>
      <c r="C2476" s="16">
        <v>416</v>
      </c>
      <c r="D2476" s="16">
        <v>36578</v>
      </c>
      <c r="E2476" s="18"/>
      <c r="F2476" s="18" t="s">
        <v>7932</v>
      </c>
      <c r="G2476" s="18" t="s">
        <v>8096</v>
      </c>
      <c r="H2476" s="18" t="s">
        <v>49</v>
      </c>
      <c r="I2476" s="18" t="s">
        <v>87</v>
      </c>
      <c r="J2476" s="16">
        <v>2026</v>
      </c>
      <c r="K2476" s="18" t="s">
        <v>8097</v>
      </c>
      <c r="L2476" s="16">
        <v>9785006317475</v>
      </c>
      <c r="M2476" s="18" t="s">
        <v>8098</v>
      </c>
      <c r="N2476" s="16">
        <v>112</v>
      </c>
      <c r="O2476" s="19">
        <v>0.09</v>
      </c>
      <c r="P2476" s="16">
        <v>120</v>
      </c>
      <c r="Q2476" s="16">
        <v>190</v>
      </c>
      <c r="R2476" s="16">
        <v>20</v>
      </c>
      <c r="S2476" s="18" t="s">
        <v>90</v>
      </c>
      <c r="T2476" s="18" t="s">
        <v>183</v>
      </c>
      <c r="U2476" s="17">
        <v>1500</v>
      </c>
      <c r="V2476" s="18" t="s">
        <v>44</v>
      </c>
      <c r="W2476" s="18" t="s">
        <v>55</v>
      </c>
      <c r="X2476" s="16">
        <v>10</v>
      </c>
      <c r="Y2476" s="18" t="s">
        <v>8099</v>
      </c>
      <c r="Z2476" s="18" t="s">
        <v>744</v>
      </c>
      <c r="AS2476" s="1">
        <f>IF($A2476&lt;&gt;0,1,0)</f>
        <v>0</v>
      </c>
      <c r="AT2476" s="1">
        <f>$A2476*$B2476</f>
        <v>0</v>
      </c>
      <c r="AU2476" s="1">
        <f>$A2476*$O2476</f>
        <v>0</v>
      </c>
      <c r="AV2476" s="1">
        <f>IF($R2476=0,0,INT($A2476/$R2476))</f>
        <v>0</v>
      </c>
      <c r="AW2476" s="1">
        <f>$A2476-$AV2476*$R2476</f>
        <v>0</v>
      </c>
    </row>
    <row r="2477" ht="24.95" customHeight="1" outlineLevel="3" s="1" customFormat="1">
      <c r="A2477" s="15"/>
      <c r="B2477" s="16">
        <v>590</v>
      </c>
      <c r="C2477" s="16">
        <v>885</v>
      </c>
      <c r="D2477" s="16">
        <v>29055</v>
      </c>
      <c r="E2477" s="18"/>
      <c r="F2477" s="18" t="s">
        <v>524</v>
      </c>
      <c r="G2477" s="18" t="s">
        <v>8100</v>
      </c>
      <c r="H2477" s="18" t="s">
        <v>49</v>
      </c>
      <c r="I2477" s="18" t="s">
        <v>87</v>
      </c>
      <c r="J2477" s="16">
        <v>2025</v>
      </c>
      <c r="K2477" s="18" t="s">
        <v>8101</v>
      </c>
      <c r="L2477" s="16">
        <v>9785961491241</v>
      </c>
      <c r="M2477" s="18" t="s">
        <v>8102</v>
      </c>
      <c r="N2477" s="16">
        <v>32</v>
      </c>
      <c r="O2477" s="19">
        <v>0.15</v>
      </c>
      <c r="P2477" s="16">
        <v>180</v>
      </c>
      <c r="Q2477" s="16">
        <v>190</v>
      </c>
      <c r="R2477" s="16">
        <v>20</v>
      </c>
      <c r="S2477" s="18" t="s">
        <v>52</v>
      </c>
      <c r="T2477" s="18" t="s">
        <v>183</v>
      </c>
      <c r="U2477" s="17">
        <v>2000</v>
      </c>
      <c r="V2477" s="18" t="s">
        <v>77</v>
      </c>
      <c r="W2477" s="18" t="s">
        <v>184</v>
      </c>
      <c r="X2477" s="16">
        <v>10</v>
      </c>
      <c r="Y2477" s="18" t="s">
        <v>7967</v>
      </c>
      <c r="Z2477" s="18"/>
      <c r="AS2477" s="1">
        <f>IF($A2477&lt;&gt;0,1,0)</f>
        <v>0</v>
      </c>
      <c r="AT2477" s="1">
        <f>$A2477*$B2477</f>
        <v>0</v>
      </c>
      <c r="AU2477" s="1">
        <f>$A2477*$O2477</f>
        <v>0</v>
      </c>
      <c r="AV2477" s="1">
        <f>IF($R2477=0,0,INT($A2477/$R2477))</f>
        <v>0</v>
      </c>
      <c r="AW2477" s="1">
        <f>$A2477-$AV2477*$R2477</f>
        <v>0</v>
      </c>
    </row>
    <row r="2478" ht="24.95" customHeight="1" outlineLevel="3" s="1" customFormat="1">
      <c r="A2478" s="15"/>
      <c r="B2478" s="16">
        <v>690</v>
      </c>
      <c r="C2478" s="17">
        <v>1035</v>
      </c>
      <c r="D2478" s="16">
        <v>29700</v>
      </c>
      <c r="E2478" s="18"/>
      <c r="F2478" s="18" t="s">
        <v>524</v>
      </c>
      <c r="G2478" s="18" t="s">
        <v>8103</v>
      </c>
      <c r="H2478" s="18" t="s">
        <v>49</v>
      </c>
      <c r="I2478" s="18" t="s">
        <v>87</v>
      </c>
      <c r="J2478" s="16">
        <v>2026</v>
      </c>
      <c r="K2478" s="18" t="s">
        <v>8104</v>
      </c>
      <c r="L2478" s="16">
        <v>9785961493504</v>
      </c>
      <c r="M2478" s="18" t="s">
        <v>8105</v>
      </c>
      <c r="N2478" s="16">
        <v>192</v>
      </c>
      <c r="O2478" s="19">
        <v>0.22</v>
      </c>
      <c r="P2478" s="16">
        <v>120</v>
      </c>
      <c r="Q2478" s="16">
        <v>140</v>
      </c>
      <c r="R2478" s="16">
        <v>20</v>
      </c>
      <c r="S2478" s="18" t="s">
        <v>90</v>
      </c>
      <c r="T2478" s="18" t="s">
        <v>183</v>
      </c>
      <c r="U2478" s="17">
        <v>3000</v>
      </c>
      <c r="V2478" s="18" t="s">
        <v>44</v>
      </c>
      <c r="W2478" s="18" t="s">
        <v>184</v>
      </c>
      <c r="X2478" s="16">
        <v>10</v>
      </c>
      <c r="Y2478" s="18" t="s">
        <v>540</v>
      </c>
      <c r="Z2478" s="18" t="s">
        <v>874</v>
      </c>
      <c r="AS2478" s="1">
        <f>IF($A2478&lt;&gt;0,1,0)</f>
        <v>0</v>
      </c>
      <c r="AT2478" s="1">
        <f>$A2478*$B2478</f>
        <v>0</v>
      </c>
      <c r="AU2478" s="1">
        <f>$A2478*$O2478</f>
        <v>0</v>
      </c>
      <c r="AV2478" s="1">
        <f>IF($R2478=0,0,INT($A2478/$R2478))</f>
        <v>0</v>
      </c>
      <c r="AW2478" s="1">
        <f>$A2478-$AV2478*$R2478</f>
        <v>0</v>
      </c>
    </row>
    <row r="2479" ht="24.95" customHeight="1" outlineLevel="3" s="1" customFormat="1">
      <c r="A2479" s="25"/>
      <c r="B2479" s="26">
        <v>340</v>
      </c>
      <c r="C2479" s="26">
        <v>544</v>
      </c>
      <c r="D2479" s="26">
        <v>31426</v>
      </c>
      <c r="E2479" s="27"/>
      <c r="F2479" s="27" t="s">
        <v>57</v>
      </c>
      <c r="G2479" s="27" t="s">
        <v>8106</v>
      </c>
      <c r="H2479" s="27" t="s">
        <v>49</v>
      </c>
      <c r="I2479" s="27"/>
      <c r="J2479" s="26">
        <v>2025</v>
      </c>
      <c r="K2479" s="27" t="s">
        <v>8107</v>
      </c>
      <c r="L2479" s="26">
        <v>9785961498677</v>
      </c>
      <c r="M2479" s="27" t="s">
        <v>8108</v>
      </c>
      <c r="N2479" s="26">
        <v>1</v>
      </c>
      <c r="O2479" s="28">
        <v>0.12</v>
      </c>
      <c r="P2479" s="26">
        <v>190</v>
      </c>
      <c r="Q2479" s="26">
        <v>280</v>
      </c>
      <c r="R2479" s="26">
        <v>60</v>
      </c>
      <c r="S2479" s="27" t="s">
        <v>83</v>
      </c>
      <c r="T2479" s="27" t="s">
        <v>183</v>
      </c>
      <c r="U2479" s="29">
        <v>5000</v>
      </c>
      <c r="V2479" s="27" t="s">
        <v>44</v>
      </c>
      <c r="W2479" s="27" t="s">
        <v>184</v>
      </c>
      <c r="X2479" s="26">
        <v>10</v>
      </c>
      <c r="Y2479" s="27" t="s">
        <v>1008</v>
      </c>
      <c r="Z2479" s="27"/>
      <c r="AS2479" s="1">
        <f>IF($A2479&lt;&gt;0,1,0)</f>
        <v>0</v>
      </c>
      <c r="AT2479" s="1">
        <f>$A2479*$B2479</f>
        <v>0</v>
      </c>
      <c r="AU2479" s="1">
        <f>$A2479*$O2479</f>
        <v>0</v>
      </c>
      <c r="AV2479" s="1">
        <f>IF($R2479=0,0,INT($A2479/$R2479))</f>
        <v>0</v>
      </c>
      <c r="AW2479" s="1">
        <f>$A2479-$AV2479*$R2479</f>
        <v>0</v>
      </c>
    </row>
    <row r="2480" ht="24.95" customHeight="1" outlineLevel="3" s="1" customFormat="1">
      <c r="A2480" s="15"/>
      <c r="B2480" s="16">
        <v>540</v>
      </c>
      <c r="C2480" s="16">
        <v>837</v>
      </c>
      <c r="D2480" s="16">
        <v>30179</v>
      </c>
      <c r="E2480" s="18"/>
      <c r="F2480" s="18" t="s">
        <v>524</v>
      </c>
      <c r="G2480" s="18" t="s">
        <v>8109</v>
      </c>
      <c r="H2480" s="18" t="s">
        <v>49</v>
      </c>
      <c r="I2480" s="18" t="s">
        <v>87</v>
      </c>
      <c r="J2480" s="16">
        <v>2026</v>
      </c>
      <c r="K2480" s="18" t="s">
        <v>8110</v>
      </c>
      <c r="L2480" s="16">
        <v>9785961494990</v>
      </c>
      <c r="M2480" s="18" t="s">
        <v>8111</v>
      </c>
      <c r="N2480" s="16">
        <v>32</v>
      </c>
      <c r="O2480" s="19">
        <v>0.17</v>
      </c>
      <c r="P2480" s="16">
        <v>180</v>
      </c>
      <c r="Q2480" s="16">
        <v>180</v>
      </c>
      <c r="R2480" s="16">
        <v>20</v>
      </c>
      <c r="S2480" s="18" t="s">
        <v>52</v>
      </c>
      <c r="T2480" s="18" t="s">
        <v>183</v>
      </c>
      <c r="U2480" s="17">
        <v>1500</v>
      </c>
      <c r="V2480" s="18" t="s">
        <v>77</v>
      </c>
      <c r="W2480" s="18" t="s">
        <v>184</v>
      </c>
      <c r="X2480" s="16">
        <v>10</v>
      </c>
      <c r="Y2480" s="18" t="s">
        <v>528</v>
      </c>
      <c r="Z2480" s="18"/>
      <c r="AS2480" s="1">
        <f>IF($A2480&lt;&gt;0,1,0)</f>
        <v>0</v>
      </c>
      <c r="AT2480" s="1">
        <f>$A2480*$B2480</f>
        <v>0</v>
      </c>
      <c r="AU2480" s="1">
        <f>$A2480*$O2480</f>
        <v>0</v>
      </c>
      <c r="AV2480" s="1">
        <f>IF($R2480=0,0,INT($A2480/$R2480))</f>
        <v>0</v>
      </c>
      <c r="AW2480" s="1">
        <f>$A2480-$AV2480*$R2480</f>
        <v>0</v>
      </c>
    </row>
    <row r="2481" ht="24.95" customHeight="1" outlineLevel="3" s="1" customFormat="1">
      <c r="A2481" s="15"/>
      <c r="B2481" s="16">
        <v>590</v>
      </c>
      <c r="C2481" s="16">
        <v>885</v>
      </c>
      <c r="D2481" s="16">
        <v>28524</v>
      </c>
      <c r="E2481" s="18"/>
      <c r="F2481" s="18" t="s">
        <v>524</v>
      </c>
      <c r="G2481" s="18" t="s">
        <v>8112</v>
      </c>
      <c r="H2481" s="18" t="s">
        <v>49</v>
      </c>
      <c r="I2481" s="18" t="s">
        <v>87</v>
      </c>
      <c r="J2481" s="16">
        <v>2026</v>
      </c>
      <c r="K2481" s="18" t="s">
        <v>8113</v>
      </c>
      <c r="L2481" s="16">
        <v>9785961489231</v>
      </c>
      <c r="M2481" s="18" t="s">
        <v>8114</v>
      </c>
      <c r="N2481" s="16">
        <v>32</v>
      </c>
      <c r="O2481" s="19">
        <v>0.17</v>
      </c>
      <c r="P2481" s="16">
        <v>190</v>
      </c>
      <c r="Q2481" s="16">
        <v>180</v>
      </c>
      <c r="R2481" s="16">
        <v>32</v>
      </c>
      <c r="S2481" s="18" t="s">
        <v>52</v>
      </c>
      <c r="T2481" s="18" t="s">
        <v>183</v>
      </c>
      <c r="U2481" s="17">
        <v>10000</v>
      </c>
      <c r="V2481" s="18" t="s">
        <v>77</v>
      </c>
      <c r="W2481" s="18" t="s">
        <v>184</v>
      </c>
      <c r="X2481" s="16">
        <v>10</v>
      </c>
      <c r="Y2481" s="18" t="s">
        <v>8013</v>
      </c>
      <c r="Z2481" s="18"/>
      <c r="AS2481" s="1">
        <f>IF($A2481&lt;&gt;0,1,0)</f>
        <v>0</v>
      </c>
      <c r="AT2481" s="1">
        <f>$A2481*$B2481</f>
        <v>0</v>
      </c>
      <c r="AU2481" s="1">
        <f>$A2481*$O2481</f>
        <v>0</v>
      </c>
      <c r="AV2481" s="1">
        <f>IF($R2481=0,0,INT($A2481/$R2481))</f>
        <v>0</v>
      </c>
      <c r="AW2481" s="1">
        <f>$A2481-$AV2481*$R2481</f>
        <v>0</v>
      </c>
    </row>
    <row r="2482" ht="24.95" customHeight="1" outlineLevel="3" s="1" customFormat="1">
      <c r="A2482" s="15"/>
      <c r="B2482" s="16">
        <v>440</v>
      </c>
      <c r="C2482" s="16">
        <v>682</v>
      </c>
      <c r="D2482" s="16">
        <v>30988</v>
      </c>
      <c r="E2482" s="18"/>
      <c r="F2482" s="18" t="s">
        <v>524</v>
      </c>
      <c r="G2482" s="18" t="s">
        <v>8115</v>
      </c>
      <c r="H2482" s="18" t="s">
        <v>49</v>
      </c>
      <c r="I2482" s="18" t="s">
        <v>87</v>
      </c>
      <c r="J2482" s="16">
        <v>2024</v>
      </c>
      <c r="K2482" s="18" t="s">
        <v>8116</v>
      </c>
      <c r="L2482" s="16">
        <v>9785961497120</v>
      </c>
      <c r="M2482" s="18" t="s">
        <v>8117</v>
      </c>
      <c r="N2482" s="16">
        <v>30</v>
      </c>
      <c r="O2482" s="19">
        <v>0.18</v>
      </c>
      <c r="P2482" s="16">
        <v>190</v>
      </c>
      <c r="Q2482" s="16">
        <v>180</v>
      </c>
      <c r="R2482" s="16">
        <v>20</v>
      </c>
      <c r="S2482" s="18" t="s">
        <v>52</v>
      </c>
      <c r="T2482" s="18" t="s">
        <v>183</v>
      </c>
      <c r="U2482" s="17">
        <v>2000</v>
      </c>
      <c r="V2482" s="18" t="s">
        <v>77</v>
      </c>
      <c r="W2482" s="18" t="s">
        <v>184</v>
      </c>
      <c r="X2482" s="16">
        <v>10</v>
      </c>
      <c r="Y2482" s="18" t="s">
        <v>7918</v>
      </c>
      <c r="Z2482" s="18"/>
      <c r="AS2482" s="1">
        <f>IF($A2482&lt;&gt;0,1,0)</f>
        <v>0</v>
      </c>
      <c r="AT2482" s="1">
        <f>$A2482*$B2482</f>
        <v>0</v>
      </c>
      <c r="AU2482" s="1">
        <f>$A2482*$O2482</f>
        <v>0</v>
      </c>
      <c r="AV2482" s="1">
        <f>IF($R2482=0,0,INT($A2482/$R2482))</f>
        <v>0</v>
      </c>
      <c r="AW2482" s="1">
        <f>$A2482-$AV2482*$R2482</f>
        <v>0</v>
      </c>
    </row>
    <row r="2483" ht="24.95" customHeight="1" outlineLevel="3" s="1" customFormat="1">
      <c r="A2483" s="15"/>
      <c r="B2483" s="16">
        <v>590</v>
      </c>
      <c r="C2483" s="16">
        <v>885</v>
      </c>
      <c r="D2483" s="16">
        <v>27612</v>
      </c>
      <c r="E2483" s="18"/>
      <c r="F2483" s="18" t="s">
        <v>524</v>
      </c>
      <c r="G2483" s="18" t="s">
        <v>8118</v>
      </c>
      <c r="H2483" s="18" t="s">
        <v>49</v>
      </c>
      <c r="I2483" s="18" t="s">
        <v>87</v>
      </c>
      <c r="J2483" s="16">
        <v>2026</v>
      </c>
      <c r="K2483" s="18" t="s">
        <v>8119</v>
      </c>
      <c r="L2483" s="16">
        <v>9785961487381</v>
      </c>
      <c r="M2483" s="18" t="s">
        <v>8120</v>
      </c>
      <c r="N2483" s="16">
        <v>32</v>
      </c>
      <c r="O2483" s="19">
        <v>0.15</v>
      </c>
      <c r="P2483" s="16">
        <v>180</v>
      </c>
      <c r="Q2483" s="16">
        <v>190</v>
      </c>
      <c r="R2483" s="16">
        <v>20</v>
      </c>
      <c r="S2483" s="18" t="s">
        <v>52</v>
      </c>
      <c r="T2483" s="18" t="s">
        <v>183</v>
      </c>
      <c r="U2483" s="17">
        <v>1500</v>
      </c>
      <c r="V2483" s="18" t="s">
        <v>77</v>
      </c>
      <c r="W2483" s="18" t="s">
        <v>184</v>
      </c>
      <c r="X2483" s="16">
        <v>10</v>
      </c>
      <c r="Y2483" s="18" t="s">
        <v>8013</v>
      </c>
      <c r="Z2483" s="18"/>
      <c r="AS2483" s="1">
        <f>IF($A2483&lt;&gt;0,1,0)</f>
        <v>0</v>
      </c>
      <c r="AT2483" s="1">
        <f>$A2483*$B2483</f>
        <v>0</v>
      </c>
      <c r="AU2483" s="1">
        <f>$A2483*$O2483</f>
        <v>0</v>
      </c>
      <c r="AV2483" s="1">
        <f>IF($R2483=0,0,INT($A2483/$R2483))</f>
        <v>0</v>
      </c>
      <c r="AW2483" s="1">
        <f>$A2483-$AV2483*$R2483</f>
        <v>0</v>
      </c>
    </row>
    <row r="2484" ht="24.95" customHeight="1" outlineLevel="3" s="1" customFormat="1">
      <c r="A2484" s="15"/>
      <c r="B2484" s="16">
        <v>590</v>
      </c>
      <c r="C2484" s="16">
        <v>885</v>
      </c>
      <c r="D2484" s="16">
        <v>28859</v>
      </c>
      <c r="E2484" s="18"/>
      <c r="F2484" s="18" t="s">
        <v>524</v>
      </c>
      <c r="G2484" s="18" t="s">
        <v>8121</v>
      </c>
      <c r="H2484" s="18" t="s">
        <v>49</v>
      </c>
      <c r="I2484" s="18" t="s">
        <v>87</v>
      </c>
      <c r="J2484" s="16">
        <v>2025</v>
      </c>
      <c r="K2484" s="18" t="s">
        <v>8122</v>
      </c>
      <c r="L2484" s="16">
        <v>9785961490336</v>
      </c>
      <c r="M2484" s="18" t="s">
        <v>8123</v>
      </c>
      <c r="N2484" s="16">
        <v>32</v>
      </c>
      <c r="O2484" s="19">
        <v>0.17</v>
      </c>
      <c r="P2484" s="16">
        <v>180</v>
      </c>
      <c r="Q2484" s="16">
        <v>190</v>
      </c>
      <c r="R2484" s="16">
        <v>25</v>
      </c>
      <c r="S2484" s="18" t="s">
        <v>52</v>
      </c>
      <c r="T2484" s="18" t="s">
        <v>183</v>
      </c>
      <c r="U2484" s="17">
        <v>2000</v>
      </c>
      <c r="V2484" s="18" t="s">
        <v>77</v>
      </c>
      <c r="W2484" s="18" t="s">
        <v>184</v>
      </c>
      <c r="X2484" s="16">
        <v>10</v>
      </c>
      <c r="Y2484" s="18" t="s">
        <v>8124</v>
      </c>
      <c r="Z2484" s="18"/>
      <c r="AS2484" s="1">
        <f>IF($A2484&lt;&gt;0,1,0)</f>
        <v>0</v>
      </c>
      <c r="AT2484" s="1">
        <f>$A2484*$B2484</f>
        <v>0</v>
      </c>
      <c r="AU2484" s="1">
        <f>$A2484*$O2484</f>
        <v>0</v>
      </c>
      <c r="AV2484" s="1">
        <f>IF($R2484=0,0,INT($A2484/$R2484))</f>
        <v>0</v>
      </c>
      <c r="AW2484" s="1">
        <f>$A2484-$AV2484*$R2484</f>
        <v>0</v>
      </c>
    </row>
    <row r="2485" ht="24.95" customHeight="1" outlineLevel="3" s="1" customFormat="1">
      <c r="A2485" s="15"/>
      <c r="B2485" s="16">
        <v>490</v>
      </c>
      <c r="C2485" s="16">
        <v>760</v>
      </c>
      <c r="D2485" s="16">
        <v>33412</v>
      </c>
      <c r="E2485" s="18"/>
      <c r="F2485" s="18" t="s">
        <v>524</v>
      </c>
      <c r="G2485" s="18" t="s">
        <v>8125</v>
      </c>
      <c r="H2485" s="18" t="s">
        <v>49</v>
      </c>
      <c r="I2485" s="18" t="s">
        <v>87</v>
      </c>
      <c r="J2485" s="16">
        <v>2025</v>
      </c>
      <c r="K2485" s="18" t="s">
        <v>8126</v>
      </c>
      <c r="L2485" s="16">
        <v>9785006304642</v>
      </c>
      <c r="M2485" s="18" t="s">
        <v>8127</v>
      </c>
      <c r="N2485" s="16">
        <v>32</v>
      </c>
      <c r="O2485" s="19">
        <v>0.17</v>
      </c>
      <c r="P2485" s="16">
        <v>190</v>
      </c>
      <c r="Q2485" s="16">
        <v>180</v>
      </c>
      <c r="R2485" s="16">
        <v>20</v>
      </c>
      <c r="S2485" s="18" t="s">
        <v>52</v>
      </c>
      <c r="T2485" s="18" t="s">
        <v>183</v>
      </c>
      <c r="U2485" s="17">
        <v>1500</v>
      </c>
      <c r="V2485" s="18" t="s">
        <v>77</v>
      </c>
      <c r="W2485" s="18" t="s">
        <v>184</v>
      </c>
      <c r="X2485" s="16">
        <v>10</v>
      </c>
      <c r="Y2485" s="18" t="s">
        <v>8013</v>
      </c>
      <c r="Z2485" s="18"/>
      <c r="AS2485" s="1">
        <f>IF($A2485&lt;&gt;0,1,0)</f>
        <v>0</v>
      </c>
      <c r="AT2485" s="1">
        <f>$A2485*$B2485</f>
        <v>0</v>
      </c>
      <c r="AU2485" s="1">
        <f>$A2485*$O2485</f>
        <v>0</v>
      </c>
      <c r="AV2485" s="1">
        <f>IF($R2485=0,0,INT($A2485/$R2485))</f>
        <v>0</v>
      </c>
      <c r="AW2485" s="1">
        <f>$A2485-$AV2485*$R2485</f>
        <v>0</v>
      </c>
    </row>
    <row r="2486" ht="24.95" customHeight="1" outlineLevel="3" s="1" customFormat="1">
      <c r="A2486" s="25"/>
      <c r="B2486" s="26">
        <v>590</v>
      </c>
      <c r="C2486" s="26">
        <v>885</v>
      </c>
      <c r="D2486" s="26">
        <v>30139</v>
      </c>
      <c r="E2486" s="27"/>
      <c r="F2486" s="27" t="s">
        <v>524</v>
      </c>
      <c r="G2486" s="27" t="s">
        <v>8128</v>
      </c>
      <c r="H2486" s="27" t="s">
        <v>49</v>
      </c>
      <c r="I2486" s="27" t="s">
        <v>87</v>
      </c>
      <c r="J2486" s="26">
        <v>2024</v>
      </c>
      <c r="K2486" s="27" t="s">
        <v>8129</v>
      </c>
      <c r="L2486" s="26">
        <v>9785961494853</v>
      </c>
      <c r="M2486" s="27" t="s">
        <v>8130</v>
      </c>
      <c r="N2486" s="26">
        <v>32</v>
      </c>
      <c r="O2486" s="28">
        <v>0.19</v>
      </c>
      <c r="P2486" s="26">
        <v>180</v>
      </c>
      <c r="Q2486" s="26">
        <v>180</v>
      </c>
      <c r="R2486" s="26">
        <v>20</v>
      </c>
      <c r="S2486" s="27" t="s">
        <v>52</v>
      </c>
      <c r="T2486" s="27" t="s">
        <v>183</v>
      </c>
      <c r="U2486" s="29">
        <v>3000</v>
      </c>
      <c r="V2486" s="27" t="s">
        <v>77</v>
      </c>
      <c r="W2486" s="27" t="s">
        <v>184</v>
      </c>
      <c r="X2486" s="26">
        <v>10</v>
      </c>
      <c r="Y2486" s="27" t="s">
        <v>7955</v>
      </c>
      <c r="Z2486" s="27"/>
      <c r="AS2486" s="1">
        <f>IF($A2486&lt;&gt;0,1,0)</f>
        <v>0</v>
      </c>
      <c r="AT2486" s="1">
        <f>$A2486*$B2486</f>
        <v>0</v>
      </c>
      <c r="AU2486" s="1">
        <f>$A2486*$O2486</f>
        <v>0</v>
      </c>
      <c r="AV2486" s="1">
        <f>IF($R2486=0,0,INT($A2486/$R2486))</f>
        <v>0</v>
      </c>
      <c r="AW2486" s="1">
        <f>$A2486-$AV2486*$R2486</f>
        <v>0</v>
      </c>
    </row>
    <row r="2487" ht="24.95" customHeight="1" outlineLevel="3" s="1" customFormat="1">
      <c r="A2487" s="15"/>
      <c r="B2487" s="16">
        <v>990</v>
      </c>
      <c r="C2487" s="17">
        <v>1386</v>
      </c>
      <c r="D2487" s="16">
        <v>18076</v>
      </c>
      <c r="E2487" s="18"/>
      <c r="F2487" s="18" t="s">
        <v>524</v>
      </c>
      <c r="G2487" s="18" t="s">
        <v>8131</v>
      </c>
      <c r="H2487" s="18" t="s">
        <v>49</v>
      </c>
      <c r="I2487" s="18" t="s">
        <v>87</v>
      </c>
      <c r="J2487" s="16">
        <v>2025</v>
      </c>
      <c r="K2487" s="18" t="s">
        <v>8132</v>
      </c>
      <c r="L2487" s="16">
        <v>9785961437003</v>
      </c>
      <c r="M2487" s="18" t="s">
        <v>8133</v>
      </c>
      <c r="N2487" s="16">
        <v>14</v>
      </c>
      <c r="O2487" s="19">
        <v>0.51</v>
      </c>
      <c r="P2487" s="16">
        <v>250</v>
      </c>
      <c r="Q2487" s="16">
        <v>280</v>
      </c>
      <c r="R2487" s="16">
        <v>1</v>
      </c>
      <c r="S2487" s="18" t="s">
        <v>328</v>
      </c>
      <c r="T2487" s="18" t="s">
        <v>183</v>
      </c>
      <c r="U2487" s="17">
        <v>3000</v>
      </c>
      <c r="V2487" s="18" t="s">
        <v>77</v>
      </c>
      <c r="W2487" s="18" t="s">
        <v>184</v>
      </c>
      <c r="X2487" s="16">
        <v>10</v>
      </c>
      <c r="Y2487" s="18" t="s">
        <v>8013</v>
      </c>
      <c r="Z2487" s="18"/>
      <c r="AS2487" s="1">
        <f>IF($A2487&lt;&gt;0,1,0)</f>
        <v>0</v>
      </c>
      <c r="AT2487" s="1">
        <f>$A2487*$B2487</f>
        <v>0</v>
      </c>
      <c r="AU2487" s="1">
        <f>$A2487*$O2487</f>
        <v>0</v>
      </c>
      <c r="AV2487" s="1">
        <f>IF($R2487=0,0,INT($A2487/$R2487))</f>
        <v>0</v>
      </c>
      <c r="AW2487" s="1">
        <f>$A2487-$AV2487*$R2487</f>
        <v>0</v>
      </c>
    </row>
    <row r="2488" ht="24.95" customHeight="1" outlineLevel="3" s="1" customFormat="1">
      <c r="A2488" s="15"/>
      <c r="B2488" s="16">
        <v>540</v>
      </c>
      <c r="C2488" s="16">
        <v>837</v>
      </c>
      <c r="D2488" s="16">
        <v>34910</v>
      </c>
      <c r="E2488" s="18" t="s">
        <v>675</v>
      </c>
      <c r="F2488" s="18" t="s">
        <v>179</v>
      </c>
      <c r="G2488" s="18" t="s">
        <v>676</v>
      </c>
      <c r="H2488" s="18" t="s">
        <v>49</v>
      </c>
      <c r="I2488" s="18" t="s">
        <v>87</v>
      </c>
      <c r="J2488" s="16">
        <v>2026</v>
      </c>
      <c r="K2488" s="18" t="s">
        <v>677</v>
      </c>
      <c r="L2488" s="16">
        <v>9785002830497</v>
      </c>
      <c r="M2488" s="18" t="s">
        <v>678</v>
      </c>
      <c r="N2488" s="16">
        <v>32</v>
      </c>
      <c r="O2488" s="19">
        <v>0.18</v>
      </c>
      <c r="P2488" s="16">
        <v>180</v>
      </c>
      <c r="Q2488" s="16">
        <v>190</v>
      </c>
      <c r="R2488" s="16">
        <v>20</v>
      </c>
      <c r="S2488" s="18" t="s">
        <v>52</v>
      </c>
      <c r="T2488" s="18" t="s">
        <v>183</v>
      </c>
      <c r="U2488" s="17">
        <v>3000</v>
      </c>
      <c r="V2488" s="18" t="s">
        <v>77</v>
      </c>
      <c r="W2488" s="18" t="s">
        <v>184</v>
      </c>
      <c r="X2488" s="16">
        <v>10</v>
      </c>
      <c r="Y2488" s="43" t="str">
        <f>HYPERLINK("","")</f>
      </c>
      <c r="Z2488" s="18" t="s">
        <v>185</v>
      </c>
      <c r="AS2488" s="1">
        <f>IF($A2488&lt;&gt;0,1,0)</f>
        <v>0</v>
      </c>
      <c r="AT2488" s="1">
        <f>$A2488*$B2488</f>
        <v>0</v>
      </c>
      <c r="AU2488" s="1">
        <f>$A2488*$O2488</f>
        <v>0</v>
      </c>
      <c r="AV2488" s="1">
        <f>IF($R2488=0,0,INT($A2488/$R2488))</f>
        <v>0</v>
      </c>
      <c r="AW2488" s="1">
        <f>$A2488-$AV2488*$R2488</f>
        <v>0</v>
      </c>
    </row>
    <row r="2489" ht="24.95" customHeight="1" outlineLevel="3" s="1" customFormat="1">
      <c r="A2489" s="25"/>
      <c r="B2489" s="26">
        <v>440</v>
      </c>
      <c r="C2489" s="26">
        <v>682</v>
      </c>
      <c r="D2489" s="26">
        <v>32412</v>
      </c>
      <c r="E2489" s="27"/>
      <c r="F2489" s="27" t="s">
        <v>524</v>
      </c>
      <c r="G2489" s="27" t="s">
        <v>8134</v>
      </c>
      <c r="H2489" s="27" t="s">
        <v>49</v>
      </c>
      <c r="I2489" s="27" t="s">
        <v>87</v>
      </c>
      <c r="J2489" s="26">
        <v>2025</v>
      </c>
      <c r="K2489" s="27" t="s">
        <v>8135</v>
      </c>
      <c r="L2489" s="26">
        <v>9785006302174</v>
      </c>
      <c r="M2489" s="27" t="s">
        <v>8136</v>
      </c>
      <c r="N2489" s="26">
        <v>30</v>
      </c>
      <c r="O2489" s="28">
        <v>0.2</v>
      </c>
      <c r="P2489" s="26">
        <v>190</v>
      </c>
      <c r="Q2489" s="26">
        <v>180</v>
      </c>
      <c r="R2489" s="26">
        <v>18</v>
      </c>
      <c r="S2489" s="27" t="s">
        <v>52</v>
      </c>
      <c r="T2489" s="27" t="s">
        <v>183</v>
      </c>
      <c r="U2489" s="29">
        <v>1500</v>
      </c>
      <c r="V2489" s="27" t="s">
        <v>77</v>
      </c>
      <c r="W2489" s="27" t="s">
        <v>184</v>
      </c>
      <c r="X2489" s="26">
        <v>10</v>
      </c>
      <c r="Y2489" s="27" t="s">
        <v>7967</v>
      </c>
      <c r="Z2489" s="27"/>
      <c r="AS2489" s="1">
        <f>IF($A2489&lt;&gt;0,1,0)</f>
        <v>0</v>
      </c>
      <c r="AT2489" s="1">
        <f>$A2489*$B2489</f>
        <v>0</v>
      </c>
      <c r="AU2489" s="1">
        <f>$A2489*$O2489</f>
        <v>0</v>
      </c>
      <c r="AV2489" s="1">
        <f>IF($R2489=0,0,INT($A2489/$R2489))</f>
        <v>0</v>
      </c>
      <c r="AW2489" s="1">
        <f>$A2489-$AV2489*$R2489</f>
        <v>0</v>
      </c>
    </row>
    <row r="2490" ht="24.95" customHeight="1" outlineLevel="3" s="1" customFormat="1">
      <c r="A2490" s="15"/>
      <c r="B2490" s="16">
        <v>590</v>
      </c>
      <c r="C2490" s="16">
        <v>885</v>
      </c>
      <c r="D2490" s="16">
        <v>28909</v>
      </c>
      <c r="E2490" s="18"/>
      <c r="F2490" s="18" t="s">
        <v>524</v>
      </c>
      <c r="G2490" s="18" t="s">
        <v>8137</v>
      </c>
      <c r="H2490" s="18" t="s">
        <v>49</v>
      </c>
      <c r="I2490" s="18" t="s">
        <v>87</v>
      </c>
      <c r="J2490" s="16">
        <v>2026</v>
      </c>
      <c r="K2490" s="18" t="s">
        <v>8138</v>
      </c>
      <c r="L2490" s="16">
        <v>9785961490688</v>
      </c>
      <c r="M2490" s="18" t="s">
        <v>8139</v>
      </c>
      <c r="N2490" s="16">
        <v>32</v>
      </c>
      <c r="O2490" s="19">
        <v>0.15</v>
      </c>
      <c r="P2490" s="16">
        <v>180</v>
      </c>
      <c r="Q2490" s="16">
        <v>190</v>
      </c>
      <c r="R2490" s="16">
        <v>20</v>
      </c>
      <c r="S2490" s="18" t="s">
        <v>52</v>
      </c>
      <c r="T2490" s="18" t="s">
        <v>183</v>
      </c>
      <c r="U2490" s="17">
        <v>1500</v>
      </c>
      <c r="V2490" s="18" t="s">
        <v>77</v>
      </c>
      <c r="W2490" s="18" t="s">
        <v>184</v>
      </c>
      <c r="X2490" s="16">
        <v>10</v>
      </c>
      <c r="Y2490" s="18" t="s">
        <v>528</v>
      </c>
      <c r="Z2490" s="18"/>
      <c r="AS2490" s="1">
        <f>IF($A2490&lt;&gt;0,1,0)</f>
        <v>0</v>
      </c>
      <c r="AT2490" s="1">
        <f>$A2490*$B2490</f>
        <v>0</v>
      </c>
      <c r="AU2490" s="1">
        <f>$A2490*$O2490</f>
        <v>0</v>
      </c>
      <c r="AV2490" s="1">
        <f>IF($R2490=0,0,INT($A2490/$R2490))</f>
        <v>0</v>
      </c>
      <c r="AW2490" s="1">
        <f>$A2490-$AV2490*$R2490</f>
        <v>0</v>
      </c>
    </row>
    <row r="2491" ht="24.95" customHeight="1" outlineLevel="3" s="1" customFormat="1">
      <c r="A2491" s="15"/>
      <c r="B2491" s="16">
        <v>540</v>
      </c>
      <c r="C2491" s="16">
        <v>837</v>
      </c>
      <c r="D2491" s="16">
        <v>28280</v>
      </c>
      <c r="E2491" s="18"/>
      <c r="F2491" s="18" t="s">
        <v>524</v>
      </c>
      <c r="G2491" s="18" t="s">
        <v>8140</v>
      </c>
      <c r="H2491" s="18" t="s">
        <v>49</v>
      </c>
      <c r="I2491" s="18" t="s">
        <v>87</v>
      </c>
      <c r="J2491" s="16">
        <v>2026</v>
      </c>
      <c r="K2491" s="18" t="s">
        <v>8141</v>
      </c>
      <c r="L2491" s="16">
        <v>9785961487718</v>
      </c>
      <c r="M2491" s="18" t="s">
        <v>8142</v>
      </c>
      <c r="N2491" s="16">
        <v>30</v>
      </c>
      <c r="O2491" s="19">
        <v>0.15</v>
      </c>
      <c r="P2491" s="16">
        <v>190</v>
      </c>
      <c r="Q2491" s="16">
        <v>180</v>
      </c>
      <c r="R2491" s="16">
        <v>20</v>
      </c>
      <c r="S2491" s="18" t="s">
        <v>52</v>
      </c>
      <c r="T2491" s="18" t="s">
        <v>183</v>
      </c>
      <c r="U2491" s="17">
        <v>1500</v>
      </c>
      <c r="V2491" s="18" t="s">
        <v>77</v>
      </c>
      <c r="W2491" s="18" t="s">
        <v>184</v>
      </c>
      <c r="X2491" s="16">
        <v>10</v>
      </c>
      <c r="Y2491" s="18" t="s">
        <v>8013</v>
      </c>
      <c r="Z2491" s="18"/>
      <c r="AS2491" s="1">
        <f>IF($A2491&lt;&gt;0,1,0)</f>
        <v>0</v>
      </c>
      <c r="AT2491" s="1">
        <f>$A2491*$B2491</f>
        <v>0</v>
      </c>
      <c r="AU2491" s="1">
        <f>$A2491*$O2491</f>
        <v>0</v>
      </c>
      <c r="AV2491" s="1">
        <f>IF($R2491=0,0,INT($A2491/$R2491))</f>
        <v>0</v>
      </c>
      <c r="AW2491" s="1">
        <f>$A2491-$AV2491*$R2491</f>
        <v>0</v>
      </c>
    </row>
    <row r="2492" ht="21.95" customHeight="1" outlineLevel="3" s="1" customFormat="1">
      <c r="A2492" s="15"/>
      <c r="B2492" s="16">
        <v>590</v>
      </c>
      <c r="C2492" s="16">
        <v>885</v>
      </c>
      <c r="D2492" s="16">
        <v>33223</v>
      </c>
      <c r="E2492" s="18"/>
      <c r="F2492" s="18" t="s">
        <v>7932</v>
      </c>
      <c r="G2492" s="18" t="s">
        <v>8143</v>
      </c>
      <c r="H2492" s="18" t="s">
        <v>49</v>
      </c>
      <c r="I2492" s="18" t="s">
        <v>87</v>
      </c>
      <c r="J2492" s="16">
        <v>2025</v>
      </c>
      <c r="K2492" s="18" t="s">
        <v>8144</v>
      </c>
      <c r="L2492" s="16">
        <v>9785006303997</v>
      </c>
      <c r="M2492" s="18" t="s">
        <v>8145</v>
      </c>
      <c r="N2492" s="16">
        <v>112</v>
      </c>
      <c r="O2492" s="19">
        <v>0.24</v>
      </c>
      <c r="P2492" s="16">
        <v>130</v>
      </c>
      <c r="Q2492" s="16">
        <v>210</v>
      </c>
      <c r="R2492" s="16">
        <v>22</v>
      </c>
      <c r="S2492" s="18" t="s">
        <v>90</v>
      </c>
      <c r="T2492" s="18" t="s">
        <v>183</v>
      </c>
      <c r="U2492" s="17">
        <v>1000</v>
      </c>
      <c r="V2492" s="18" t="s">
        <v>77</v>
      </c>
      <c r="W2492" s="18" t="s">
        <v>55</v>
      </c>
      <c r="X2492" s="16">
        <v>10</v>
      </c>
      <c r="Y2492" s="43" t="str">
        <f>HYPERLINK("","")</f>
      </c>
      <c r="Z2492" s="18"/>
      <c r="AS2492" s="1">
        <f>IF($A2492&lt;&gt;0,1,0)</f>
        <v>0</v>
      </c>
      <c r="AT2492" s="1">
        <f>$A2492*$B2492</f>
        <v>0</v>
      </c>
      <c r="AU2492" s="1">
        <f>$A2492*$O2492</f>
        <v>0</v>
      </c>
      <c r="AV2492" s="1">
        <f>IF($R2492=0,0,INT($A2492/$R2492))</f>
        <v>0</v>
      </c>
      <c r="AW2492" s="1">
        <f>$A2492-$AV2492*$R2492</f>
        <v>0</v>
      </c>
    </row>
    <row r="2493" ht="24.95" customHeight="1" outlineLevel="3" s="1" customFormat="1">
      <c r="A2493" s="15"/>
      <c r="B2493" s="16">
        <v>490</v>
      </c>
      <c r="C2493" s="16">
        <v>760</v>
      </c>
      <c r="D2493" s="16">
        <v>34938</v>
      </c>
      <c r="E2493" s="18"/>
      <c r="F2493" s="18" t="s">
        <v>524</v>
      </c>
      <c r="G2493" s="18" t="s">
        <v>8146</v>
      </c>
      <c r="H2493" s="18" t="s">
        <v>49</v>
      </c>
      <c r="I2493" s="18" t="s">
        <v>87</v>
      </c>
      <c r="J2493" s="16">
        <v>2025</v>
      </c>
      <c r="K2493" s="18" t="s">
        <v>8147</v>
      </c>
      <c r="L2493" s="16">
        <v>9785006309531</v>
      </c>
      <c r="M2493" s="18" t="s">
        <v>8148</v>
      </c>
      <c r="N2493" s="16">
        <v>30</v>
      </c>
      <c r="O2493" s="19">
        <v>0.17</v>
      </c>
      <c r="P2493" s="16">
        <v>180</v>
      </c>
      <c r="Q2493" s="16">
        <v>190</v>
      </c>
      <c r="R2493" s="16">
        <v>20</v>
      </c>
      <c r="S2493" s="18" t="s">
        <v>52</v>
      </c>
      <c r="T2493" s="18" t="s">
        <v>183</v>
      </c>
      <c r="U2493" s="17">
        <v>1000</v>
      </c>
      <c r="V2493" s="18" t="s">
        <v>77</v>
      </c>
      <c r="W2493" s="18" t="s">
        <v>184</v>
      </c>
      <c r="X2493" s="16">
        <v>10</v>
      </c>
      <c r="Y2493" s="18" t="s">
        <v>7981</v>
      </c>
      <c r="Z2493" s="18"/>
      <c r="AS2493" s="1">
        <f>IF($A2493&lt;&gt;0,1,0)</f>
        <v>0</v>
      </c>
      <c r="AT2493" s="1">
        <f>$A2493*$B2493</f>
        <v>0</v>
      </c>
      <c r="AU2493" s="1">
        <f>$A2493*$O2493</f>
        <v>0</v>
      </c>
      <c r="AV2493" s="1">
        <f>IF($R2493=0,0,INT($A2493/$R2493))</f>
        <v>0</v>
      </c>
      <c r="AW2493" s="1">
        <f>$A2493-$AV2493*$R2493</f>
        <v>0</v>
      </c>
    </row>
    <row r="2494" ht="21.95" customHeight="1" outlineLevel="3" s="1" customFormat="1">
      <c r="A2494" s="15"/>
      <c r="B2494" s="16">
        <v>590</v>
      </c>
      <c r="C2494" s="16">
        <v>885</v>
      </c>
      <c r="D2494" s="16">
        <v>33105</v>
      </c>
      <c r="E2494" s="18"/>
      <c r="F2494" s="18" t="s">
        <v>524</v>
      </c>
      <c r="G2494" s="18" t="s">
        <v>8149</v>
      </c>
      <c r="H2494" s="18" t="s">
        <v>49</v>
      </c>
      <c r="I2494" s="18" t="s">
        <v>87</v>
      </c>
      <c r="J2494" s="16">
        <v>2026</v>
      </c>
      <c r="K2494" s="18" t="s">
        <v>8150</v>
      </c>
      <c r="L2494" s="16">
        <v>9785006300897</v>
      </c>
      <c r="M2494" s="18" t="s">
        <v>8151</v>
      </c>
      <c r="N2494" s="16">
        <v>32</v>
      </c>
      <c r="O2494" s="19">
        <v>0.18</v>
      </c>
      <c r="P2494" s="16">
        <v>190</v>
      </c>
      <c r="Q2494" s="16">
        <v>180</v>
      </c>
      <c r="R2494" s="16">
        <v>20</v>
      </c>
      <c r="S2494" s="18" t="s">
        <v>52</v>
      </c>
      <c r="T2494" s="18" t="s">
        <v>183</v>
      </c>
      <c r="U2494" s="17">
        <v>1500</v>
      </c>
      <c r="V2494" s="18" t="s">
        <v>77</v>
      </c>
      <c r="W2494" s="18" t="s">
        <v>184</v>
      </c>
      <c r="X2494" s="16">
        <v>10</v>
      </c>
      <c r="Y2494" s="43" t="str">
        <f>HYPERLINK("","")</f>
      </c>
      <c r="Z2494" s="18"/>
      <c r="AS2494" s="1">
        <f>IF($A2494&lt;&gt;0,1,0)</f>
        <v>0</v>
      </c>
      <c r="AT2494" s="1">
        <f>$A2494*$B2494</f>
        <v>0</v>
      </c>
      <c r="AU2494" s="1">
        <f>$A2494*$O2494</f>
        <v>0</v>
      </c>
      <c r="AV2494" s="1">
        <f>IF($R2494=0,0,INT($A2494/$R2494))</f>
        <v>0</v>
      </c>
      <c r="AW2494" s="1">
        <f>$A2494-$AV2494*$R2494</f>
        <v>0</v>
      </c>
    </row>
    <row r="2495" ht="24.95" customHeight="1" outlineLevel="3" s="1" customFormat="1">
      <c r="A2495" s="15"/>
      <c r="B2495" s="16">
        <v>590</v>
      </c>
      <c r="C2495" s="16">
        <v>885</v>
      </c>
      <c r="D2495" s="16">
        <v>18319</v>
      </c>
      <c r="E2495" s="18"/>
      <c r="F2495" s="18" t="s">
        <v>524</v>
      </c>
      <c r="G2495" s="18" t="s">
        <v>8152</v>
      </c>
      <c r="H2495" s="18" t="s">
        <v>49</v>
      </c>
      <c r="I2495" s="18" t="s">
        <v>87</v>
      </c>
      <c r="J2495" s="16">
        <v>2022</v>
      </c>
      <c r="K2495" s="18" t="s">
        <v>8153</v>
      </c>
      <c r="L2495" s="16">
        <v>9785961431667</v>
      </c>
      <c r="M2495" s="18" t="s">
        <v>8154</v>
      </c>
      <c r="N2495" s="16">
        <v>30</v>
      </c>
      <c r="O2495" s="19">
        <v>0.25</v>
      </c>
      <c r="P2495" s="16">
        <v>206</v>
      </c>
      <c r="Q2495" s="16">
        <v>207</v>
      </c>
      <c r="R2495" s="16">
        <v>16</v>
      </c>
      <c r="S2495" s="18" t="s">
        <v>83</v>
      </c>
      <c r="T2495" s="18" t="s">
        <v>183</v>
      </c>
      <c r="U2495" s="17">
        <v>3000</v>
      </c>
      <c r="V2495" s="18" t="s">
        <v>77</v>
      </c>
      <c r="W2495" s="18" t="s">
        <v>184</v>
      </c>
      <c r="X2495" s="16">
        <v>10</v>
      </c>
      <c r="Y2495" s="18" t="s">
        <v>8013</v>
      </c>
      <c r="Z2495" s="18"/>
      <c r="AS2495" s="1">
        <f>IF($A2495&lt;&gt;0,1,0)</f>
        <v>0</v>
      </c>
      <c r="AT2495" s="1">
        <f>$A2495*$B2495</f>
        <v>0</v>
      </c>
      <c r="AU2495" s="1">
        <f>$A2495*$O2495</f>
        <v>0</v>
      </c>
      <c r="AV2495" s="1">
        <f>IF($R2495=0,0,INT($A2495/$R2495))</f>
        <v>0</v>
      </c>
      <c r="AW2495" s="1">
        <f>$A2495-$AV2495*$R2495</f>
        <v>0</v>
      </c>
    </row>
    <row r="2496" ht="21.95" customHeight="1" outlineLevel="3" s="1" customFormat="1">
      <c r="A2496" s="15"/>
      <c r="B2496" s="16">
        <v>590</v>
      </c>
      <c r="C2496" s="16">
        <v>885</v>
      </c>
      <c r="D2496" s="16">
        <v>36199</v>
      </c>
      <c r="E2496" s="18"/>
      <c r="F2496" s="18" t="s">
        <v>524</v>
      </c>
      <c r="G2496" s="18" t="s">
        <v>8155</v>
      </c>
      <c r="H2496" s="18" t="s">
        <v>49</v>
      </c>
      <c r="I2496" s="18" t="s">
        <v>87</v>
      </c>
      <c r="J2496" s="16">
        <v>2026</v>
      </c>
      <c r="K2496" s="18" t="s">
        <v>8156</v>
      </c>
      <c r="L2496" s="16">
        <v>9785006316683</v>
      </c>
      <c r="M2496" s="18" t="s">
        <v>8157</v>
      </c>
      <c r="N2496" s="16">
        <v>32</v>
      </c>
      <c r="O2496" s="19">
        <v>0.18</v>
      </c>
      <c r="P2496" s="16">
        <v>190</v>
      </c>
      <c r="Q2496" s="16">
        <v>180</v>
      </c>
      <c r="R2496" s="16">
        <v>20</v>
      </c>
      <c r="S2496" s="18" t="s">
        <v>52</v>
      </c>
      <c r="T2496" s="18" t="s">
        <v>183</v>
      </c>
      <c r="U2496" s="17">
        <v>1500</v>
      </c>
      <c r="V2496" s="18" t="s">
        <v>77</v>
      </c>
      <c r="W2496" s="18" t="s">
        <v>184</v>
      </c>
      <c r="X2496" s="16">
        <v>10</v>
      </c>
      <c r="Y2496" s="43" t="str">
        <f>HYPERLINK("","")</f>
      </c>
      <c r="Z2496" s="18"/>
      <c r="AS2496" s="1">
        <f>IF($A2496&lt;&gt;0,1,0)</f>
        <v>0</v>
      </c>
      <c r="AT2496" s="1">
        <f>$A2496*$B2496</f>
        <v>0</v>
      </c>
      <c r="AU2496" s="1">
        <f>$A2496*$O2496</f>
        <v>0</v>
      </c>
      <c r="AV2496" s="1">
        <f>IF($R2496=0,0,INT($A2496/$R2496))</f>
        <v>0</v>
      </c>
      <c r="AW2496" s="1">
        <f>$A2496-$AV2496*$R2496</f>
        <v>0</v>
      </c>
    </row>
    <row r="2497" ht="21.95" customHeight="1" outlineLevel="3" s="1" customFormat="1">
      <c r="A2497" s="15"/>
      <c r="B2497" s="16">
        <v>590</v>
      </c>
      <c r="C2497" s="16">
        <v>885</v>
      </c>
      <c r="D2497" s="16">
        <v>28536</v>
      </c>
      <c r="E2497" s="18"/>
      <c r="F2497" s="18" t="s">
        <v>524</v>
      </c>
      <c r="G2497" s="18" t="s">
        <v>8158</v>
      </c>
      <c r="H2497" s="18" t="s">
        <v>49</v>
      </c>
      <c r="I2497" s="18" t="s">
        <v>87</v>
      </c>
      <c r="J2497" s="16">
        <v>2026</v>
      </c>
      <c r="K2497" s="18" t="s">
        <v>8159</v>
      </c>
      <c r="L2497" s="16">
        <v>9785961489293</v>
      </c>
      <c r="M2497" s="18" t="s">
        <v>8160</v>
      </c>
      <c r="N2497" s="16">
        <v>32</v>
      </c>
      <c r="O2497" s="19">
        <v>0.15</v>
      </c>
      <c r="P2497" s="16">
        <v>180</v>
      </c>
      <c r="Q2497" s="16">
        <v>190</v>
      </c>
      <c r="R2497" s="16">
        <v>20</v>
      </c>
      <c r="S2497" s="18" t="s">
        <v>52</v>
      </c>
      <c r="T2497" s="18" t="s">
        <v>183</v>
      </c>
      <c r="U2497" s="17">
        <v>1500</v>
      </c>
      <c r="V2497" s="18" t="s">
        <v>77</v>
      </c>
      <c r="W2497" s="18" t="s">
        <v>184</v>
      </c>
      <c r="X2497" s="16">
        <v>10</v>
      </c>
      <c r="Y2497" s="43" t="str">
        <f>HYPERLINK("","")</f>
      </c>
      <c r="Z2497" s="18"/>
      <c r="AS2497" s="1">
        <f>IF($A2497&lt;&gt;0,1,0)</f>
        <v>0</v>
      </c>
      <c r="AT2497" s="1">
        <f>$A2497*$B2497</f>
        <v>0</v>
      </c>
      <c r="AU2497" s="1">
        <f>$A2497*$O2497</f>
        <v>0</v>
      </c>
      <c r="AV2497" s="1">
        <f>IF($R2497=0,0,INT($A2497/$R2497))</f>
        <v>0</v>
      </c>
      <c r="AW2497" s="1">
        <f>$A2497-$AV2497*$R2497</f>
        <v>0</v>
      </c>
    </row>
    <row r="2498" ht="24.95" customHeight="1" outlineLevel="3" s="1" customFormat="1">
      <c r="A2498" s="15"/>
      <c r="B2498" s="16">
        <v>590</v>
      </c>
      <c r="C2498" s="16">
        <v>885</v>
      </c>
      <c r="D2498" s="16">
        <v>30137</v>
      </c>
      <c r="E2498" s="18"/>
      <c r="F2498" s="18" t="s">
        <v>524</v>
      </c>
      <c r="G2498" s="18" t="s">
        <v>679</v>
      </c>
      <c r="H2498" s="18" t="s">
        <v>49</v>
      </c>
      <c r="I2498" s="18" t="s">
        <v>87</v>
      </c>
      <c r="J2498" s="16">
        <v>2026</v>
      </c>
      <c r="K2498" s="18" t="s">
        <v>680</v>
      </c>
      <c r="L2498" s="16">
        <v>9785961494839</v>
      </c>
      <c r="M2498" s="18" t="s">
        <v>681</v>
      </c>
      <c r="N2498" s="16">
        <v>32</v>
      </c>
      <c r="O2498" s="19">
        <v>0.19</v>
      </c>
      <c r="P2498" s="16">
        <v>180</v>
      </c>
      <c r="Q2498" s="16">
        <v>180</v>
      </c>
      <c r="R2498" s="16">
        <v>20</v>
      </c>
      <c r="S2498" s="18" t="s">
        <v>52</v>
      </c>
      <c r="T2498" s="18" t="s">
        <v>183</v>
      </c>
      <c r="U2498" s="17">
        <v>1500</v>
      </c>
      <c r="V2498" s="18" t="s">
        <v>77</v>
      </c>
      <c r="W2498" s="18" t="s">
        <v>184</v>
      </c>
      <c r="X2498" s="16">
        <v>10</v>
      </c>
      <c r="Y2498" s="18" t="s">
        <v>528</v>
      </c>
      <c r="Z2498" s="18" t="s">
        <v>178</v>
      </c>
      <c r="AS2498" s="1">
        <f>IF($A2498&lt;&gt;0,1,0)</f>
        <v>0</v>
      </c>
      <c r="AT2498" s="1">
        <f>$A2498*$B2498</f>
        <v>0</v>
      </c>
      <c r="AU2498" s="1">
        <f>$A2498*$O2498</f>
        <v>0</v>
      </c>
      <c r="AV2498" s="1">
        <f>IF($R2498=0,0,INT($A2498/$R2498))</f>
        <v>0</v>
      </c>
      <c r="AW2498" s="1">
        <f>$A2498-$AV2498*$R2498</f>
        <v>0</v>
      </c>
    </row>
    <row r="2499" ht="21.95" customHeight="1" outlineLevel="3" s="1" customFormat="1">
      <c r="A2499" s="15"/>
      <c r="B2499" s="16">
        <v>590</v>
      </c>
      <c r="C2499" s="16">
        <v>885</v>
      </c>
      <c r="D2499" s="16">
        <v>36189</v>
      </c>
      <c r="E2499" s="18"/>
      <c r="F2499" s="18" t="s">
        <v>524</v>
      </c>
      <c r="G2499" s="18" t="s">
        <v>8161</v>
      </c>
      <c r="H2499" s="18" t="s">
        <v>49</v>
      </c>
      <c r="I2499" s="18" t="s">
        <v>87</v>
      </c>
      <c r="J2499" s="16">
        <v>2026</v>
      </c>
      <c r="K2499" s="18" t="s">
        <v>8162</v>
      </c>
      <c r="L2499" s="16">
        <v>9785006316690</v>
      </c>
      <c r="M2499" s="18" t="s">
        <v>8163</v>
      </c>
      <c r="N2499" s="16">
        <v>32</v>
      </c>
      <c r="O2499" s="19">
        <v>0.18</v>
      </c>
      <c r="P2499" s="16">
        <v>190</v>
      </c>
      <c r="Q2499" s="16">
        <v>180</v>
      </c>
      <c r="R2499" s="16">
        <v>20</v>
      </c>
      <c r="S2499" s="18" t="s">
        <v>52</v>
      </c>
      <c r="T2499" s="18" t="s">
        <v>183</v>
      </c>
      <c r="U2499" s="17">
        <v>1500</v>
      </c>
      <c r="V2499" s="18" t="s">
        <v>77</v>
      </c>
      <c r="W2499" s="18" t="s">
        <v>184</v>
      </c>
      <c r="X2499" s="16">
        <v>10</v>
      </c>
      <c r="Y2499" s="43" t="str">
        <f>HYPERLINK("","")</f>
      </c>
      <c r="Z2499" s="18"/>
      <c r="AS2499" s="1">
        <f>IF($A2499&lt;&gt;0,1,0)</f>
        <v>0</v>
      </c>
      <c r="AT2499" s="1">
        <f>$A2499*$B2499</f>
        <v>0</v>
      </c>
      <c r="AU2499" s="1">
        <f>$A2499*$O2499</f>
        <v>0</v>
      </c>
      <c r="AV2499" s="1">
        <f>IF($R2499=0,0,INT($A2499/$R2499))</f>
        <v>0</v>
      </c>
      <c r="AW2499" s="1">
        <f>$A2499-$AV2499*$R2499</f>
        <v>0</v>
      </c>
    </row>
    <row r="2500" ht="24.95" customHeight="1" outlineLevel="3" s="1" customFormat="1">
      <c r="A2500" s="15"/>
      <c r="B2500" s="16">
        <v>540</v>
      </c>
      <c r="C2500" s="16">
        <v>885</v>
      </c>
      <c r="D2500" s="16">
        <v>30057</v>
      </c>
      <c r="E2500" s="18"/>
      <c r="F2500" s="18" t="s">
        <v>524</v>
      </c>
      <c r="G2500" s="18" t="s">
        <v>8164</v>
      </c>
      <c r="H2500" s="18" t="s">
        <v>49</v>
      </c>
      <c r="I2500" s="18" t="s">
        <v>87</v>
      </c>
      <c r="J2500" s="16">
        <v>2026</v>
      </c>
      <c r="K2500" s="18" t="s">
        <v>8165</v>
      </c>
      <c r="L2500" s="16">
        <v>9785961494679</v>
      </c>
      <c r="M2500" s="18" t="s">
        <v>8166</v>
      </c>
      <c r="N2500" s="16">
        <v>30</v>
      </c>
      <c r="O2500" s="19">
        <v>0.17</v>
      </c>
      <c r="P2500" s="16">
        <v>180</v>
      </c>
      <c r="Q2500" s="16">
        <v>190</v>
      </c>
      <c r="R2500" s="16">
        <v>20</v>
      </c>
      <c r="S2500" s="18" t="s">
        <v>52</v>
      </c>
      <c r="T2500" s="18" t="s">
        <v>183</v>
      </c>
      <c r="U2500" s="17">
        <v>1500</v>
      </c>
      <c r="V2500" s="18" t="s">
        <v>77</v>
      </c>
      <c r="W2500" s="18" t="s">
        <v>184</v>
      </c>
      <c r="X2500" s="16">
        <v>10</v>
      </c>
      <c r="Y2500" s="18" t="s">
        <v>7967</v>
      </c>
      <c r="Z2500" s="18"/>
      <c r="AS2500" s="1">
        <f>IF($A2500&lt;&gt;0,1,0)</f>
        <v>0</v>
      </c>
      <c r="AT2500" s="1">
        <f>$A2500*$B2500</f>
        <v>0</v>
      </c>
      <c r="AU2500" s="1">
        <f>$A2500*$O2500</f>
        <v>0</v>
      </c>
      <c r="AV2500" s="1">
        <f>IF($R2500=0,0,INT($A2500/$R2500))</f>
        <v>0</v>
      </c>
      <c r="AW2500" s="1">
        <f>$A2500-$AV2500*$R2500</f>
        <v>0</v>
      </c>
    </row>
    <row r="2501" ht="24.95" customHeight="1" outlineLevel="3" s="1" customFormat="1">
      <c r="A2501" s="15"/>
      <c r="B2501" s="16">
        <v>590</v>
      </c>
      <c r="C2501" s="16">
        <v>885</v>
      </c>
      <c r="D2501" s="16">
        <v>33297</v>
      </c>
      <c r="E2501" s="18"/>
      <c r="F2501" s="18" t="s">
        <v>7932</v>
      </c>
      <c r="G2501" s="18" t="s">
        <v>8167</v>
      </c>
      <c r="H2501" s="18" t="s">
        <v>49</v>
      </c>
      <c r="I2501" s="18" t="s">
        <v>87</v>
      </c>
      <c r="J2501" s="16">
        <v>2025</v>
      </c>
      <c r="K2501" s="18" t="s">
        <v>8168</v>
      </c>
      <c r="L2501" s="16">
        <v>9785006304161</v>
      </c>
      <c r="M2501" s="18" t="s">
        <v>8169</v>
      </c>
      <c r="N2501" s="16">
        <v>128</v>
      </c>
      <c r="O2501" s="19">
        <v>0.26</v>
      </c>
      <c r="P2501" s="16">
        <v>130</v>
      </c>
      <c r="Q2501" s="16">
        <v>210</v>
      </c>
      <c r="R2501" s="16">
        <v>20</v>
      </c>
      <c r="S2501" s="18" t="s">
        <v>90</v>
      </c>
      <c r="T2501" s="18" t="s">
        <v>183</v>
      </c>
      <c r="U2501" s="17">
        <v>1000</v>
      </c>
      <c r="V2501" s="18" t="s">
        <v>77</v>
      </c>
      <c r="W2501" s="18" t="s">
        <v>55</v>
      </c>
      <c r="X2501" s="16">
        <v>10</v>
      </c>
      <c r="Y2501" s="18" t="s">
        <v>8040</v>
      </c>
      <c r="Z2501" s="18"/>
      <c r="AS2501" s="1">
        <f>IF($A2501&lt;&gt;0,1,0)</f>
        <v>0</v>
      </c>
      <c r="AT2501" s="1">
        <f>$A2501*$B2501</f>
        <v>0</v>
      </c>
      <c r="AU2501" s="1">
        <f>$A2501*$O2501</f>
        <v>0</v>
      </c>
      <c r="AV2501" s="1">
        <f>IF($R2501=0,0,INT($A2501/$R2501))</f>
        <v>0</v>
      </c>
      <c r="AW2501" s="1">
        <f>$A2501-$AV2501*$R2501</f>
        <v>0</v>
      </c>
    </row>
    <row r="2502" ht="24.95" customHeight="1" outlineLevel="3" s="1" customFormat="1">
      <c r="A2502" s="15"/>
      <c r="B2502" s="16">
        <v>590</v>
      </c>
      <c r="C2502" s="16">
        <v>885</v>
      </c>
      <c r="D2502" s="16">
        <v>28910</v>
      </c>
      <c r="E2502" s="18"/>
      <c r="F2502" s="18" t="s">
        <v>524</v>
      </c>
      <c r="G2502" s="18" t="s">
        <v>8170</v>
      </c>
      <c r="H2502" s="18" t="s">
        <v>49</v>
      </c>
      <c r="I2502" s="18" t="s">
        <v>87</v>
      </c>
      <c r="J2502" s="16">
        <v>2025</v>
      </c>
      <c r="K2502" s="18" t="s">
        <v>8171</v>
      </c>
      <c r="L2502" s="16">
        <v>9785961490695</v>
      </c>
      <c r="M2502" s="18" t="s">
        <v>8172</v>
      </c>
      <c r="N2502" s="16">
        <v>30</v>
      </c>
      <c r="O2502" s="19">
        <v>0.15</v>
      </c>
      <c r="P2502" s="16">
        <v>180</v>
      </c>
      <c r="Q2502" s="16">
        <v>190</v>
      </c>
      <c r="R2502" s="16">
        <v>20</v>
      </c>
      <c r="S2502" s="18" t="s">
        <v>52</v>
      </c>
      <c r="T2502" s="18" t="s">
        <v>183</v>
      </c>
      <c r="U2502" s="17">
        <v>1500</v>
      </c>
      <c r="V2502" s="18" t="s">
        <v>77</v>
      </c>
      <c r="W2502" s="18" t="s">
        <v>184</v>
      </c>
      <c r="X2502" s="16">
        <v>10</v>
      </c>
      <c r="Y2502" s="18" t="s">
        <v>7955</v>
      </c>
      <c r="Z2502" s="18"/>
      <c r="AS2502" s="1">
        <f>IF($A2502&lt;&gt;0,1,0)</f>
        <v>0</v>
      </c>
      <c r="AT2502" s="1">
        <f>$A2502*$B2502</f>
        <v>0</v>
      </c>
      <c r="AU2502" s="1">
        <f>$A2502*$O2502</f>
        <v>0</v>
      </c>
      <c r="AV2502" s="1">
        <f>IF($R2502=0,0,INT($A2502/$R2502))</f>
        <v>0</v>
      </c>
      <c r="AW2502" s="1">
        <f>$A2502-$AV2502*$R2502</f>
        <v>0</v>
      </c>
    </row>
    <row r="2503" ht="24.95" customHeight="1" outlineLevel="3" s="1" customFormat="1">
      <c r="A2503" s="15"/>
      <c r="B2503" s="16">
        <v>840</v>
      </c>
      <c r="C2503" s="17">
        <v>1218</v>
      </c>
      <c r="D2503" s="16">
        <v>19264</v>
      </c>
      <c r="E2503" s="18"/>
      <c r="F2503" s="18" t="s">
        <v>8173</v>
      </c>
      <c r="G2503" s="18" t="s">
        <v>8174</v>
      </c>
      <c r="H2503" s="18" t="s">
        <v>49</v>
      </c>
      <c r="I2503" s="18" t="s">
        <v>87</v>
      </c>
      <c r="J2503" s="16">
        <v>2025</v>
      </c>
      <c r="K2503" s="18" t="s">
        <v>8175</v>
      </c>
      <c r="L2503" s="16">
        <v>9785961438741</v>
      </c>
      <c r="M2503" s="18" t="s">
        <v>8176</v>
      </c>
      <c r="N2503" s="16">
        <v>16</v>
      </c>
      <c r="O2503" s="19">
        <v>0.28</v>
      </c>
      <c r="P2503" s="16">
        <v>230</v>
      </c>
      <c r="Q2503" s="16">
        <v>250</v>
      </c>
      <c r="R2503" s="16">
        <v>5</v>
      </c>
      <c r="S2503" s="18" t="s">
        <v>328</v>
      </c>
      <c r="T2503" s="18" t="s">
        <v>183</v>
      </c>
      <c r="U2503" s="17">
        <v>2500</v>
      </c>
      <c r="V2503" s="18" t="s">
        <v>77</v>
      </c>
      <c r="W2503" s="18" t="s">
        <v>184</v>
      </c>
      <c r="X2503" s="16">
        <v>10</v>
      </c>
      <c r="Y2503" s="18" t="s">
        <v>8013</v>
      </c>
      <c r="Z2503" s="18"/>
      <c r="AS2503" s="1">
        <f>IF($A2503&lt;&gt;0,1,0)</f>
        <v>0</v>
      </c>
      <c r="AT2503" s="1">
        <f>$A2503*$B2503</f>
        <v>0</v>
      </c>
      <c r="AU2503" s="1">
        <f>$A2503*$O2503</f>
        <v>0</v>
      </c>
      <c r="AV2503" s="1">
        <f>IF($R2503=0,0,INT($A2503/$R2503))</f>
        <v>0</v>
      </c>
      <c r="AW2503" s="1">
        <f>$A2503-$AV2503*$R2503</f>
        <v>0</v>
      </c>
    </row>
    <row r="2504" ht="24.95" customHeight="1" outlineLevel="3" s="1" customFormat="1">
      <c r="A2504" s="15"/>
      <c r="B2504" s="16">
        <v>590</v>
      </c>
      <c r="C2504" s="16">
        <v>885</v>
      </c>
      <c r="D2504" s="16">
        <v>30928</v>
      </c>
      <c r="E2504" s="18"/>
      <c r="F2504" s="18" t="s">
        <v>7959</v>
      </c>
      <c r="G2504" s="18" t="s">
        <v>8177</v>
      </c>
      <c r="H2504" s="18" t="s">
        <v>49</v>
      </c>
      <c r="I2504" s="18" t="s">
        <v>87</v>
      </c>
      <c r="J2504" s="16">
        <v>2026</v>
      </c>
      <c r="K2504" s="18" t="s">
        <v>8178</v>
      </c>
      <c r="L2504" s="16">
        <v>9785961496963</v>
      </c>
      <c r="M2504" s="18" t="s">
        <v>8179</v>
      </c>
      <c r="N2504" s="16">
        <v>40</v>
      </c>
      <c r="O2504" s="19">
        <v>0.19</v>
      </c>
      <c r="P2504" s="16">
        <v>190</v>
      </c>
      <c r="Q2504" s="16">
        <v>180</v>
      </c>
      <c r="R2504" s="16">
        <v>20</v>
      </c>
      <c r="S2504" s="18" t="s">
        <v>52</v>
      </c>
      <c r="T2504" s="18" t="s">
        <v>183</v>
      </c>
      <c r="U2504" s="17">
        <v>5000</v>
      </c>
      <c r="V2504" s="18" t="s">
        <v>77</v>
      </c>
      <c r="W2504" s="18" t="s">
        <v>184</v>
      </c>
      <c r="X2504" s="16">
        <v>10</v>
      </c>
      <c r="Y2504" s="18" t="s">
        <v>7963</v>
      </c>
      <c r="Z2504" s="18" t="s">
        <v>70</v>
      </c>
      <c r="AS2504" s="1">
        <f>IF($A2504&lt;&gt;0,1,0)</f>
        <v>0</v>
      </c>
      <c r="AT2504" s="1">
        <f>$A2504*$B2504</f>
        <v>0</v>
      </c>
      <c r="AU2504" s="1">
        <f>$A2504*$O2504</f>
        <v>0</v>
      </c>
      <c r="AV2504" s="1">
        <f>IF($R2504=0,0,INT($A2504/$R2504))</f>
        <v>0</v>
      </c>
      <c r="AW2504" s="1">
        <f>$A2504-$AV2504*$R2504</f>
        <v>0</v>
      </c>
    </row>
    <row r="2505" ht="21.95" customHeight="1" outlineLevel="3" s="1" customFormat="1">
      <c r="A2505" s="15"/>
      <c r="B2505" s="16">
        <v>590</v>
      </c>
      <c r="C2505" s="16">
        <v>885</v>
      </c>
      <c r="D2505" s="16">
        <v>29034</v>
      </c>
      <c r="E2505" s="18"/>
      <c r="F2505" s="18" t="s">
        <v>8001</v>
      </c>
      <c r="G2505" s="18" t="s">
        <v>8180</v>
      </c>
      <c r="H2505" s="18" t="s">
        <v>49</v>
      </c>
      <c r="I2505" s="18" t="s">
        <v>87</v>
      </c>
      <c r="J2505" s="16">
        <v>2026</v>
      </c>
      <c r="K2505" s="18" t="s">
        <v>8181</v>
      </c>
      <c r="L2505" s="16">
        <v>9785961491142</v>
      </c>
      <c r="M2505" s="18" t="s">
        <v>8182</v>
      </c>
      <c r="N2505" s="16">
        <v>32</v>
      </c>
      <c r="O2505" s="19">
        <v>0.15</v>
      </c>
      <c r="P2505" s="16">
        <v>180</v>
      </c>
      <c r="Q2505" s="16">
        <v>190</v>
      </c>
      <c r="R2505" s="16">
        <v>20</v>
      </c>
      <c r="S2505" s="18" t="s">
        <v>52</v>
      </c>
      <c r="T2505" s="18" t="s">
        <v>183</v>
      </c>
      <c r="U2505" s="17">
        <v>1500</v>
      </c>
      <c r="V2505" s="18" t="s">
        <v>77</v>
      </c>
      <c r="W2505" s="18" t="s">
        <v>184</v>
      </c>
      <c r="X2505" s="16">
        <v>10</v>
      </c>
      <c r="Y2505" s="43" t="str">
        <f>HYPERLINK("","")</f>
      </c>
      <c r="Z2505" s="18"/>
      <c r="AS2505" s="1">
        <f>IF($A2505&lt;&gt;0,1,0)</f>
        <v>0</v>
      </c>
      <c r="AT2505" s="1">
        <f>$A2505*$B2505</f>
        <v>0</v>
      </c>
      <c r="AU2505" s="1">
        <f>$A2505*$O2505</f>
        <v>0</v>
      </c>
      <c r="AV2505" s="1">
        <f>IF($R2505=0,0,INT($A2505/$R2505))</f>
        <v>0</v>
      </c>
      <c r="AW2505" s="1">
        <f>$A2505-$AV2505*$R2505</f>
        <v>0</v>
      </c>
    </row>
    <row r="2506" ht="24.95" customHeight="1" outlineLevel="3" s="1" customFormat="1">
      <c r="A2506" s="15"/>
      <c r="B2506" s="16">
        <v>540</v>
      </c>
      <c r="C2506" s="16">
        <v>837</v>
      </c>
      <c r="D2506" s="16">
        <v>32490</v>
      </c>
      <c r="E2506" s="18"/>
      <c r="F2506" s="18" t="s">
        <v>524</v>
      </c>
      <c r="G2506" s="18" t="s">
        <v>8183</v>
      </c>
      <c r="H2506" s="18" t="s">
        <v>49</v>
      </c>
      <c r="I2506" s="18" t="s">
        <v>87</v>
      </c>
      <c r="J2506" s="16">
        <v>2026</v>
      </c>
      <c r="K2506" s="18" t="s">
        <v>8184</v>
      </c>
      <c r="L2506" s="16">
        <v>9785006302358</v>
      </c>
      <c r="M2506" s="18" t="s">
        <v>8185</v>
      </c>
      <c r="N2506" s="16">
        <v>32</v>
      </c>
      <c r="O2506" s="19">
        <v>0.2</v>
      </c>
      <c r="P2506" s="16">
        <v>190</v>
      </c>
      <c r="Q2506" s="16">
        <v>180</v>
      </c>
      <c r="R2506" s="16">
        <v>20</v>
      </c>
      <c r="S2506" s="18" t="s">
        <v>52</v>
      </c>
      <c r="T2506" s="18" t="s">
        <v>183</v>
      </c>
      <c r="U2506" s="17">
        <v>1500</v>
      </c>
      <c r="V2506" s="18" t="s">
        <v>77</v>
      </c>
      <c r="W2506" s="18" t="s">
        <v>184</v>
      </c>
      <c r="X2506" s="16">
        <v>10</v>
      </c>
      <c r="Y2506" s="18" t="s">
        <v>7981</v>
      </c>
      <c r="Z2506" s="18"/>
      <c r="AS2506" s="1">
        <f>IF($A2506&lt;&gt;0,1,0)</f>
        <v>0</v>
      </c>
      <c r="AT2506" s="1">
        <f>$A2506*$B2506</f>
        <v>0</v>
      </c>
      <c r="AU2506" s="1">
        <f>$A2506*$O2506</f>
        <v>0</v>
      </c>
      <c r="AV2506" s="1">
        <f>IF($R2506=0,0,INT($A2506/$R2506))</f>
        <v>0</v>
      </c>
      <c r="AW2506" s="1">
        <f>$A2506-$AV2506*$R2506</f>
        <v>0</v>
      </c>
    </row>
    <row r="2507" ht="24.95" customHeight="1" outlineLevel="3" s="1" customFormat="1">
      <c r="A2507" s="15"/>
      <c r="B2507" s="16">
        <v>290</v>
      </c>
      <c r="C2507" s="16">
        <v>464</v>
      </c>
      <c r="D2507" s="16">
        <v>33309</v>
      </c>
      <c r="E2507" s="18"/>
      <c r="F2507" s="18" t="s">
        <v>8001</v>
      </c>
      <c r="G2507" s="18" t="s">
        <v>8186</v>
      </c>
      <c r="H2507" s="18" t="s">
        <v>49</v>
      </c>
      <c r="I2507" s="18" t="s">
        <v>87</v>
      </c>
      <c r="J2507" s="16">
        <v>2026</v>
      </c>
      <c r="K2507" s="18" t="s">
        <v>8187</v>
      </c>
      <c r="L2507" s="16">
        <v>9785006304239</v>
      </c>
      <c r="M2507" s="18" t="s">
        <v>8188</v>
      </c>
      <c r="N2507" s="16">
        <v>32</v>
      </c>
      <c r="O2507" s="19">
        <v>0.1</v>
      </c>
      <c r="P2507" s="16">
        <v>200</v>
      </c>
      <c r="Q2507" s="16">
        <v>260</v>
      </c>
      <c r="R2507" s="16">
        <v>20</v>
      </c>
      <c r="S2507" s="18" t="s">
        <v>328</v>
      </c>
      <c r="T2507" s="18" t="s">
        <v>183</v>
      </c>
      <c r="U2507" s="17">
        <v>2000</v>
      </c>
      <c r="V2507" s="18" t="s">
        <v>44</v>
      </c>
      <c r="W2507" s="18" t="s">
        <v>184</v>
      </c>
      <c r="X2507" s="16">
        <v>10</v>
      </c>
      <c r="Y2507" s="43" t="str">
        <f>HYPERLINK("","")</f>
      </c>
      <c r="Z2507" s="18" t="s">
        <v>1099</v>
      </c>
      <c r="AS2507" s="1">
        <f>IF($A2507&lt;&gt;0,1,0)</f>
        <v>0</v>
      </c>
      <c r="AT2507" s="1">
        <f>$A2507*$B2507</f>
        <v>0</v>
      </c>
      <c r="AU2507" s="1">
        <f>$A2507*$O2507</f>
        <v>0</v>
      </c>
      <c r="AV2507" s="1">
        <f>IF($R2507=0,0,INT($A2507/$R2507))</f>
        <v>0</v>
      </c>
      <c r="AW2507" s="1">
        <f>$A2507-$AV2507*$R2507</f>
        <v>0</v>
      </c>
    </row>
    <row r="2508" ht="24.95" customHeight="1" outlineLevel="3" s="1" customFormat="1">
      <c r="A2508" s="15"/>
      <c r="B2508" s="16">
        <v>320</v>
      </c>
      <c r="C2508" s="16">
        <v>512</v>
      </c>
      <c r="D2508" s="16">
        <v>35624</v>
      </c>
      <c r="E2508" s="18"/>
      <c r="F2508" s="18" t="s">
        <v>57</v>
      </c>
      <c r="G2508" s="18" t="s">
        <v>8189</v>
      </c>
      <c r="H2508" s="18" t="s">
        <v>49</v>
      </c>
      <c r="I2508" s="18"/>
      <c r="J2508" s="16">
        <v>2026</v>
      </c>
      <c r="K2508" s="18" t="s">
        <v>8190</v>
      </c>
      <c r="L2508" s="16">
        <v>9785006312586</v>
      </c>
      <c r="M2508" s="18" t="s">
        <v>8191</v>
      </c>
      <c r="N2508" s="16">
        <v>32</v>
      </c>
      <c r="O2508" s="19">
        <v>0.1</v>
      </c>
      <c r="P2508" s="16">
        <v>200</v>
      </c>
      <c r="Q2508" s="16">
        <v>260</v>
      </c>
      <c r="R2508" s="16">
        <v>20</v>
      </c>
      <c r="S2508" s="18" t="s">
        <v>328</v>
      </c>
      <c r="T2508" s="18" t="s">
        <v>183</v>
      </c>
      <c r="U2508" s="17">
        <v>1500</v>
      </c>
      <c r="V2508" s="18" t="s">
        <v>44</v>
      </c>
      <c r="W2508" s="18" t="s">
        <v>55</v>
      </c>
      <c r="X2508" s="16">
        <v>10</v>
      </c>
      <c r="Y2508" s="18" t="s">
        <v>8192</v>
      </c>
      <c r="Z2508" s="18"/>
      <c r="AS2508" s="1">
        <f>IF($A2508&lt;&gt;0,1,0)</f>
        <v>0</v>
      </c>
      <c r="AT2508" s="1">
        <f>$A2508*$B2508</f>
        <v>0</v>
      </c>
      <c r="AU2508" s="1">
        <f>$A2508*$O2508</f>
        <v>0</v>
      </c>
      <c r="AV2508" s="1">
        <f>IF($R2508=0,0,INT($A2508/$R2508))</f>
        <v>0</v>
      </c>
      <c r="AW2508" s="1">
        <f>$A2508-$AV2508*$R2508</f>
        <v>0</v>
      </c>
    </row>
    <row r="2509" ht="24.95" customHeight="1" outlineLevel="3" s="1" customFormat="1">
      <c r="A2509" s="15"/>
      <c r="B2509" s="16">
        <v>290</v>
      </c>
      <c r="C2509" s="16">
        <v>464</v>
      </c>
      <c r="D2509" s="16">
        <v>37334</v>
      </c>
      <c r="E2509" s="18"/>
      <c r="F2509" s="18" t="s">
        <v>57</v>
      </c>
      <c r="G2509" s="18" t="s">
        <v>8193</v>
      </c>
      <c r="H2509" s="18" t="s">
        <v>49</v>
      </c>
      <c r="I2509" s="18" t="s">
        <v>87</v>
      </c>
      <c r="J2509" s="16">
        <v>2026</v>
      </c>
      <c r="K2509" s="18" t="s">
        <v>8194</v>
      </c>
      <c r="L2509" s="16">
        <v>9785006319820</v>
      </c>
      <c r="M2509" s="18" t="s">
        <v>8195</v>
      </c>
      <c r="N2509" s="16">
        <v>32</v>
      </c>
      <c r="O2509" s="19">
        <v>0.1</v>
      </c>
      <c r="P2509" s="16">
        <v>200</v>
      </c>
      <c r="Q2509" s="16">
        <v>260</v>
      </c>
      <c r="R2509" s="16">
        <v>20</v>
      </c>
      <c r="S2509" s="18" t="s">
        <v>328</v>
      </c>
      <c r="T2509" s="18" t="s">
        <v>183</v>
      </c>
      <c r="U2509" s="17">
        <v>1500</v>
      </c>
      <c r="V2509" s="18" t="s">
        <v>44</v>
      </c>
      <c r="W2509" s="18" t="s">
        <v>55</v>
      </c>
      <c r="X2509" s="16">
        <v>10</v>
      </c>
      <c r="Y2509" s="18" t="s">
        <v>8196</v>
      </c>
      <c r="Z2509" s="18" t="s">
        <v>1869</v>
      </c>
      <c r="AS2509" s="1">
        <f>IF($A2509&lt;&gt;0,1,0)</f>
        <v>0</v>
      </c>
      <c r="AT2509" s="1">
        <f>$A2509*$B2509</f>
        <v>0</v>
      </c>
      <c r="AU2509" s="1">
        <f>$A2509*$O2509</f>
        <v>0</v>
      </c>
      <c r="AV2509" s="1">
        <f>IF($R2509=0,0,INT($A2509/$R2509))</f>
        <v>0</v>
      </c>
      <c r="AW2509" s="1">
        <f>$A2509-$AV2509*$R2509</f>
        <v>0</v>
      </c>
    </row>
    <row r="2510" ht="24.95" customHeight="1" outlineLevel="3" s="1" customFormat="1">
      <c r="A2510" s="15"/>
      <c r="B2510" s="16">
        <v>790</v>
      </c>
      <c r="C2510" s="17">
        <v>1146</v>
      </c>
      <c r="D2510" s="16">
        <v>23469</v>
      </c>
      <c r="E2510" s="18"/>
      <c r="F2510" s="18" t="s">
        <v>7907</v>
      </c>
      <c r="G2510" s="18" t="s">
        <v>8197</v>
      </c>
      <c r="H2510" s="18" t="s">
        <v>49</v>
      </c>
      <c r="I2510" s="18" t="s">
        <v>87</v>
      </c>
      <c r="J2510" s="16">
        <v>2021</v>
      </c>
      <c r="K2510" s="18" t="s">
        <v>8198</v>
      </c>
      <c r="L2510" s="16">
        <v>9785961472738</v>
      </c>
      <c r="M2510" s="18" t="s">
        <v>8199</v>
      </c>
      <c r="N2510" s="16">
        <v>14</v>
      </c>
      <c r="O2510" s="19">
        <v>0.38</v>
      </c>
      <c r="P2510" s="16">
        <v>225</v>
      </c>
      <c r="Q2510" s="16">
        <v>246</v>
      </c>
      <c r="R2510" s="16">
        <v>35</v>
      </c>
      <c r="S2510" s="18" t="s">
        <v>328</v>
      </c>
      <c r="T2510" s="18" t="s">
        <v>183</v>
      </c>
      <c r="U2510" s="17">
        <v>3000</v>
      </c>
      <c r="V2510" s="18" t="s">
        <v>77</v>
      </c>
      <c r="W2510" s="18" t="s">
        <v>184</v>
      </c>
      <c r="X2510" s="16">
        <v>10</v>
      </c>
      <c r="Y2510" s="18" t="s">
        <v>7931</v>
      </c>
      <c r="Z2510" s="18"/>
      <c r="AS2510" s="1">
        <f>IF($A2510&lt;&gt;0,1,0)</f>
        <v>0</v>
      </c>
      <c r="AT2510" s="1">
        <f>$A2510*$B2510</f>
        <v>0</v>
      </c>
      <c r="AU2510" s="1">
        <f>$A2510*$O2510</f>
        <v>0</v>
      </c>
      <c r="AV2510" s="1">
        <f>IF($R2510=0,0,INT($A2510/$R2510))</f>
        <v>0</v>
      </c>
      <c r="AW2510" s="1">
        <f>$A2510-$AV2510*$R2510</f>
        <v>0</v>
      </c>
    </row>
    <row r="2511" ht="24.95" customHeight="1" outlineLevel="3" s="1" customFormat="1">
      <c r="A2511" s="15"/>
      <c r="B2511" s="16">
        <v>234</v>
      </c>
      <c r="C2511" s="16">
        <v>374</v>
      </c>
      <c r="D2511" s="16">
        <v>27772</v>
      </c>
      <c r="E2511" s="18"/>
      <c r="F2511" s="18" t="s">
        <v>57</v>
      </c>
      <c r="G2511" s="18" t="s">
        <v>8200</v>
      </c>
      <c r="H2511" s="18" t="s">
        <v>49</v>
      </c>
      <c r="I2511" s="18"/>
      <c r="J2511" s="16">
        <v>2023</v>
      </c>
      <c r="K2511" s="18" t="s">
        <v>8201</v>
      </c>
      <c r="L2511" s="16">
        <v>9785961486285</v>
      </c>
      <c r="M2511" s="18" t="s">
        <v>8202</v>
      </c>
      <c r="N2511" s="16">
        <v>1</v>
      </c>
      <c r="O2511" s="19">
        <v>0.07</v>
      </c>
      <c r="P2511" s="16">
        <v>100</v>
      </c>
      <c r="Q2511" s="16">
        <v>100</v>
      </c>
      <c r="R2511" s="16">
        <v>45</v>
      </c>
      <c r="S2511" s="18" t="s">
        <v>83</v>
      </c>
      <c r="T2511" s="18" t="s">
        <v>183</v>
      </c>
      <c r="U2511" s="17">
        <v>2000</v>
      </c>
      <c r="V2511" s="18" t="s">
        <v>77</v>
      </c>
      <c r="W2511" s="18" t="s">
        <v>8203</v>
      </c>
      <c r="X2511" s="16">
        <v>22</v>
      </c>
      <c r="Y2511" s="18" t="s">
        <v>8204</v>
      </c>
      <c r="Z2511" s="18"/>
      <c r="AS2511" s="1">
        <f>IF($A2511&lt;&gt;0,1,0)</f>
        <v>0</v>
      </c>
      <c r="AT2511" s="1">
        <f>$A2511*$B2511</f>
        <v>0</v>
      </c>
      <c r="AU2511" s="1">
        <f>$A2511*$O2511</f>
        <v>0</v>
      </c>
      <c r="AV2511" s="1">
        <f>IF($R2511=0,0,INT($A2511/$R2511))</f>
        <v>0</v>
      </c>
      <c r="AW2511" s="1">
        <f>$A2511-$AV2511*$R2511</f>
        <v>0</v>
      </c>
    </row>
    <row r="2512" ht="24.95" customHeight="1" outlineLevel="3" s="1" customFormat="1">
      <c r="A2512" s="15"/>
      <c r="B2512" s="16">
        <v>234</v>
      </c>
      <c r="C2512" s="16">
        <v>374</v>
      </c>
      <c r="D2512" s="16">
        <v>27771</v>
      </c>
      <c r="E2512" s="18"/>
      <c r="F2512" s="18" t="s">
        <v>57</v>
      </c>
      <c r="G2512" s="18" t="s">
        <v>8205</v>
      </c>
      <c r="H2512" s="18" t="s">
        <v>49</v>
      </c>
      <c r="I2512" s="18"/>
      <c r="J2512" s="16">
        <v>2023</v>
      </c>
      <c r="K2512" s="18" t="s">
        <v>8206</v>
      </c>
      <c r="L2512" s="16">
        <v>9785961486278</v>
      </c>
      <c r="M2512" s="18" t="s">
        <v>8207</v>
      </c>
      <c r="N2512" s="16">
        <v>1</v>
      </c>
      <c r="O2512" s="19">
        <v>0.07</v>
      </c>
      <c r="P2512" s="16">
        <v>100</v>
      </c>
      <c r="Q2512" s="16">
        <v>100</v>
      </c>
      <c r="R2512" s="16">
        <v>45</v>
      </c>
      <c r="S2512" s="18" t="s">
        <v>83</v>
      </c>
      <c r="T2512" s="18" t="s">
        <v>183</v>
      </c>
      <c r="U2512" s="17">
        <v>2000</v>
      </c>
      <c r="V2512" s="18" t="s">
        <v>77</v>
      </c>
      <c r="W2512" s="18" t="s">
        <v>8203</v>
      </c>
      <c r="X2512" s="16">
        <v>22</v>
      </c>
      <c r="Y2512" s="18" t="s">
        <v>8204</v>
      </c>
      <c r="Z2512" s="18"/>
      <c r="AS2512" s="1">
        <f>IF($A2512&lt;&gt;0,1,0)</f>
        <v>0</v>
      </c>
      <c r="AT2512" s="1">
        <f>$A2512*$B2512</f>
        <v>0</v>
      </c>
      <c r="AU2512" s="1">
        <f>$A2512*$O2512</f>
        <v>0</v>
      </c>
      <c r="AV2512" s="1">
        <f>IF($R2512=0,0,INT($A2512/$R2512))</f>
        <v>0</v>
      </c>
      <c r="AW2512" s="1">
        <f>$A2512-$AV2512*$R2512</f>
        <v>0</v>
      </c>
    </row>
    <row r="2513" ht="24.95" customHeight="1" outlineLevel="3" s="1" customFormat="1">
      <c r="A2513" s="15"/>
      <c r="B2513" s="16">
        <v>290</v>
      </c>
      <c r="C2513" s="16">
        <v>464</v>
      </c>
      <c r="D2513" s="16">
        <v>34686</v>
      </c>
      <c r="E2513" s="18"/>
      <c r="F2513" s="18" t="s">
        <v>8001</v>
      </c>
      <c r="G2513" s="18" t="s">
        <v>8208</v>
      </c>
      <c r="H2513" s="18" t="s">
        <v>49</v>
      </c>
      <c r="I2513" s="18" t="s">
        <v>87</v>
      </c>
      <c r="J2513" s="16">
        <v>2025</v>
      </c>
      <c r="K2513" s="18" t="s">
        <v>8209</v>
      </c>
      <c r="L2513" s="16">
        <v>9785006308640</v>
      </c>
      <c r="M2513" s="18" t="s">
        <v>8210</v>
      </c>
      <c r="N2513" s="16">
        <v>32</v>
      </c>
      <c r="O2513" s="19">
        <v>0.1</v>
      </c>
      <c r="P2513" s="16">
        <v>210</v>
      </c>
      <c r="Q2513" s="16">
        <v>250</v>
      </c>
      <c r="R2513" s="16">
        <v>20</v>
      </c>
      <c r="S2513" s="18" t="s">
        <v>328</v>
      </c>
      <c r="T2513" s="18" t="s">
        <v>183</v>
      </c>
      <c r="U2513" s="17">
        <v>2000</v>
      </c>
      <c r="V2513" s="18" t="s">
        <v>44</v>
      </c>
      <c r="W2513" s="18" t="s">
        <v>55</v>
      </c>
      <c r="X2513" s="16">
        <v>10</v>
      </c>
      <c r="Y2513" s="18" t="s">
        <v>927</v>
      </c>
      <c r="Z2513" s="18"/>
      <c r="AS2513" s="1">
        <f>IF($A2513&lt;&gt;0,1,0)</f>
        <v>0</v>
      </c>
      <c r="AT2513" s="1">
        <f>$A2513*$B2513</f>
        <v>0</v>
      </c>
      <c r="AU2513" s="1">
        <f>$A2513*$O2513</f>
        <v>0</v>
      </c>
      <c r="AV2513" s="1">
        <f>IF($R2513=0,0,INT($A2513/$R2513))</f>
        <v>0</v>
      </c>
      <c r="AW2513" s="1">
        <f>$A2513-$AV2513*$R2513</f>
        <v>0</v>
      </c>
    </row>
    <row r="2514" ht="24.95" customHeight="1" outlineLevel="3" s="1" customFormat="1">
      <c r="A2514" s="15"/>
      <c r="B2514" s="16">
        <v>290</v>
      </c>
      <c r="C2514" s="16">
        <v>464</v>
      </c>
      <c r="D2514" s="16">
        <v>30973</v>
      </c>
      <c r="E2514" s="18"/>
      <c r="F2514" s="18" t="s">
        <v>57</v>
      </c>
      <c r="G2514" s="18" t="s">
        <v>8211</v>
      </c>
      <c r="H2514" s="18" t="s">
        <v>49</v>
      </c>
      <c r="I2514" s="18"/>
      <c r="J2514" s="16">
        <v>2024</v>
      </c>
      <c r="K2514" s="18" t="s">
        <v>8212</v>
      </c>
      <c r="L2514" s="16">
        <v>9785961497069</v>
      </c>
      <c r="M2514" s="18" t="s">
        <v>8213</v>
      </c>
      <c r="N2514" s="16">
        <v>56</v>
      </c>
      <c r="O2514" s="19">
        <v>0.17</v>
      </c>
      <c r="P2514" s="16">
        <v>200</v>
      </c>
      <c r="Q2514" s="16">
        <v>260</v>
      </c>
      <c r="R2514" s="16">
        <v>20</v>
      </c>
      <c r="S2514" s="18" t="s">
        <v>328</v>
      </c>
      <c r="T2514" s="18" t="s">
        <v>183</v>
      </c>
      <c r="U2514" s="17">
        <v>3000</v>
      </c>
      <c r="V2514" s="18" t="s">
        <v>44</v>
      </c>
      <c r="W2514" s="18" t="s">
        <v>184</v>
      </c>
      <c r="X2514" s="16">
        <v>10</v>
      </c>
      <c r="Y2514" s="18" t="s">
        <v>8214</v>
      </c>
      <c r="Z2514" s="18"/>
      <c r="AS2514" s="1">
        <f>IF($A2514&lt;&gt;0,1,0)</f>
        <v>0</v>
      </c>
      <c r="AT2514" s="1">
        <f>$A2514*$B2514</f>
        <v>0</v>
      </c>
      <c r="AU2514" s="1">
        <f>$A2514*$O2514</f>
        <v>0</v>
      </c>
      <c r="AV2514" s="1">
        <f>IF($R2514=0,0,INT($A2514/$R2514))</f>
        <v>0</v>
      </c>
      <c r="AW2514" s="1">
        <f>$A2514-$AV2514*$R2514</f>
        <v>0</v>
      </c>
    </row>
    <row r="2515" ht="24.95" customHeight="1" outlineLevel="3" s="1" customFormat="1">
      <c r="A2515" s="15"/>
      <c r="B2515" s="16">
        <v>590</v>
      </c>
      <c r="C2515" s="16">
        <v>885</v>
      </c>
      <c r="D2515" s="16">
        <v>30964</v>
      </c>
      <c r="E2515" s="18"/>
      <c r="F2515" s="18" t="s">
        <v>8082</v>
      </c>
      <c r="G2515" s="18" t="s">
        <v>8215</v>
      </c>
      <c r="H2515" s="18" t="s">
        <v>49</v>
      </c>
      <c r="I2515" s="18" t="s">
        <v>87</v>
      </c>
      <c r="J2515" s="16">
        <v>2024</v>
      </c>
      <c r="K2515" s="18" t="s">
        <v>8216</v>
      </c>
      <c r="L2515" s="16">
        <v>9785961497793</v>
      </c>
      <c r="M2515" s="18" t="s">
        <v>8217</v>
      </c>
      <c r="N2515" s="16">
        <v>112</v>
      </c>
      <c r="O2515" s="19">
        <v>0.24</v>
      </c>
      <c r="P2515" s="16">
        <v>140</v>
      </c>
      <c r="Q2515" s="16">
        <v>210</v>
      </c>
      <c r="R2515" s="16">
        <v>22</v>
      </c>
      <c r="S2515" s="18" t="s">
        <v>90</v>
      </c>
      <c r="T2515" s="18" t="s">
        <v>183</v>
      </c>
      <c r="U2515" s="17">
        <v>2000</v>
      </c>
      <c r="V2515" s="18" t="s">
        <v>77</v>
      </c>
      <c r="W2515" s="18" t="s">
        <v>55</v>
      </c>
      <c r="X2515" s="16">
        <v>10</v>
      </c>
      <c r="Y2515" s="18" t="s">
        <v>8040</v>
      </c>
      <c r="Z2515" s="18"/>
      <c r="AS2515" s="1">
        <f>IF($A2515&lt;&gt;0,1,0)</f>
        <v>0</v>
      </c>
      <c r="AT2515" s="1">
        <f>$A2515*$B2515</f>
        <v>0</v>
      </c>
      <c r="AU2515" s="1">
        <f>$A2515*$O2515</f>
        <v>0</v>
      </c>
      <c r="AV2515" s="1">
        <f>IF($R2515=0,0,INT($A2515/$R2515))</f>
        <v>0</v>
      </c>
      <c r="AW2515" s="1">
        <f>$A2515-$AV2515*$R2515</f>
        <v>0</v>
      </c>
    </row>
    <row r="2516" ht="24.95" customHeight="1" outlineLevel="3" s="1" customFormat="1">
      <c r="A2516" s="15"/>
      <c r="B2516" s="16">
        <v>590</v>
      </c>
      <c r="C2516" s="16">
        <v>885</v>
      </c>
      <c r="D2516" s="16">
        <v>31553</v>
      </c>
      <c r="E2516" s="18"/>
      <c r="F2516" s="18" t="s">
        <v>7932</v>
      </c>
      <c r="G2516" s="18" t="s">
        <v>8218</v>
      </c>
      <c r="H2516" s="18" t="s">
        <v>49</v>
      </c>
      <c r="I2516" s="18" t="s">
        <v>87</v>
      </c>
      <c r="J2516" s="16">
        <v>2024</v>
      </c>
      <c r="K2516" s="18" t="s">
        <v>8219</v>
      </c>
      <c r="L2516" s="16">
        <v>9785961499230</v>
      </c>
      <c r="M2516" s="18" t="s">
        <v>8220</v>
      </c>
      <c r="N2516" s="16">
        <v>112</v>
      </c>
      <c r="O2516" s="19">
        <v>0.24</v>
      </c>
      <c r="P2516" s="16">
        <v>140</v>
      </c>
      <c r="Q2516" s="16">
        <v>210</v>
      </c>
      <c r="R2516" s="16">
        <v>20</v>
      </c>
      <c r="S2516" s="18" t="s">
        <v>90</v>
      </c>
      <c r="T2516" s="18" t="s">
        <v>183</v>
      </c>
      <c r="U2516" s="17">
        <v>2000</v>
      </c>
      <c r="V2516" s="18" t="s">
        <v>77</v>
      </c>
      <c r="W2516" s="18" t="s">
        <v>55</v>
      </c>
      <c r="X2516" s="16">
        <v>10</v>
      </c>
      <c r="Y2516" s="18" t="s">
        <v>528</v>
      </c>
      <c r="Z2516" s="18"/>
      <c r="AS2516" s="1">
        <f>IF($A2516&lt;&gt;0,1,0)</f>
        <v>0</v>
      </c>
      <c r="AT2516" s="1">
        <f>$A2516*$B2516</f>
        <v>0</v>
      </c>
      <c r="AU2516" s="1">
        <f>$A2516*$O2516</f>
        <v>0</v>
      </c>
      <c r="AV2516" s="1">
        <f>IF($R2516=0,0,INT($A2516/$R2516))</f>
        <v>0</v>
      </c>
      <c r="AW2516" s="1">
        <f>$A2516-$AV2516*$R2516</f>
        <v>0</v>
      </c>
    </row>
    <row r="2517" ht="24.95" customHeight="1" outlineLevel="3" s="1" customFormat="1">
      <c r="A2517" s="15"/>
      <c r="B2517" s="16">
        <v>520</v>
      </c>
      <c r="C2517" s="16">
        <v>806</v>
      </c>
      <c r="D2517" s="16">
        <v>27253</v>
      </c>
      <c r="E2517" s="18"/>
      <c r="F2517" s="18" t="s">
        <v>7932</v>
      </c>
      <c r="G2517" s="18" t="s">
        <v>8221</v>
      </c>
      <c r="H2517" s="18" t="s">
        <v>49</v>
      </c>
      <c r="I2517" s="18" t="s">
        <v>87</v>
      </c>
      <c r="J2517" s="16">
        <v>2024</v>
      </c>
      <c r="K2517" s="18" t="s">
        <v>8222</v>
      </c>
      <c r="L2517" s="16">
        <v>9785961484397</v>
      </c>
      <c r="M2517" s="18" t="s">
        <v>8223</v>
      </c>
      <c r="N2517" s="16">
        <v>112</v>
      </c>
      <c r="O2517" s="19">
        <v>0.23</v>
      </c>
      <c r="P2517" s="16">
        <v>130</v>
      </c>
      <c r="Q2517" s="16">
        <v>210</v>
      </c>
      <c r="R2517" s="16">
        <v>22</v>
      </c>
      <c r="S2517" s="18" t="s">
        <v>90</v>
      </c>
      <c r="T2517" s="18" t="s">
        <v>183</v>
      </c>
      <c r="U2517" s="17">
        <v>2000</v>
      </c>
      <c r="V2517" s="18" t="s">
        <v>77</v>
      </c>
      <c r="W2517" s="18" t="s">
        <v>55</v>
      </c>
      <c r="X2517" s="16">
        <v>10</v>
      </c>
      <c r="Y2517" s="18" t="s">
        <v>8013</v>
      </c>
      <c r="Z2517" s="18"/>
      <c r="AS2517" s="1">
        <f>IF($A2517&lt;&gt;0,1,0)</f>
        <v>0</v>
      </c>
      <c r="AT2517" s="1">
        <f>$A2517*$B2517</f>
        <v>0</v>
      </c>
      <c r="AU2517" s="1">
        <f>$A2517*$O2517</f>
        <v>0</v>
      </c>
      <c r="AV2517" s="1">
        <f>IF($R2517=0,0,INT($A2517/$R2517))</f>
        <v>0</v>
      </c>
      <c r="AW2517" s="1">
        <f>$A2517-$AV2517*$R2517</f>
        <v>0</v>
      </c>
    </row>
    <row r="2518" ht="24.95" customHeight="1" outlineLevel="3" s="1" customFormat="1">
      <c r="A2518" s="15"/>
      <c r="B2518" s="16">
        <v>390</v>
      </c>
      <c r="C2518" s="16">
        <v>624</v>
      </c>
      <c r="D2518" s="16">
        <v>23926</v>
      </c>
      <c r="E2518" s="18"/>
      <c r="F2518" s="18" t="s">
        <v>8001</v>
      </c>
      <c r="G2518" s="18" t="s">
        <v>8224</v>
      </c>
      <c r="H2518" s="18" t="s">
        <v>49</v>
      </c>
      <c r="I2518" s="18" t="s">
        <v>87</v>
      </c>
      <c r="J2518" s="16">
        <v>2022</v>
      </c>
      <c r="K2518" s="18" t="s">
        <v>8225</v>
      </c>
      <c r="L2518" s="16">
        <v>9785961474343</v>
      </c>
      <c r="M2518" s="18" t="s">
        <v>8226</v>
      </c>
      <c r="N2518" s="16">
        <v>32</v>
      </c>
      <c r="O2518" s="19">
        <v>0.28</v>
      </c>
      <c r="P2518" s="16">
        <v>206</v>
      </c>
      <c r="Q2518" s="16">
        <v>207</v>
      </c>
      <c r="R2518" s="16">
        <v>18</v>
      </c>
      <c r="S2518" s="18" t="s">
        <v>83</v>
      </c>
      <c r="T2518" s="18" t="s">
        <v>183</v>
      </c>
      <c r="U2518" s="17">
        <v>3000</v>
      </c>
      <c r="V2518" s="18" t="s">
        <v>77</v>
      </c>
      <c r="W2518" s="18" t="s">
        <v>184</v>
      </c>
      <c r="X2518" s="16">
        <v>10</v>
      </c>
      <c r="Y2518" s="18" t="s">
        <v>8009</v>
      </c>
      <c r="Z2518" s="18"/>
      <c r="AS2518" s="1">
        <f>IF($A2518&lt;&gt;0,1,0)</f>
        <v>0</v>
      </c>
      <c r="AT2518" s="1">
        <f>$A2518*$B2518</f>
        <v>0</v>
      </c>
      <c r="AU2518" s="1">
        <f>$A2518*$O2518</f>
        <v>0</v>
      </c>
      <c r="AV2518" s="1">
        <f>IF($R2518=0,0,INT($A2518/$R2518))</f>
        <v>0</v>
      </c>
      <c r="AW2518" s="1">
        <f>$A2518-$AV2518*$R2518</f>
        <v>0</v>
      </c>
    </row>
    <row r="2519" ht="24.95" customHeight="1" outlineLevel="3" s="1" customFormat="1">
      <c r="A2519" s="25"/>
      <c r="B2519" s="26">
        <v>290</v>
      </c>
      <c r="C2519" s="26">
        <v>464</v>
      </c>
      <c r="D2519" s="26">
        <v>29125</v>
      </c>
      <c r="E2519" s="27"/>
      <c r="F2519" s="27" t="s">
        <v>8001</v>
      </c>
      <c r="G2519" s="27" t="s">
        <v>8227</v>
      </c>
      <c r="H2519" s="27" t="s">
        <v>49</v>
      </c>
      <c r="I2519" s="27" t="s">
        <v>87</v>
      </c>
      <c r="J2519" s="26">
        <v>2024</v>
      </c>
      <c r="K2519" s="27" t="s">
        <v>8228</v>
      </c>
      <c r="L2519" s="26">
        <v>9785961491548</v>
      </c>
      <c r="M2519" s="27" t="s">
        <v>8229</v>
      </c>
      <c r="N2519" s="26">
        <v>56</v>
      </c>
      <c r="O2519" s="28">
        <v>0.16</v>
      </c>
      <c r="P2519" s="26">
        <v>200</v>
      </c>
      <c r="Q2519" s="26">
        <v>260</v>
      </c>
      <c r="R2519" s="26">
        <v>20</v>
      </c>
      <c r="S2519" s="27" t="s">
        <v>328</v>
      </c>
      <c r="T2519" s="27" t="s">
        <v>183</v>
      </c>
      <c r="U2519" s="29">
        <v>2000</v>
      </c>
      <c r="V2519" s="27" t="s">
        <v>44</v>
      </c>
      <c r="W2519" s="27" t="s">
        <v>55</v>
      </c>
      <c r="X2519" s="26">
        <v>10</v>
      </c>
      <c r="Y2519" s="27" t="s">
        <v>8009</v>
      </c>
      <c r="Z2519" s="27"/>
      <c r="AS2519" s="1">
        <f>IF($A2519&lt;&gt;0,1,0)</f>
        <v>0</v>
      </c>
      <c r="AT2519" s="1">
        <f>$A2519*$B2519</f>
        <v>0</v>
      </c>
      <c r="AU2519" s="1">
        <f>$A2519*$O2519</f>
        <v>0</v>
      </c>
      <c r="AV2519" s="1">
        <f>IF($R2519=0,0,INT($A2519/$R2519))</f>
        <v>0</v>
      </c>
      <c r="AW2519" s="1">
        <f>$A2519-$AV2519*$R2519</f>
        <v>0</v>
      </c>
    </row>
    <row r="2520" ht="24.95" customHeight="1" outlineLevel="3" s="1" customFormat="1">
      <c r="A2520" s="15"/>
      <c r="B2520" s="16">
        <v>490</v>
      </c>
      <c r="C2520" s="16">
        <v>760</v>
      </c>
      <c r="D2520" s="16">
        <v>26530</v>
      </c>
      <c r="E2520" s="18"/>
      <c r="F2520" s="18" t="s">
        <v>57</v>
      </c>
      <c r="G2520" s="18" t="s">
        <v>8230</v>
      </c>
      <c r="H2520" s="18" t="s">
        <v>49</v>
      </c>
      <c r="I2520" s="18" t="s">
        <v>87</v>
      </c>
      <c r="J2520" s="16">
        <v>2022</v>
      </c>
      <c r="K2520" s="18" t="s">
        <v>8231</v>
      </c>
      <c r="L2520" s="16">
        <v>9785961482089</v>
      </c>
      <c r="M2520" s="18" t="s">
        <v>8232</v>
      </c>
      <c r="N2520" s="16">
        <v>72</v>
      </c>
      <c r="O2520" s="19">
        <v>0.4</v>
      </c>
      <c r="P2520" s="16">
        <v>195</v>
      </c>
      <c r="Q2520" s="16">
        <v>270</v>
      </c>
      <c r="R2520" s="16">
        <v>14</v>
      </c>
      <c r="S2520" s="18" t="s">
        <v>83</v>
      </c>
      <c r="T2520" s="18" t="s">
        <v>183</v>
      </c>
      <c r="U2520" s="17">
        <v>3000</v>
      </c>
      <c r="V2520" s="18" t="s">
        <v>77</v>
      </c>
      <c r="W2520" s="18" t="s">
        <v>55</v>
      </c>
      <c r="X2520" s="16">
        <v>10</v>
      </c>
      <c r="Y2520" s="18" t="s">
        <v>8005</v>
      </c>
      <c r="Z2520" s="18"/>
      <c r="AS2520" s="1">
        <f>IF($A2520&lt;&gt;0,1,0)</f>
        <v>0</v>
      </c>
      <c r="AT2520" s="1">
        <f>$A2520*$B2520</f>
        <v>0</v>
      </c>
      <c r="AU2520" s="1">
        <f>$A2520*$O2520</f>
        <v>0</v>
      </c>
      <c r="AV2520" s="1">
        <f>IF($R2520=0,0,INT($A2520/$R2520))</f>
        <v>0</v>
      </c>
      <c r="AW2520" s="1">
        <f>$A2520-$AV2520*$R2520</f>
        <v>0</v>
      </c>
    </row>
    <row r="2521" ht="24.95" customHeight="1" outlineLevel="3" s="1" customFormat="1">
      <c r="A2521" s="15"/>
      <c r="B2521" s="16">
        <v>320</v>
      </c>
      <c r="C2521" s="16">
        <v>512</v>
      </c>
      <c r="D2521" s="16">
        <v>30290</v>
      </c>
      <c r="E2521" s="18"/>
      <c r="F2521" s="18" t="s">
        <v>57</v>
      </c>
      <c r="G2521" s="18" t="s">
        <v>8233</v>
      </c>
      <c r="H2521" s="18" t="s">
        <v>49</v>
      </c>
      <c r="I2521" s="18" t="s">
        <v>87</v>
      </c>
      <c r="J2521" s="16">
        <v>2024</v>
      </c>
      <c r="K2521" s="18" t="s">
        <v>8234</v>
      </c>
      <c r="L2521" s="16">
        <v>9785961495126</v>
      </c>
      <c r="M2521" s="18" t="s">
        <v>8235</v>
      </c>
      <c r="N2521" s="16">
        <v>32</v>
      </c>
      <c r="O2521" s="19">
        <v>0.12</v>
      </c>
      <c r="P2521" s="16">
        <v>200</v>
      </c>
      <c r="Q2521" s="16">
        <v>260</v>
      </c>
      <c r="R2521" s="16">
        <v>20</v>
      </c>
      <c r="S2521" s="18" t="s">
        <v>328</v>
      </c>
      <c r="T2521" s="18" t="s">
        <v>183</v>
      </c>
      <c r="U2521" s="17">
        <v>2000</v>
      </c>
      <c r="V2521" s="18" t="s">
        <v>44</v>
      </c>
      <c r="W2521" s="18" t="s">
        <v>55</v>
      </c>
      <c r="X2521" s="16">
        <v>10</v>
      </c>
      <c r="Y2521" s="18" t="s">
        <v>8214</v>
      </c>
      <c r="Z2521" s="18"/>
      <c r="AS2521" s="1">
        <f>IF($A2521&lt;&gt;0,1,0)</f>
        <v>0</v>
      </c>
      <c r="AT2521" s="1">
        <f>$A2521*$B2521</f>
        <v>0</v>
      </c>
      <c r="AU2521" s="1">
        <f>$A2521*$O2521</f>
        <v>0</v>
      </c>
      <c r="AV2521" s="1">
        <f>IF($R2521=0,0,INT($A2521/$R2521))</f>
        <v>0</v>
      </c>
      <c r="AW2521" s="1">
        <f>$A2521-$AV2521*$R2521</f>
        <v>0</v>
      </c>
    </row>
    <row r="2522" ht="24.95" customHeight="1" outlineLevel="3" s="1" customFormat="1">
      <c r="A2522" s="15"/>
      <c r="B2522" s="16">
        <v>790</v>
      </c>
      <c r="C2522" s="17">
        <v>1146</v>
      </c>
      <c r="D2522" s="16">
        <v>20669</v>
      </c>
      <c r="E2522" s="18"/>
      <c r="F2522" s="18" t="s">
        <v>524</v>
      </c>
      <c r="G2522" s="18" t="s">
        <v>8236</v>
      </c>
      <c r="H2522" s="18" t="s">
        <v>49</v>
      </c>
      <c r="I2522" s="18" t="s">
        <v>87</v>
      </c>
      <c r="J2522" s="16">
        <v>2023</v>
      </c>
      <c r="K2522" s="18" t="s">
        <v>8237</v>
      </c>
      <c r="L2522" s="16">
        <v>9785961441352</v>
      </c>
      <c r="M2522" s="18" t="s">
        <v>8238</v>
      </c>
      <c r="N2522" s="16">
        <v>14</v>
      </c>
      <c r="O2522" s="19">
        <v>0.25</v>
      </c>
      <c r="P2522" s="16">
        <v>220</v>
      </c>
      <c r="Q2522" s="16">
        <v>250</v>
      </c>
      <c r="R2522" s="16">
        <v>40</v>
      </c>
      <c r="S2522" s="18" t="s">
        <v>83</v>
      </c>
      <c r="T2522" s="18" t="s">
        <v>183</v>
      </c>
      <c r="U2522" s="17">
        <v>5000</v>
      </c>
      <c r="V2522" s="18" t="s">
        <v>44</v>
      </c>
      <c r="W2522" s="18" t="s">
        <v>184</v>
      </c>
      <c r="X2522" s="16">
        <v>10</v>
      </c>
      <c r="Y2522" s="18" t="s">
        <v>528</v>
      </c>
      <c r="Z2522" s="18"/>
      <c r="AS2522" s="1">
        <f>IF($A2522&lt;&gt;0,1,0)</f>
        <v>0</v>
      </c>
      <c r="AT2522" s="1">
        <f>$A2522*$B2522</f>
        <v>0</v>
      </c>
      <c r="AU2522" s="1">
        <f>$A2522*$O2522</f>
        <v>0</v>
      </c>
      <c r="AV2522" s="1">
        <f>IF($R2522=0,0,INT($A2522/$R2522))</f>
        <v>0</v>
      </c>
      <c r="AW2522" s="1">
        <f>$A2522-$AV2522*$R2522</f>
        <v>0</v>
      </c>
    </row>
    <row r="2523" ht="24.95" customHeight="1" outlineLevel="3" s="1" customFormat="1">
      <c r="A2523" s="15"/>
      <c r="B2523" s="16">
        <v>320</v>
      </c>
      <c r="C2523" s="16">
        <v>512</v>
      </c>
      <c r="D2523" s="16">
        <v>37623</v>
      </c>
      <c r="E2523" s="18" t="s">
        <v>923</v>
      </c>
      <c r="F2523" s="18" t="s">
        <v>57</v>
      </c>
      <c r="G2523" s="18" t="s">
        <v>924</v>
      </c>
      <c r="H2523" s="18" t="s">
        <v>49</v>
      </c>
      <c r="I2523" s="18"/>
      <c r="J2523" s="16">
        <v>2026</v>
      </c>
      <c r="K2523" s="18" t="s">
        <v>925</v>
      </c>
      <c r="L2523" s="16">
        <v>9785002831289</v>
      </c>
      <c r="M2523" s="18" t="s">
        <v>926</v>
      </c>
      <c r="N2523" s="16">
        <v>56</v>
      </c>
      <c r="O2523" s="19">
        <v>0.16</v>
      </c>
      <c r="P2523" s="16">
        <v>200</v>
      </c>
      <c r="Q2523" s="16">
        <v>250</v>
      </c>
      <c r="R2523" s="16">
        <v>20</v>
      </c>
      <c r="S2523" s="18" t="s">
        <v>328</v>
      </c>
      <c r="T2523" s="18" t="s">
        <v>183</v>
      </c>
      <c r="U2523" s="17">
        <v>2000</v>
      </c>
      <c r="V2523" s="18" t="s">
        <v>44</v>
      </c>
      <c r="W2523" s="18" t="s">
        <v>55</v>
      </c>
      <c r="X2523" s="16">
        <v>10</v>
      </c>
      <c r="Y2523" s="18" t="s">
        <v>927</v>
      </c>
      <c r="Z2523" s="18" t="s">
        <v>113</v>
      </c>
      <c r="AS2523" s="1">
        <f>IF($A2523&lt;&gt;0,1,0)</f>
        <v>0</v>
      </c>
      <c r="AT2523" s="1">
        <f>$A2523*$B2523</f>
        <v>0</v>
      </c>
      <c r="AU2523" s="1">
        <f>$A2523*$O2523</f>
        <v>0</v>
      </c>
      <c r="AV2523" s="1">
        <f>IF($R2523=0,0,INT($A2523/$R2523))</f>
        <v>0</v>
      </c>
      <c r="AW2523" s="1">
        <f>$A2523-$AV2523*$R2523</f>
        <v>0</v>
      </c>
    </row>
    <row r="2524" ht="24.95" customHeight="1" outlineLevel="3" s="1" customFormat="1">
      <c r="A2524" s="15"/>
      <c r="B2524" s="16">
        <v>320</v>
      </c>
      <c r="C2524" s="16">
        <v>512</v>
      </c>
      <c r="D2524" s="16">
        <v>37658</v>
      </c>
      <c r="E2524" s="18" t="s">
        <v>928</v>
      </c>
      <c r="F2524" s="18" t="s">
        <v>57</v>
      </c>
      <c r="G2524" s="18" t="s">
        <v>929</v>
      </c>
      <c r="H2524" s="18" t="s">
        <v>49</v>
      </c>
      <c r="I2524" s="18"/>
      <c r="J2524" s="16">
        <v>2026</v>
      </c>
      <c r="K2524" s="18" t="s">
        <v>930</v>
      </c>
      <c r="L2524" s="16">
        <v>9785002831272</v>
      </c>
      <c r="M2524" s="18" t="s">
        <v>931</v>
      </c>
      <c r="N2524" s="16">
        <v>56</v>
      </c>
      <c r="O2524" s="19">
        <v>0.16</v>
      </c>
      <c r="P2524" s="16">
        <v>200</v>
      </c>
      <c r="Q2524" s="16">
        <v>260</v>
      </c>
      <c r="R2524" s="16">
        <v>20</v>
      </c>
      <c r="S2524" s="18" t="s">
        <v>328</v>
      </c>
      <c r="T2524" s="18" t="s">
        <v>183</v>
      </c>
      <c r="U2524" s="17">
        <v>5000</v>
      </c>
      <c r="V2524" s="18" t="s">
        <v>44</v>
      </c>
      <c r="W2524" s="18" t="s">
        <v>55</v>
      </c>
      <c r="X2524" s="16">
        <v>10</v>
      </c>
      <c r="Y2524" s="18" t="s">
        <v>927</v>
      </c>
      <c r="Z2524" s="18" t="s">
        <v>113</v>
      </c>
      <c r="AS2524" s="1">
        <f>IF($A2524&lt;&gt;0,1,0)</f>
        <v>0</v>
      </c>
      <c r="AT2524" s="1">
        <f>$A2524*$B2524</f>
        <v>0</v>
      </c>
      <c r="AU2524" s="1">
        <f>$A2524*$O2524</f>
        <v>0</v>
      </c>
      <c r="AV2524" s="1">
        <f>IF($R2524=0,0,INT($A2524/$R2524))</f>
        <v>0</v>
      </c>
      <c r="AW2524" s="1">
        <f>$A2524-$AV2524*$R2524</f>
        <v>0</v>
      </c>
    </row>
    <row r="2525" ht="24.95" customHeight="1" outlineLevel="3" s="1" customFormat="1">
      <c r="A2525" s="15"/>
      <c r="B2525" s="16">
        <v>340</v>
      </c>
      <c r="C2525" s="16">
        <v>544</v>
      </c>
      <c r="D2525" s="16">
        <v>25041</v>
      </c>
      <c r="E2525" s="18"/>
      <c r="F2525" s="18" t="s">
        <v>7932</v>
      </c>
      <c r="G2525" s="18" t="s">
        <v>8239</v>
      </c>
      <c r="H2525" s="18" t="s">
        <v>49</v>
      </c>
      <c r="I2525" s="18" t="s">
        <v>87</v>
      </c>
      <c r="J2525" s="16">
        <v>2022</v>
      </c>
      <c r="K2525" s="18" t="s">
        <v>8240</v>
      </c>
      <c r="L2525" s="16">
        <v>9785961476675</v>
      </c>
      <c r="M2525" s="18" t="s">
        <v>8241</v>
      </c>
      <c r="N2525" s="16">
        <v>32</v>
      </c>
      <c r="O2525" s="19">
        <v>0.19</v>
      </c>
      <c r="P2525" s="16">
        <v>177</v>
      </c>
      <c r="Q2525" s="16">
        <v>184</v>
      </c>
      <c r="R2525" s="16">
        <v>20</v>
      </c>
      <c r="S2525" s="18" t="s">
        <v>83</v>
      </c>
      <c r="T2525" s="18" t="s">
        <v>183</v>
      </c>
      <c r="U2525" s="17">
        <v>3000</v>
      </c>
      <c r="V2525" s="18" t="s">
        <v>77</v>
      </c>
      <c r="W2525" s="18" t="s">
        <v>55</v>
      </c>
      <c r="X2525" s="16">
        <v>10</v>
      </c>
      <c r="Y2525" s="18" t="s">
        <v>8009</v>
      </c>
      <c r="Z2525" s="18"/>
      <c r="AS2525" s="1">
        <f>IF($A2525&lt;&gt;0,1,0)</f>
        <v>0</v>
      </c>
      <c r="AT2525" s="1">
        <f>$A2525*$B2525</f>
        <v>0</v>
      </c>
      <c r="AU2525" s="1">
        <f>$A2525*$O2525</f>
        <v>0</v>
      </c>
      <c r="AV2525" s="1">
        <f>IF($R2525=0,0,INT($A2525/$R2525))</f>
        <v>0</v>
      </c>
      <c r="AW2525" s="1">
        <f>$A2525-$AV2525*$R2525</f>
        <v>0</v>
      </c>
    </row>
    <row r="2526" ht="24.95" customHeight="1" outlineLevel="3" s="1" customFormat="1">
      <c r="A2526" s="15"/>
      <c r="B2526" s="16">
        <v>360</v>
      </c>
      <c r="C2526" s="16">
        <v>576</v>
      </c>
      <c r="D2526" s="16">
        <v>26449</v>
      </c>
      <c r="E2526" s="18"/>
      <c r="F2526" s="18" t="s">
        <v>7932</v>
      </c>
      <c r="G2526" s="18" t="s">
        <v>8242</v>
      </c>
      <c r="H2526" s="18" t="s">
        <v>49</v>
      </c>
      <c r="I2526" s="18" t="s">
        <v>87</v>
      </c>
      <c r="J2526" s="16">
        <v>2023</v>
      </c>
      <c r="K2526" s="18" t="s">
        <v>8243</v>
      </c>
      <c r="L2526" s="16">
        <v>9785961481747</v>
      </c>
      <c r="M2526" s="18" t="s">
        <v>8244</v>
      </c>
      <c r="N2526" s="16">
        <v>32</v>
      </c>
      <c r="O2526" s="19">
        <v>0.19</v>
      </c>
      <c r="P2526" s="16">
        <v>177</v>
      </c>
      <c r="Q2526" s="16">
        <v>184</v>
      </c>
      <c r="R2526" s="16">
        <v>20</v>
      </c>
      <c r="S2526" s="18" t="s">
        <v>83</v>
      </c>
      <c r="T2526" s="18" t="s">
        <v>183</v>
      </c>
      <c r="U2526" s="17">
        <v>1500</v>
      </c>
      <c r="V2526" s="18" t="s">
        <v>77</v>
      </c>
      <c r="W2526" s="18" t="s">
        <v>55</v>
      </c>
      <c r="X2526" s="16">
        <v>10</v>
      </c>
      <c r="Y2526" s="18" t="s">
        <v>7922</v>
      </c>
      <c r="Z2526" s="18"/>
      <c r="AS2526" s="1">
        <f>IF($A2526&lt;&gt;0,1,0)</f>
        <v>0</v>
      </c>
      <c r="AT2526" s="1">
        <f>$A2526*$B2526</f>
        <v>0</v>
      </c>
      <c r="AU2526" s="1">
        <f>$A2526*$O2526</f>
        <v>0</v>
      </c>
      <c r="AV2526" s="1">
        <f>IF($R2526=0,0,INT($A2526/$R2526))</f>
        <v>0</v>
      </c>
      <c r="AW2526" s="1">
        <f>$A2526-$AV2526*$R2526</f>
        <v>0</v>
      </c>
    </row>
    <row r="2527" ht="24.95" customHeight="1" outlineLevel="3" s="1" customFormat="1">
      <c r="A2527" s="15"/>
      <c r="B2527" s="16">
        <v>340</v>
      </c>
      <c r="C2527" s="16">
        <v>544</v>
      </c>
      <c r="D2527" s="16">
        <v>25040</v>
      </c>
      <c r="E2527" s="18"/>
      <c r="F2527" s="18" t="s">
        <v>7932</v>
      </c>
      <c r="G2527" s="18" t="s">
        <v>8245</v>
      </c>
      <c r="H2527" s="18" t="s">
        <v>49</v>
      </c>
      <c r="I2527" s="18" t="s">
        <v>87</v>
      </c>
      <c r="J2527" s="16">
        <v>2022</v>
      </c>
      <c r="K2527" s="18" t="s">
        <v>8246</v>
      </c>
      <c r="L2527" s="16">
        <v>9785961476668</v>
      </c>
      <c r="M2527" s="18" t="s">
        <v>8247</v>
      </c>
      <c r="N2527" s="16">
        <v>32</v>
      </c>
      <c r="O2527" s="19">
        <v>0.19</v>
      </c>
      <c r="P2527" s="16">
        <v>177</v>
      </c>
      <c r="Q2527" s="16">
        <v>184</v>
      </c>
      <c r="R2527" s="16">
        <v>20</v>
      </c>
      <c r="S2527" s="18" t="s">
        <v>83</v>
      </c>
      <c r="T2527" s="18" t="s">
        <v>183</v>
      </c>
      <c r="U2527" s="17">
        <v>3000</v>
      </c>
      <c r="V2527" s="18" t="s">
        <v>77</v>
      </c>
      <c r="W2527" s="18" t="s">
        <v>55</v>
      </c>
      <c r="X2527" s="16">
        <v>10</v>
      </c>
      <c r="Y2527" s="18" t="s">
        <v>8009</v>
      </c>
      <c r="Z2527" s="18"/>
      <c r="AS2527" s="1">
        <f>IF($A2527&lt;&gt;0,1,0)</f>
        <v>0</v>
      </c>
      <c r="AT2527" s="1">
        <f>$A2527*$B2527</f>
        <v>0</v>
      </c>
      <c r="AU2527" s="1">
        <f>$A2527*$O2527</f>
        <v>0</v>
      </c>
      <c r="AV2527" s="1">
        <f>IF($R2527=0,0,INT($A2527/$R2527))</f>
        <v>0</v>
      </c>
      <c r="AW2527" s="1">
        <f>$A2527-$AV2527*$R2527</f>
        <v>0</v>
      </c>
    </row>
    <row r="2528" ht="24.95" customHeight="1" outlineLevel="3" s="1" customFormat="1">
      <c r="A2528" s="15"/>
      <c r="B2528" s="16">
        <v>490</v>
      </c>
      <c r="C2528" s="16">
        <v>760</v>
      </c>
      <c r="D2528" s="16">
        <v>23662</v>
      </c>
      <c r="E2528" s="18"/>
      <c r="F2528" s="18" t="s">
        <v>7932</v>
      </c>
      <c r="G2528" s="18" t="s">
        <v>8248</v>
      </c>
      <c r="H2528" s="18" t="s">
        <v>49</v>
      </c>
      <c r="I2528" s="18" t="s">
        <v>87</v>
      </c>
      <c r="J2528" s="16">
        <v>2025</v>
      </c>
      <c r="K2528" s="18" t="s">
        <v>8249</v>
      </c>
      <c r="L2528" s="16">
        <v>9785961476002</v>
      </c>
      <c r="M2528" s="18" t="s">
        <v>8250</v>
      </c>
      <c r="N2528" s="16">
        <v>32</v>
      </c>
      <c r="O2528" s="19">
        <v>0.19</v>
      </c>
      <c r="P2528" s="16">
        <v>180</v>
      </c>
      <c r="Q2528" s="16">
        <v>190</v>
      </c>
      <c r="R2528" s="16">
        <v>20</v>
      </c>
      <c r="S2528" s="18" t="s">
        <v>83</v>
      </c>
      <c r="T2528" s="18" t="s">
        <v>183</v>
      </c>
      <c r="U2528" s="17">
        <v>1500</v>
      </c>
      <c r="V2528" s="18" t="s">
        <v>77</v>
      </c>
      <c r="W2528" s="18" t="s">
        <v>55</v>
      </c>
      <c r="X2528" s="16">
        <v>10</v>
      </c>
      <c r="Y2528" s="18" t="s">
        <v>8069</v>
      </c>
      <c r="Z2528" s="18"/>
      <c r="AS2528" s="1">
        <f>IF($A2528&lt;&gt;0,1,0)</f>
        <v>0</v>
      </c>
      <c r="AT2528" s="1">
        <f>$A2528*$B2528</f>
        <v>0</v>
      </c>
      <c r="AU2528" s="1">
        <f>$A2528*$O2528</f>
        <v>0</v>
      </c>
      <c r="AV2528" s="1">
        <f>IF($R2528=0,0,INT($A2528/$R2528))</f>
        <v>0</v>
      </c>
      <c r="AW2528" s="1">
        <f>$A2528-$AV2528*$R2528</f>
        <v>0</v>
      </c>
    </row>
    <row r="2529" ht="24.95" customHeight="1" outlineLevel="3" s="1" customFormat="1">
      <c r="A2529" s="15"/>
      <c r="B2529" s="16">
        <v>360</v>
      </c>
      <c r="C2529" s="16">
        <v>576</v>
      </c>
      <c r="D2529" s="16">
        <v>27255</v>
      </c>
      <c r="E2529" s="18"/>
      <c r="F2529" s="18" t="s">
        <v>7932</v>
      </c>
      <c r="G2529" s="18" t="s">
        <v>8251</v>
      </c>
      <c r="H2529" s="18" t="s">
        <v>49</v>
      </c>
      <c r="I2529" s="18" t="s">
        <v>87</v>
      </c>
      <c r="J2529" s="16">
        <v>2023</v>
      </c>
      <c r="K2529" s="18" t="s">
        <v>8252</v>
      </c>
      <c r="L2529" s="16">
        <v>9785961484410</v>
      </c>
      <c r="M2529" s="18" t="s">
        <v>8253</v>
      </c>
      <c r="N2529" s="16">
        <v>32</v>
      </c>
      <c r="O2529" s="19">
        <v>0.19</v>
      </c>
      <c r="P2529" s="16">
        <v>180</v>
      </c>
      <c r="Q2529" s="16">
        <v>190</v>
      </c>
      <c r="R2529" s="16">
        <v>20</v>
      </c>
      <c r="S2529" s="18" t="s">
        <v>83</v>
      </c>
      <c r="T2529" s="18" t="s">
        <v>183</v>
      </c>
      <c r="U2529" s="17">
        <v>1500</v>
      </c>
      <c r="V2529" s="18" t="s">
        <v>77</v>
      </c>
      <c r="W2529" s="18" t="s">
        <v>55</v>
      </c>
      <c r="X2529" s="16">
        <v>10</v>
      </c>
      <c r="Y2529" s="18" t="s">
        <v>7922</v>
      </c>
      <c r="Z2529" s="18"/>
      <c r="AS2529" s="1">
        <f>IF($A2529&lt;&gt;0,1,0)</f>
        <v>0</v>
      </c>
      <c r="AT2529" s="1">
        <f>$A2529*$B2529</f>
        <v>0</v>
      </c>
      <c r="AU2529" s="1">
        <f>$A2529*$O2529</f>
        <v>0</v>
      </c>
      <c r="AV2529" s="1">
        <f>IF($R2529=0,0,INT($A2529/$R2529))</f>
        <v>0</v>
      </c>
      <c r="AW2529" s="1">
        <f>$A2529-$AV2529*$R2529</f>
        <v>0</v>
      </c>
    </row>
    <row r="2530" ht="24.95" customHeight="1" outlineLevel="3" s="1" customFormat="1">
      <c r="A2530" s="15"/>
      <c r="B2530" s="16">
        <v>180</v>
      </c>
      <c r="C2530" s="16">
        <v>180</v>
      </c>
      <c r="D2530" s="16">
        <v>28030</v>
      </c>
      <c r="E2530" s="18"/>
      <c r="F2530" s="18" t="s">
        <v>8254</v>
      </c>
      <c r="G2530" s="18" t="s">
        <v>8255</v>
      </c>
      <c r="H2530" s="18" t="s">
        <v>49</v>
      </c>
      <c r="I2530" s="18" t="s">
        <v>87</v>
      </c>
      <c r="J2530" s="16">
        <v>2023</v>
      </c>
      <c r="K2530" s="18" t="s">
        <v>8256</v>
      </c>
      <c r="L2530" s="16">
        <v>9785961487077</v>
      </c>
      <c r="M2530" s="18" t="s">
        <v>8257</v>
      </c>
      <c r="N2530" s="16">
        <v>32</v>
      </c>
      <c r="O2530" s="19">
        <v>0.1</v>
      </c>
      <c r="P2530" s="16">
        <v>200</v>
      </c>
      <c r="Q2530" s="16">
        <v>260</v>
      </c>
      <c r="R2530" s="16">
        <v>30</v>
      </c>
      <c r="S2530" s="18" t="s">
        <v>328</v>
      </c>
      <c r="T2530" s="18" t="s">
        <v>183</v>
      </c>
      <c r="U2530" s="17">
        <v>2000</v>
      </c>
      <c r="V2530" s="18" t="s">
        <v>44</v>
      </c>
      <c r="W2530" s="18" t="s">
        <v>55</v>
      </c>
      <c r="X2530" s="16">
        <v>10</v>
      </c>
      <c r="Y2530" s="18" t="s">
        <v>927</v>
      </c>
      <c r="Z2530" s="18"/>
      <c r="AS2530" s="1">
        <f>IF($A2530&lt;&gt;0,1,0)</f>
        <v>0</v>
      </c>
      <c r="AT2530" s="1">
        <f>$A2530*$B2530</f>
        <v>0</v>
      </c>
      <c r="AU2530" s="1">
        <f>$A2530*$O2530</f>
        <v>0</v>
      </c>
      <c r="AV2530" s="1">
        <f>IF($R2530=0,0,INT($A2530/$R2530))</f>
        <v>0</v>
      </c>
      <c r="AW2530" s="1">
        <f>$A2530-$AV2530*$R2530</f>
        <v>0</v>
      </c>
    </row>
    <row r="2531" ht="24.95" customHeight="1" outlineLevel="3" s="1" customFormat="1">
      <c r="A2531" s="15"/>
      <c r="B2531" s="16">
        <v>290</v>
      </c>
      <c r="C2531" s="16">
        <v>464</v>
      </c>
      <c r="D2531" s="16">
        <v>35399</v>
      </c>
      <c r="E2531" s="18"/>
      <c r="F2531" s="18" t="s">
        <v>8001</v>
      </c>
      <c r="G2531" s="18" t="s">
        <v>8258</v>
      </c>
      <c r="H2531" s="18" t="s">
        <v>49</v>
      </c>
      <c r="I2531" s="18" t="s">
        <v>87</v>
      </c>
      <c r="J2531" s="16">
        <v>2026</v>
      </c>
      <c r="K2531" s="18" t="s">
        <v>8259</v>
      </c>
      <c r="L2531" s="16">
        <v>9785006311978</v>
      </c>
      <c r="M2531" s="18" t="s">
        <v>8260</v>
      </c>
      <c r="N2531" s="16">
        <v>30</v>
      </c>
      <c r="O2531" s="19">
        <v>0.1</v>
      </c>
      <c r="P2531" s="16">
        <v>190</v>
      </c>
      <c r="Q2531" s="16">
        <v>260</v>
      </c>
      <c r="R2531" s="16">
        <v>20</v>
      </c>
      <c r="S2531" s="18" t="s">
        <v>328</v>
      </c>
      <c r="T2531" s="18" t="s">
        <v>183</v>
      </c>
      <c r="U2531" s="17">
        <v>1500</v>
      </c>
      <c r="V2531" s="18" t="s">
        <v>44</v>
      </c>
      <c r="W2531" s="18" t="s">
        <v>55</v>
      </c>
      <c r="X2531" s="16">
        <v>10</v>
      </c>
      <c r="Y2531" s="18" t="s">
        <v>927</v>
      </c>
      <c r="Z2531" s="18"/>
      <c r="AS2531" s="1">
        <f>IF($A2531&lt;&gt;0,1,0)</f>
        <v>0</v>
      </c>
      <c r="AT2531" s="1">
        <f>$A2531*$B2531</f>
        <v>0</v>
      </c>
      <c r="AU2531" s="1">
        <f>$A2531*$O2531</f>
        <v>0</v>
      </c>
      <c r="AV2531" s="1">
        <f>IF($R2531=0,0,INT($A2531/$R2531))</f>
        <v>0</v>
      </c>
      <c r="AW2531" s="1">
        <f>$A2531-$AV2531*$R2531</f>
        <v>0</v>
      </c>
    </row>
    <row r="2532" ht="24.95" customHeight="1" outlineLevel="3" s="1" customFormat="1">
      <c r="A2532" s="15"/>
      <c r="B2532" s="16">
        <v>390</v>
      </c>
      <c r="C2532" s="16">
        <v>624</v>
      </c>
      <c r="D2532" s="16">
        <v>27266</v>
      </c>
      <c r="E2532" s="18"/>
      <c r="F2532" s="18" t="s">
        <v>8261</v>
      </c>
      <c r="G2532" s="18" t="s">
        <v>8262</v>
      </c>
      <c r="H2532" s="18" t="s">
        <v>49</v>
      </c>
      <c r="I2532" s="18"/>
      <c r="J2532" s="16">
        <v>2023</v>
      </c>
      <c r="K2532" s="18" t="s">
        <v>8263</v>
      </c>
      <c r="L2532" s="16">
        <v>9785961484526</v>
      </c>
      <c r="M2532" s="18" t="s">
        <v>8264</v>
      </c>
      <c r="N2532" s="16">
        <v>80</v>
      </c>
      <c r="O2532" s="19">
        <v>0.14</v>
      </c>
      <c r="P2532" s="16">
        <v>140</v>
      </c>
      <c r="Q2532" s="16">
        <v>210</v>
      </c>
      <c r="R2532" s="16">
        <v>50</v>
      </c>
      <c r="S2532" s="18" t="s">
        <v>43</v>
      </c>
      <c r="T2532" s="18" t="s">
        <v>183</v>
      </c>
      <c r="U2532" s="17">
        <v>3000</v>
      </c>
      <c r="V2532" s="18" t="s">
        <v>44</v>
      </c>
      <c r="W2532" s="18" t="s">
        <v>55</v>
      </c>
      <c r="X2532" s="16">
        <v>10</v>
      </c>
      <c r="Y2532" s="18" t="s">
        <v>528</v>
      </c>
      <c r="Z2532" s="18"/>
      <c r="AS2532" s="1">
        <f>IF($A2532&lt;&gt;0,1,0)</f>
        <v>0</v>
      </c>
      <c r="AT2532" s="1">
        <f>$A2532*$B2532</f>
        <v>0</v>
      </c>
      <c r="AU2532" s="1">
        <f>$A2532*$O2532</f>
        <v>0</v>
      </c>
      <c r="AV2532" s="1">
        <f>IF($R2532=0,0,INT($A2532/$R2532))</f>
        <v>0</v>
      </c>
      <c r="AW2532" s="1">
        <f>$A2532-$AV2532*$R2532</f>
        <v>0</v>
      </c>
    </row>
    <row r="2533" ht="11.1" customHeight="1" outlineLevel="2">
      <c r="A2533" s="41" t="s">
        <v>8265</v>
      </c>
      <c r="B2533" s="41"/>
      <c r="C2533" s="41"/>
      <c r="D2533" s="41"/>
      <c r="E2533" s="41"/>
      <c r="F2533" s="41"/>
      <c r="G2533" s="41"/>
      <c r="H2533" s="41"/>
      <c r="I2533" s="41"/>
      <c r="J2533" s="41"/>
      <c r="K2533" s="41"/>
      <c r="L2533" s="41"/>
      <c r="M2533" s="41"/>
      <c r="N2533" s="41"/>
      <c r="O2533" s="41"/>
      <c r="P2533" s="41"/>
      <c r="Q2533" s="41"/>
      <c r="R2533" s="41"/>
      <c r="S2533" s="41"/>
      <c r="T2533" s="41"/>
      <c r="U2533" s="41"/>
      <c r="V2533" s="41"/>
      <c r="W2533" s="41"/>
      <c r="X2533" s="41"/>
      <c r="Y2533" s="41"/>
      <c r="Z2533" s="24"/>
    </row>
    <row r="2534" ht="24.95" customHeight="1" outlineLevel="3" s="1" customFormat="1">
      <c r="A2534" s="15"/>
      <c r="B2534" s="16">
        <v>220</v>
      </c>
      <c r="C2534" s="16">
        <v>352</v>
      </c>
      <c r="D2534" s="16">
        <v>37660</v>
      </c>
      <c r="E2534" s="18" t="s">
        <v>8266</v>
      </c>
      <c r="F2534" s="18" t="s">
        <v>8267</v>
      </c>
      <c r="G2534" s="18" t="s">
        <v>8268</v>
      </c>
      <c r="H2534" s="18" t="s">
        <v>49</v>
      </c>
      <c r="I2534" s="18"/>
      <c r="J2534" s="16">
        <v>2026</v>
      </c>
      <c r="K2534" s="18" t="s">
        <v>8269</v>
      </c>
      <c r="L2534" s="16">
        <v>9785002831326</v>
      </c>
      <c r="M2534" s="18" t="s">
        <v>8270</v>
      </c>
      <c r="N2534" s="16">
        <v>40</v>
      </c>
      <c r="O2534" s="19">
        <v>0.09</v>
      </c>
      <c r="P2534" s="16">
        <v>160</v>
      </c>
      <c r="Q2534" s="16">
        <v>210</v>
      </c>
      <c r="R2534" s="16">
        <v>40</v>
      </c>
      <c r="S2534" s="18" t="s">
        <v>123</v>
      </c>
      <c r="T2534" s="18" t="s">
        <v>8271</v>
      </c>
      <c r="U2534" s="17">
        <v>1500</v>
      </c>
      <c r="V2534" s="18" t="s">
        <v>44</v>
      </c>
      <c r="W2534" s="18" t="s">
        <v>55</v>
      </c>
      <c r="X2534" s="16">
        <v>10</v>
      </c>
      <c r="Y2534" s="18" t="s">
        <v>8272</v>
      </c>
      <c r="Z2534" s="18" t="s">
        <v>113</v>
      </c>
      <c r="AS2534" s="1">
        <f>IF($A2534&lt;&gt;0,1,0)</f>
        <v>0</v>
      </c>
      <c r="AT2534" s="1">
        <f>$A2534*$B2534</f>
        <v>0</v>
      </c>
      <c r="AU2534" s="1">
        <f>$A2534*$O2534</f>
        <v>0</v>
      </c>
      <c r="AV2534" s="1">
        <f>IF($R2534=0,0,INT($A2534/$R2534))</f>
        <v>0</v>
      </c>
      <c r="AW2534" s="1">
        <f>$A2534-$AV2534*$R2534</f>
        <v>0</v>
      </c>
    </row>
    <row r="2535" ht="24.95" customHeight="1" outlineLevel="3" s="1" customFormat="1">
      <c r="A2535" s="15"/>
      <c r="B2535" s="16">
        <v>490</v>
      </c>
      <c r="C2535" s="16">
        <v>760</v>
      </c>
      <c r="D2535" s="16">
        <v>8823</v>
      </c>
      <c r="E2535" s="18"/>
      <c r="F2535" s="18" t="s">
        <v>8273</v>
      </c>
      <c r="G2535" s="18" t="s">
        <v>8274</v>
      </c>
      <c r="H2535" s="18" t="s">
        <v>49</v>
      </c>
      <c r="I2535" s="18"/>
      <c r="J2535" s="16">
        <v>2025</v>
      </c>
      <c r="K2535" s="18" t="s">
        <v>8275</v>
      </c>
      <c r="L2535" s="16">
        <v>9785961412109</v>
      </c>
      <c r="M2535" s="18" t="s">
        <v>8276</v>
      </c>
      <c r="N2535" s="16">
        <v>32</v>
      </c>
      <c r="O2535" s="19">
        <v>0.2</v>
      </c>
      <c r="P2535" s="16">
        <v>168</v>
      </c>
      <c r="Q2535" s="16">
        <v>216</v>
      </c>
      <c r="R2535" s="16">
        <v>20</v>
      </c>
      <c r="S2535" s="18" t="s">
        <v>52</v>
      </c>
      <c r="T2535" s="18" t="s">
        <v>8271</v>
      </c>
      <c r="U2535" s="17">
        <v>1500</v>
      </c>
      <c r="V2535" s="18" t="s">
        <v>77</v>
      </c>
      <c r="W2535" s="18" t="s">
        <v>55</v>
      </c>
      <c r="X2535" s="16">
        <v>10</v>
      </c>
      <c r="Y2535" s="18" t="s">
        <v>8277</v>
      </c>
      <c r="Z2535" s="18"/>
      <c r="AS2535" s="1">
        <f>IF($A2535&lt;&gt;0,1,0)</f>
        <v>0</v>
      </c>
      <c r="AT2535" s="1">
        <f>$A2535*$B2535</f>
        <v>0</v>
      </c>
      <c r="AU2535" s="1">
        <f>$A2535*$O2535</f>
        <v>0</v>
      </c>
      <c r="AV2535" s="1">
        <f>IF($R2535=0,0,INT($A2535/$R2535))</f>
        <v>0</v>
      </c>
      <c r="AW2535" s="1">
        <f>$A2535-$AV2535*$R2535</f>
        <v>0</v>
      </c>
    </row>
    <row r="2536" ht="24.95" customHeight="1" outlineLevel="3" s="1" customFormat="1">
      <c r="A2536" s="15"/>
      <c r="B2536" s="16">
        <v>490</v>
      </c>
      <c r="C2536" s="16">
        <v>760</v>
      </c>
      <c r="D2536" s="16">
        <v>30615</v>
      </c>
      <c r="E2536" s="18"/>
      <c r="F2536" s="18" t="s">
        <v>8278</v>
      </c>
      <c r="G2536" s="18" t="s">
        <v>8279</v>
      </c>
      <c r="H2536" s="18" t="s">
        <v>49</v>
      </c>
      <c r="I2536" s="18"/>
      <c r="J2536" s="16">
        <v>2026</v>
      </c>
      <c r="K2536" s="18" t="s">
        <v>8280</v>
      </c>
      <c r="L2536" s="16">
        <v>9785961496079</v>
      </c>
      <c r="M2536" s="18" t="s">
        <v>8281</v>
      </c>
      <c r="N2536" s="16">
        <v>48</v>
      </c>
      <c r="O2536" s="19">
        <v>0.21</v>
      </c>
      <c r="P2536" s="16">
        <v>170</v>
      </c>
      <c r="Q2536" s="16">
        <v>220</v>
      </c>
      <c r="R2536" s="16">
        <v>18</v>
      </c>
      <c r="S2536" s="18" t="s">
        <v>52</v>
      </c>
      <c r="T2536" s="18" t="s">
        <v>8271</v>
      </c>
      <c r="U2536" s="17">
        <v>3000</v>
      </c>
      <c r="V2536" s="18" t="s">
        <v>77</v>
      </c>
      <c r="W2536" s="18" t="s">
        <v>55</v>
      </c>
      <c r="X2536" s="16">
        <v>10</v>
      </c>
      <c r="Y2536" s="18" t="s">
        <v>8282</v>
      </c>
      <c r="Z2536" s="18"/>
      <c r="AS2536" s="1">
        <f>IF($A2536&lt;&gt;0,1,0)</f>
        <v>0</v>
      </c>
      <c r="AT2536" s="1">
        <f>$A2536*$B2536</f>
        <v>0</v>
      </c>
      <c r="AU2536" s="1">
        <f>$A2536*$O2536</f>
        <v>0</v>
      </c>
      <c r="AV2536" s="1">
        <f>IF($R2536=0,0,INT($A2536/$R2536))</f>
        <v>0</v>
      </c>
      <c r="AW2536" s="1">
        <f>$A2536-$AV2536*$R2536</f>
        <v>0</v>
      </c>
    </row>
    <row r="2537" ht="24.95" customHeight="1" outlineLevel="3" s="1" customFormat="1">
      <c r="A2537" s="15"/>
      <c r="B2537" s="16">
        <v>490</v>
      </c>
      <c r="C2537" s="16">
        <v>760</v>
      </c>
      <c r="D2537" s="16">
        <v>29635</v>
      </c>
      <c r="E2537" s="18"/>
      <c r="F2537" s="18" t="s">
        <v>8283</v>
      </c>
      <c r="G2537" s="18" t="s">
        <v>8284</v>
      </c>
      <c r="H2537" s="18" t="s">
        <v>49</v>
      </c>
      <c r="I2537" s="18"/>
      <c r="J2537" s="16">
        <v>2024</v>
      </c>
      <c r="K2537" s="18" t="s">
        <v>8285</v>
      </c>
      <c r="L2537" s="16">
        <v>9785961493214</v>
      </c>
      <c r="M2537" s="18" t="s">
        <v>8286</v>
      </c>
      <c r="N2537" s="16">
        <v>48</v>
      </c>
      <c r="O2537" s="19">
        <v>0.21</v>
      </c>
      <c r="P2537" s="16">
        <v>170</v>
      </c>
      <c r="Q2537" s="16">
        <v>220</v>
      </c>
      <c r="R2537" s="16">
        <v>18</v>
      </c>
      <c r="S2537" s="18" t="s">
        <v>123</v>
      </c>
      <c r="T2537" s="18" t="s">
        <v>8271</v>
      </c>
      <c r="U2537" s="17">
        <v>3000</v>
      </c>
      <c r="V2537" s="18" t="s">
        <v>77</v>
      </c>
      <c r="W2537" s="18" t="s">
        <v>55</v>
      </c>
      <c r="X2537" s="16">
        <v>10</v>
      </c>
      <c r="Y2537" s="18" t="s">
        <v>8277</v>
      </c>
      <c r="Z2537" s="18"/>
      <c r="AS2537" s="1">
        <f>IF($A2537&lt;&gt;0,1,0)</f>
        <v>0</v>
      </c>
      <c r="AT2537" s="1">
        <f>$A2537*$B2537</f>
        <v>0</v>
      </c>
      <c r="AU2537" s="1">
        <f>$A2537*$O2537</f>
        <v>0</v>
      </c>
      <c r="AV2537" s="1">
        <f>IF($R2537=0,0,INT($A2537/$R2537))</f>
        <v>0</v>
      </c>
      <c r="AW2537" s="1">
        <f>$A2537-$AV2537*$R2537</f>
        <v>0</v>
      </c>
    </row>
    <row r="2538" ht="24.95" customHeight="1" outlineLevel="3" s="1" customFormat="1">
      <c r="A2538" s="15"/>
      <c r="B2538" s="16">
        <v>440</v>
      </c>
      <c r="C2538" s="16">
        <v>682</v>
      </c>
      <c r="D2538" s="16">
        <v>29692</v>
      </c>
      <c r="E2538" s="18"/>
      <c r="F2538" s="18" t="s">
        <v>8287</v>
      </c>
      <c r="G2538" s="18" t="s">
        <v>8288</v>
      </c>
      <c r="H2538" s="18" t="s">
        <v>49</v>
      </c>
      <c r="I2538" s="18"/>
      <c r="J2538" s="16">
        <v>2024</v>
      </c>
      <c r="K2538" s="18" t="s">
        <v>8289</v>
      </c>
      <c r="L2538" s="16">
        <v>9785961493467</v>
      </c>
      <c r="M2538" s="18" t="s">
        <v>8290</v>
      </c>
      <c r="N2538" s="16">
        <v>48</v>
      </c>
      <c r="O2538" s="19">
        <v>0.21</v>
      </c>
      <c r="P2538" s="16">
        <v>170</v>
      </c>
      <c r="Q2538" s="16">
        <v>220</v>
      </c>
      <c r="R2538" s="16">
        <v>18</v>
      </c>
      <c r="S2538" s="18" t="s">
        <v>52</v>
      </c>
      <c r="T2538" s="18" t="s">
        <v>8271</v>
      </c>
      <c r="U2538" s="17">
        <v>3000</v>
      </c>
      <c r="V2538" s="18" t="s">
        <v>77</v>
      </c>
      <c r="W2538" s="18" t="s">
        <v>55</v>
      </c>
      <c r="X2538" s="16">
        <v>10</v>
      </c>
      <c r="Y2538" s="18" t="s">
        <v>8272</v>
      </c>
      <c r="Z2538" s="18"/>
      <c r="AS2538" s="1">
        <f>IF($A2538&lt;&gt;0,1,0)</f>
        <v>0</v>
      </c>
      <c r="AT2538" s="1">
        <f>$A2538*$B2538</f>
        <v>0</v>
      </c>
      <c r="AU2538" s="1">
        <f>$A2538*$O2538</f>
        <v>0</v>
      </c>
      <c r="AV2538" s="1">
        <f>IF($R2538=0,0,INT($A2538/$R2538))</f>
        <v>0</v>
      </c>
      <c r="AW2538" s="1">
        <f>$A2538-$AV2538*$R2538</f>
        <v>0</v>
      </c>
    </row>
    <row r="2539" ht="24.95" customHeight="1" outlineLevel="3" s="1" customFormat="1">
      <c r="A2539" s="15"/>
      <c r="B2539" s="16">
        <v>590</v>
      </c>
      <c r="C2539" s="16">
        <v>885</v>
      </c>
      <c r="D2539" s="16">
        <v>30717</v>
      </c>
      <c r="E2539" s="18"/>
      <c r="F2539" s="18" t="s">
        <v>8291</v>
      </c>
      <c r="G2539" s="18" t="s">
        <v>8292</v>
      </c>
      <c r="H2539" s="18" t="s">
        <v>49</v>
      </c>
      <c r="I2539" s="18"/>
      <c r="J2539" s="16">
        <v>2026</v>
      </c>
      <c r="K2539" s="18" t="s">
        <v>8293</v>
      </c>
      <c r="L2539" s="16">
        <v>9785961496260</v>
      </c>
      <c r="M2539" s="18" t="s">
        <v>8294</v>
      </c>
      <c r="N2539" s="16">
        <v>48</v>
      </c>
      <c r="O2539" s="19">
        <v>0.21</v>
      </c>
      <c r="P2539" s="16">
        <v>170</v>
      </c>
      <c r="Q2539" s="16">
        <v>220</v>
      </c>
      <c r="R2539" s="16">
        <v>18</v>
      </c>
      <c r="S2539" s="18" t="s">
        <v>52</v>
      </c>
      <c r="T2539" s="18" t="s">
        <v>8271</v>
      </c>
      <c r="U2539" s="17">
        <v>3000</v>
      </c>
      <c r="V2539" s="18" t="s">
        <v>77</v>
      </c>
      <c r="W2539" s="18" t="s">
        <v>55</v>
      </c>
      <c r="X2539" s="16">
        <v>10</v>
      </c>
      <c r="Y2539" s="18" t="s">
        <v>8295</v>
      </c>
      <c r="Z2539" s="18"/>
      <c r="AS2539" s="1">
        <f>IF($A2539&lt;&gt;0,1,0)</f>
        <v>0</v>
      </c>
      <c r="AT2539" s="1">
        <f>$A2539*$B2539</f>
        <v>0</v>
      </c>
      <c r="AU2539" s="1">
        <f>$A2539*$O2539</f>
        <v>0</v>
      </c>
      <c r="AV2539" s="1">
        <f>IF($R2539=0,0,INT($A2539/$R2539))</f>
        <v>0</v>
      </c>
      <c r="AW2539" s="1">
        <f>$A2539-$AV2539*$R2539</f>
        <v>0</v>
      </c>
    </row>
    <row r="2540" ht="24.95" customHeight="1" outlineLevel="3" s="1" customFormat="1">
      <c r="A2540" s="15"/>
      <c r="B2540" s="16">
        <v>440</v>
      </c>
      <c r="C2540" s="16">
        <v>682</v>
      </c>
      <c r="D2540" s="16">
        <v>30917</v>
      </c>
      <c r="E2540" s="18"/>
      <c r="F2540" s="18" t="s">
        <v>8296</v>
      </c>
      <c r="G2540" s="18" t="s">
        <v>8297</v>
      </c>
      <c r="H2540" s="18" t="s">
        <v>49</v>
      </c>
      <c r="I2540" s="18"/>
      <c r="J2540" s="16">
        <v>2025</v>
      </c>
      <c r="K2540" s="18" t="s">
        <v>8298</v>
      </c>
      <c r="L2540" s="16">
        <v>9785961496918</v>
      </c>
      <c r="M2540" s="18" t="s">
        <v>8299</v>
      </c>
      <c r="N2540" s="16">
        <v>48</v>
      </c>
      <c r="O2540" s="19">
        <v>0.21</v>
      </c>
      <c r="P2540" s="16">
        <v>170</v>
      </c>
      <c r="Q2540" s="16">
        <v>220</v>
      </c>
      <c r="R2540" s="16">
        <v>18</v>
      </c>
      <c r="S2540" s="18" t="s">
        <v>52</v>
      </c>
      <c r="T2540" s="18" t="s">
        <v>8271</v>
      </c>
      <c r="U2540" s="17">
        <v>3000</v>
      </c>
      <c r="V2540" s="18" t="s">
        <v>77</v>
      </c>
      <c r="W2540" s="18" t="s">
        <v>55</v>
      </c>
      <c r="X2540" s="16">
        <v>10</v>
      </c>
      <c r="Y2540" s="18" t="s">
        <v>8272</v>
      </c>
      <c r="Z2540" s="18"/>
      <c r="AS2540" s="1">
        <f>IF($A2540&lt;&gt;0,1,0)</f>
        <v>0</v>
      </c>
      <c r="AT2540" s="1">
        <f>$A2540*$B2540</f>
        <v>0</v>
      </c>
      <c r="AU2540" s="1">
        <f>$A2540*$O2540</f>
        <v>0</v>
      </c>
      <c r="AV2540" s="1">
        <f>IF($R2540=0,0,INT($A2540/$R2540))</f>
        <v>0</v>
      </c>
      <c r="AW2540" s="1">
        <f>$A2540-$AV2540*$R2540</f>
        <v>0</v>
      </c>
    </row>
    <row r="2541" ht="24.95" customHeight="1" outlineLevel="3" s="1" customFormat="1">
      <c r="A2541" s="15"/>
      <c r="B2541" s="16">
        <v>590</v>
      </c>
      <c r="C2541" s="16">
        <v>885</v>
      </c>
      <c r="D2541" s="16">
        <v>11963</v>
      </c>
      <c r="E2541" s="18"/>
      <c r="F2541" s="18" t="s">
        <v>8300</v>
      </c>
      <c r="G2541" s="18" t="s">
        <v>8301</v>
      </c>
      <c r="H2541" s="18" t="s">
        <v>49</v>
      </c>
      <c r="I2541" s="18"/>
      <c r="J2541" s="16">
        <v>2026</v>
      </c>
      <c r="K2541" s="18" t="s">
        <v>8302</v>
      </c>
      <c r="L2541" s="16">
        <v>9785961424423</v>
      </c>
      <c r="M2541" s="18" t="s">
        <v>8303</v>
      </c>
      <c r="N2541" s="16">
        <v>32</v>
      </c>
      <c r="O2541" s="19">
        <v>0.22</v>
      </c>
      <c r="P2541" s="16">
        <v>169</v>
      </c>
      <c r="Q2541" s="16">
        <v>217</v>
      </c>
      <c r="R2541" s="16">
        <v>20</v>
      </c>
      <c r="S2541" s="18" t="s">
        <v>52</v>
      </c>
      <c r="T2541" s="18" t="s">
        <v>8271</v>
      </c>
      <c r="U2541" s="17">
        <v>2000</v>
      </c>
      <c r="V2541" s="18" t="s">
        <v>77</v>
      </c>
      <c r="W2541" s="18" t="s">
        <v>55</v>
      </c>
      <c r="X2541" s="16">
        <v>10</v>
      </c>
      <c r="Y2541" s="18" t="s">
        <v>8304</v>
      </c>
      <c r="Z2541" s="18" t="s">
        <v>753</v>
      </c>
      <c r="AS2541" s="1">
        <f>IF($A2541&lt;&gt;0,1,0)</f>
        <v>0</v>
      </c>
      <c r="AT2541" s="1">
        <f>$A2541*$B2541</f>
        <v>0</v>
      </c>
      <c r="AU2541" s="1">
        <f>$A2541*$O2541</f>
        <v>0</v>
      </c>
      <c r="AV2541" s="1">
        <f>IF($R2541=0,0,INT($A2541/$R2541))</f>
        <v>0</v>
      </c>
      <c r="AW2541" s="1">
        <f>$A2541-$AV2541*$R2541</f>
        <v>0</v>
      </c>
    </row>
    <row r="2542" ht="24.95" customHeight="1" outlineLevel="3" s="1" customFormat="1">
      <c r="A2542" s="15"/>
      <c r="B2542" s="16">
        <v>490</v>
      </c>
      <c r="C2542" s="16">
        <v>760</v>
      </c>
      <c r="D2542" s="16">
        <v>11645</v>
      </c>
      <c r="E2542" s="18"/>
      <c r="F2542" s="18" t="s">
        <v>8305</v>
      </c>
      <c r="G2542" s="18" t="s">
        <v>8306</v>
      </c>
      <c r="H2542" s="18" t="s">
        <v>49</v>
      </c>
      <c r="I2542" s="18" t="s">
        <v>74</v>
      </c>
      <c r="J2542" s="16">
        <v>2025</v>
      </c>
      <c r="K2542" s="18" t="s">
        <v>8307</v>
      </c>
      <c r="L2542" s="16">
        <v>9785961424188</v>
      </c>
      <c r="M2542" s="18" t="s">
        <v>8308</v>
      </c>
      <c r="N2542" s="16">
        <v>32</v>
      </c>
      <c r="O2542" s="19">
        <v>0.23</v>
      </c>
      <c r="P2542" s="16">
        <v>168</v>
      </c>
      <c r="Q2542" s="16">
        <v>217</v>
      </c>
      <c r="R2542" s="16">
        <v>20</v>
      </c>
      <c r="S2542" s="18" t="s">
        <v>52</v>
      </c>
      <c r="T2542" s="18" t="s">
        <v>8271</v>
      </c>
      <c r="U2542" s="17">
        <v>1500</v>
      </c>
      <c r="V2542" s="18" t="s">
        <v>77</v>
      </c>
      <c r="W2542" s="18" t="s">
        <v>55</v>
      </c>
      <c r="X2542" s="16">
        <v>10</v>
      </c>
      <c r="Y2542" s="18" t="s">
        <v>8309</v>
      </c>
      <c r="Z2542" s="18"/>
      <c r="AS2542" s="1">
        <f>IF($A2542&lt;&gt;0,1,0)</f>
        <v>0</v>
      </c>
      <c r="AT2542" s="1">
        <f>$A2542*$B2542</f>
        <v>0</v>
      </c>
      <c r="AU2542" s="1">
        <f>$A2542*$O2542</f>
        <v>0</v>
      </c>
      <c r="AV2542" s="1">
        <f>IF($R2542=0,0,INT($A2542/$R2542))</f>
        <v>0</v>
      </c>
      <c r="AW2542" s="1">
        <f>$A2542-$AV2542*$R2542</f>
        <v>0</v>
      </c>
    </row>
    <row r="2543" ht="24.95" customHeight="1" outlineLevel="3" s="1" customFormat="1">
      <c r="A2543" s="15"/>
      <c r="B2543" s="16">
        <v>220</v>
      </c>
      <c r="C2543" s="16">
        <v>352</v>
      </c>
      <c r="D2543" s="16">
        <v>37662</v>
      </c>
      <c r="E2543" s="18" t="s">
        <v>8310</v>
      </c>
      <c r="F2543" s="18" t="s">
        <v>6713</v>
      </c>
      <c r="G2543" s="18" t="s">
        <v>8311</v>
      </c>
      <c r="H2543" s="18" t="s">
        <v>49</v>
      </c>
      <c r="I2543" s="18"/>
      <c r="J2543" s="16">
        <v>2026</v>
      </c>
      <c r="K2543" s="18" t="s">
        <v>8312</v>
      </c>
      <c r="L2543" s="16">
        <v>9785002831210</v>
      </c>
      <c r="M2543" s="18" t="s">
        <v>8313</v>
      </c>
      <c r="N2543" s="16">
        <v>32</v>
      </c>
      <c r="O2543" s="19">
        <v>0.07</v>
      </c>
      <c r="P2543" s="16">
        <v>160</v>
      </c>
      <c r="Q2543" s="16">
        <v>210</v>
      </c>
      <c r="R2543" s="16">
        <v>40</v>
      </c>
      <c r="S2543" s="18" t="s">
        <v>52</v>
      </c>
      <c r="T2543" s="18" t="s">
        <v>8271</v>
      </c>
      <c r="U2543" s="17">
        <v>1500</v>
      </c>
      <c r="V2543" s="18" t="s">
        <v>44</v>
      </c>
      <c r="W2543" s="18" t="s">
        <v>55</v>
      </c>
      <c r="X2543" s="16">
        <v>10</v>
      </c>
      <c r="Y2543" s="18" t="s">
        <v>8304</v>
      </c>
      <c r="Z2543" s="18" t="s">
        <v>113</v>
      </c>
      <c r="AS2543" s="1">
        <f>IF($A2543&lt;&gt;0,1,0)</f>
        <v>0</v>
      </c>
      <c r="AT2543" s="1">
        <f>$A2543*$B2543</f>
        <v>0</v>
      </c>
      <c r="AU2543" s="1">
        <f>$A2543*$O2543</f>
        <v>0</v>
      </c>
      <c r="AV2543" s="1">
        <f>IF($R2543=0,0,INT($A2543/$R2543))</f>
        <v>0</v>
      </c>
      <c r="AW2543" s="1">
        <f>$A2543-$AV2543*$R2543</f>
        <v>0</v>
      </c>
    </row>
    <row r="2544" ht="24.95" customHeight="1" outlineLevel="3" s="1" customFormat="1">
      <c r="A2544" s="15"/>
      <c r="B2544" s="16">
        <v>490</v>
      </c>
      <c r="C2544" s="16">
        <v>760</v>
      </c>
      <c r="D2544" s="16">
        <v>33396</v>
      </c>
      <c r="E2544" s="18"/>
      <c r="F2544" s="18" t="s">
        <v>8314</v>
      </c>
      <c r="G2544" s="18" t="s">
        <v>8315</v>
      </c>
      <c r="H2544" s="18" t="s">
        <v>49</v>
      </c>
      <c r="I2544" s="18"/>
      <c r="J2544" s="16">
        <v>2026</v>
      </c>
      <c r="K2544" s="18" t="s">
        <v>8316</v>
      </c>
      <c r="L2544" s="16">
        <v>9785006304581</v>
      </c>
      <c r="M2544" s="18" t="s">
        <v>8317</v>
      </c>
      <c r="N2544" s="16">
        <v>48</v>
      </c>
      <c r="O2544" s="19">
        <v>0.21</v>
      </c>
      <c r="P2544" s="16">
        <v>170</v>
      </c>
      <c r="Q2544" s="16">
        <v>220</v>
      </c>
      <c r="R2544" s="16">
        <v>18</v>
      </c>
      <c r="S2544" s="18" t="s">
        <v>52</v>
      </c>
      <c r="T2544" s="18" t="s">
        <v>8271</v>
      </c>
      <c r="U2544" s="17">
        <v>3000</v>
      </c>
      <c r="V2544" s="18" t="s">
        <v>77</v>
      </c>
      <c r="W2544" s="18" t="s">
        <v>55</v>
      </c>
      <c r="X2544" s="16">
        <v>10</v>
      </c>
      <c r="Y2544" s="18" t="s">
        <v>8282</v>
      </c>
      <c r="Z2544" s="18"/>
      <c r="AS2544" s="1">
        <f>IF($A2544&lt;&gt;0,1,0)</f>
        <v>0</v>
      </c>
      <c r="AT2544" s="1">
        <f>$A2544*$B2544</f>
        <v>0</v>
      </c>
      <c r="AU2544" s="1">
        <f>$A2544*$O2544</f>
        <v>0</v>
      </c>
      <c r="AV2544" s="1">
        <f>IF($R2544=0,0,INT($A2544/$R2544))</f>
        <v>0</v>
      </c>
      <c r="AW2544" s="1">
        <f>$A2544-$AV2544*$R2544</f>
        <v>0</v>
      </c>
    </row>
    <row r="2545" ht="24.95" customHeight="1" outlineLevel="3" s="1" customFormat="1">
      <c r="A2545" s="15"/>
      <c r="B2545" s="16">
        <v>440</v>
      </c>
      <c r="C2545" s="16">
        <v>682</v>
      </c>
      <c r="D2545" s="16">
        <v>29693</v>
      </c>
      <c r="E2545" s="18"/>
      <c r="F2545" s="18" t="s">
        <v>8318</v>
      </c>
      <c r="G2545" s="18" t="s">
        <v>8319</v>
      </c>
      <c r="H2545" s="18" t="s">
        <v>49</v>
      </c>
      <c r="I2545" s="18"/>
      <c r="J2545" s="16">
        <v>2024</v>
      </c>
      <c r="K2545" s="18" t="s">
        <v>8320</v>
      </c>
      <c r="L2545" s="16">
        <v>9785961493474</v>
      </c>
      <c r="M2545" s="18" t="s">
        <v>8321</v>
      </c>
      <c r="N2545" s="16">
        <v>48</v>
      </c>
      <c r="O2545" s="19">
        <v>0.21</v>
      </c>
      <c r="P2545" s="16">
        <v>170</v>
      </c>
      <c r="Q2545" s="16">
        <v>220</v>
      </c>
      <c r="R2545" s="16">
        <v>18</v>
      </c>
      <c r="S2545" s="18" t="s">
        <v>52</v>
      </c>
      <c r="T2545" s="18" t="s">
        <v>8271</v>
      </c>
      <c r="U2545" s="17">
        <v>3000</v>
      </c>
      <c r="V2545" s="18" t="s">
        <v>77</v>
      </c>
      <c r="W2545" s="18" t="s">
        <v>55</v>
      </c>
      <c r="X2545" s="16">
        <v>10</v>
      </c>
      <c r="Y2545" s="18" t="s">
        <v>8272</v>
      </c>
      <c r="Z2545" s="18"/>
      <c r="AS2545" s="1">
        <f>IF($A2545&lt;&gt;0,1,0)</f>
        <v>0</v>
      </c>
      <c r="AT2545" s="1">
        <f>$A2545*$B2545</f>
        <v>0</v>
      </c>
      <c r="AU2545" s="1">
        <f>$A2545*$O2545</f>
        <v>0</v>
      </c>
      <c r="AV2545" s="1">
        <f>IF($R2545=0,0,INT($A2545/$R2545))</f>
        <v>0</v>
      </c>
      <c r="AW2545" s="1">
        <f>$A2545-$AV2545*$R2545</f>
        <v>0</v>
      </c>
    </row>
    <row r="2546" ht="24.95" customHeight="1" outlineLevel="3" s="1" customFormat="1">
      <c r="A2546" s="15"/>
      <c r="B2546" s="16">
        <v>590</v>
      </c>
      <c r="C2546" s="16">
        <v>885</v>
      </c>
      <c r="D2546" s="16">
        <v>28990</v>
      </c>
      <c r="E2546" s="18"/>
      <c r="F2546" s="18" t="s">
        <v>8322</v>
      </c>
      <c r="G2546" s="18" t="s">
        <v>8323</v>
      </c>
      <c r="H2546" s="18" t="s">
        <v>49</v>
      </c>
      <c r="I2546" s="18"/>
      <c r="J2546" s="16">
        <v>2026</v>
      </c>
      <c r="K2546" s="18" t="s">
        <v>8324</v>
      </c>
      <c r="L2546" s="16">
        <v>9785961490954</v>
      </c>
      <c r="M2546" s="18" t="s">
        <v>8325</v>
      </c>
      <c r="N2546" s="16">
        <v>48</v>
      </c>
      <c r="O2546" s="19">
        <v>0.21</v>
      </c>
      <c r="P2546" s="16">
        <v>170</v>
      </c>
      <c r="Q2546" s="16">
        <v>220</v>
      </c>
      <c r="R2546" s="16">
        <v>18</v>
      </c>
      <c r="S2546" s="18" t="s">
        <v>52</v>
      </c>
      <c r="T2546" s="18" t="s">
        <v>8271</v>
      </c>
      <c r="U2546" s="17">
        <v>2000</v>
      </c>
      <c r="V2546" s="18" t="s">
        <v>77</v>
      </c>
      <c r="W2546" s="18" t="s">
        <v>55</v>
      </c>
      <c r="X2546" s="16">
        <v>10</v>
      </c>
      <c r="Y2546" s="18" t="s">
        <v>8272</v>
      </c>
      <c r="Z2546" s="18" t="s">
        <v>753</v>
      </c>
      <c r="AS2546" s="1">
        <f>IF($A2546&lt;&gt;0,1,0)</f>
        <v>0</v>
      </c>
      <c r="AT2546" s="1">
        <f>$A2546*$B2546</f>
        <v>0</v>
      </c>
      <c r="AU2546" s="1">
        <f>$A2546*$O2546</f>
        <v>0</v>
      </c>
      <c r="AV2546" s="1">
        <f>IF($R2546=0,0,INT($A2546/$R2546))</f>
        <v>0</v>
      </c>
      <c r="AW2546" s="1">
        <f>$A2546-$AV2546*$R2546</f>
        <v>0</v>
      </c>
    </row>
    <row r="2547" ht="24.95" customHeight="1" outlineLevel="3" s="1" customFormat="1">
      <c r="A2547" s="15"/>
      <c r="B2547" s="16">
        <v>590</v>
      </c>
      <c r="C2547" s="16">
        <v>885</v>
      </c>
      <c r="D2547" s="16">
        <v>26243</v>
      </c>
      <c r="E2547" s="18"/>
      <c r="F2547" s="18" t="s">
        <v>8326</v>
      </c>
      <c r="G2547" s="18" t="s">
        <v>8327</v>
      </c>
      <c r="H2547" s="18" t="s">
        <v>49</v>
      </c>
      <c r="I2547" s="18"/>
      <c r="J2547" s="16">
        <v>2026</v>
      </c>
      <c r="K2547" s="18" t="s">
        <v>8328</v>
      </c>
      <c r="L2547" s="16">
        <v>9785961480948</v>
      </c>
      <c r="M2547" s="18" t="s">
        <v>8329</v>
      </c>
      <c r="N2547" s="16">
        <v>48</v>
      </c>
      <c r="O2547" s="19">
        <v>0.21</v>
      </c>
      <c r="P2547" s="16">
        <v>140</v>
      </c>
      <c r="Q2547" s="16">
        <v>220</v>
      </c>
      <c r="R2547" s="16">
        <v>18</v>
      </c>
      <c r="S2547" s="18" t="s">
        <v>52</v>
      </c>
      <c r="T2547" s="18" t="s">
        <v>8271</v>
      </c>
      <c r="U2547" s="17">
        <v>1500</v>
      </c>
      <c r="V2547" s="18" t="s">
        <v>77</v>
      </c>
      <c r="W2547" s="18" t="s">
        <v>55</v>
      </c>
      <c r="X2547" s="16">
        <v>10</v>
      </c>
      <c r="Y2547" s="18" t="s">
        <v>8272</v>
      </c>
      <c r="Z2547" s="18" t="s">
        <v>98</v>
      </c>
      <c r="AS2547" s="1">
        <f>IF($A2547&lt;&gt;0,1,0)</f>
        <v>0</v>
      </c>
      <c r="AT2547" s="1">
        <f>$A2547*$B2547</f>
        <v>0</v>
      </c>
      <c r="AU2547" s="1">
        <f>$A2547*$O2547</f>
        <v>0</v>
      </c>
      <c r="AV2547" s="1">
        <f>IF($R2547=0,0,INT($A2547/$R2547))</f>
        <v>0</v>
      </c>
      <c r="AW2547" s="1">
        <f>$A2547-$AV2547*$R2547</f>
        <v>0</v>
      </c>
    </row>
    <row r="2548" ht="24.95" customHeight="1" outlineLevel="3" s="1" customFormat="1">
      <c r="A2548" s="15"/>
      <c r="B2548" s="16">
        <v>490</v>
      </c>
      <c r="C2548" s="16">
        <v>760</v>
      </c>
      <c r="D2548" s="16">
        <v>33394</v>
      </c>
      <c r="E2548" s="18"/>
      <c r="F2548" s="18" t="s">
        <v>8330</v>
      </c>
      <c r="G2548" s="18" t="s">
        <v>8331</v>
      </c>
      <c r="H2548" s="18" t="s">
        <v>49</v>
      </c>
      <c r="I2548" s="18"/>
      <c r="J2548" s="16">
        <v>2026</v>
      </c>
      <c r="K2548" s="18" t="s">
        <v>8332</v>
      </c>
      <c r="L2548" s="16">
        <v>9785006304574</v>
      </c>
      <c r="M2548" s="18" t="s">
        <v>8333</v>
      </c>
      <c r="N2548" s="16">
        <v>40</v>
      </c>
      <c r="O2548" s="19">
        <v>0.21</v>
      </c>
      <c r="P2548" s="16">
        <v>170</v>
      </c>
      <c r="Q2548" s="16">
        <v>220</v>
      </c>
      <c r="R2548" s="16">
        <v>18</v>
      </c>
      <c r="S2548" s="18" t="s">
        <v>52</v>
      </c>
      <c r="T2548" s="18" t="s">
        <v>8271</v>
      </c>
      <c r="U2548" s="17">
        <v>3000</v>
      </c>
      <c r="V2548" s="18" t="s">
        <v>77</v>
      </c>
      <c r="W2548" s="18" t="s">
        <v>55</v>
      </c>
      <c r="X2548" s="16">
        <v>10</v>
      </c>
      <c r="Y2548" s="18" t="s">
        <v>8282</v>
      </c>
      <c r="Z2548" s="18" t="s">
        <v>695</v>
      </c>
      <c r="AS2548" s="1">
        <f>IF($A2548&lt;&gt;0,1,0)</f>
        <v>0</v>
      </c>
      <c r="AT2548" s="1">
        <f>$A2548*$B2548</f>
        <v>0</v>
      </c>
      <c r="AU2548" s="1">
        <f>$A2548*$O2548</f>
        <v>0</v>
      </c>
      <c r="AV2548" s="1">
        <f>IF($R2548=0,0,INT($A2548/$R2548))</f>
        <v>0</v>
      </c>
      <c r="AW2548" s="1">
        <f>$A2548-$AV2548*$R2548</f>
        <v>0</v>
      </c>
    </row>
    <row r="2549" ht="24.95" customHeight="1" outlineLevel="3" s="1" customFormat="1">
      <c r="A2549" s="15"/>
      <c r="B2549" s="16">
        <v>220</v>
      </c>
      <c r="C2549" s="16">
        <v>352</v>
      </c>
      <c r="D2549" s="16">
        <v>37659</v>
      </c>
      <c r="E2549" s="18" t="s">
        <v>8334</v>
      </c>
      <c r="F2549" s="18" t="s">
        <v>8335</v>
      </c>
      <c r="G2549" s="18" t="s">
        <v>8336</v>
      </c>
      <c r="H2549" s="18" t="s">
        <v>49</v>
      </c>
      <c r="I2549" s="18"/>
      <c r="J2549" s="16">
        <v>2026</v>
      </c>
      <c r="K2549" s="18" t="s">
        <v>8337</v>
      </c>
      <c r="L2549" s="16">
        <v>9785002831197</v>
      </c>
      <c r="M2549" s="18" t="s">
        <v>8338</v>
      </c>
      <c r="N2549" s="16">
        <v>40</v>
      </c>
      <c r="O2549" s="19">
        <v>0.09</v>
      </c>
      <c r="P2549" s="16">
        <v>160</v>
      </c>
      <c r="Q2549" s="16">
        <v>210</v>
      </c>
      <c r="R2549" s="16">
        <v>40</v>
      </c>
      <c r="S2549" s="18" t="s">
        <v>52</v>
      </c>
      <c r="T2549" s="18" t="s">
        <v>8271</v>
      </c>
      <c r="U2549" s="17">
        <v>1500</v>
      </c>
      <c r="V2549" s="18" t="s">
        <v>44</v>
      </c>
      <c r="W2549" s="18" t="s">
        <v>55</v>
      </c>
      <c r="X2549" s="16">
        <v>10</v>
      </c>
      <c r="Y2549" s="18" t="s">
        <v>528</v>
      </c>
      <c r="Z2549" s="18" t="s">
        <v>113</v>
      </c>
      <c r="AS2549" s="1">
        <f>IF($A2549&lt;&gt;0,1,0)</f>
        <v>0</v>
      </c>
      <c r="AT2549" s="1">
        <f>$A2549*$B2549</f>
        <v>0</v>
      </c>
      <c r="AU2549" s="1">
        <f>$A2549*$O2549</f>
        <v>0</v>
      </c>
      <c r="AV2549" s="1">
        <f>IF($R2549=0,0,INT($A2549/$R2549))</f>
        <v>0</v>
      </c>
      <c r="AW2549" s="1">
        <f>$A2549-$AV2549*$R2549</f>
        <v>0</v>
      </c>
    </row>
    <row r="2550" ht="24.95" customHeight="1" outlineLevel="3" s="1" customFormat="1">
      <c r="A2550" s="15"/>
      <c r="B2550" s="16">
        <v>220</v>
      </c>
      <c r="C2550" s="16">
        <v>352</v>
      </c>
      <c r="D2550" s="16">
        <v>37664</v>
      </c>
      <c r="E2550" s="18" t="s">
        <v>8339</v>
      </c>
      <c r="F2550" s="18" t="s">
        <v>8340</v>
      </c>
      <c r="G2550" s="18" t="s">
        <v>8341</v>
      </c>
      <c r="H2550" s="18" t="s">
        <v>49</v>
      </c>
      <c r="I2550" s="18"/>
      <c r="J2550" s="16">
        <v>2026</v>
      </c>
      <c r="K2550" s="18" t="s">
        <v>8342</v>
      </c>
      <c r="L2550" s="16">
        <v>9785002831302</v>
      </c>
      <c r="M2550" s="18" t="s">
        <v>8343</v>
      </c>
      <c r="N2550" s="16">
        <v>32</v>
      </c>
      <c r="O2550" s="19">
        <v>0.07</v>
      </c>
      <c r="P2550" s="16">
        <v>160</v>
      </c>
      <c r="Q2550" s="16">
        <v>210</v>
      </c>
      <c r="R2550" s="16">
        <v>40</v>
      </c>
      <c r="S2550" s="18" t="s">
        <v>52</v>
      </c>
      <c r="T2550" s="18" t="s">
        <v>8271</v>
      </c>
      <c r="U2550" s="17">
        <v>1500</v>
      </c>
      <c r="V2550" s="18" t="s">
        <v>44</v>
      </c>
      <c r="W2550" s="18" t="s">
        <v>55</v>
      </c>
      <c r="X2550" s="16">
        <v>10</v>
      </c>
      <c r="Y2550" s="18" t="s">
        <v>8344</v>
      </c>
      <c r="Z2550" s="18" t="s">
        <v>113</v>
      </c>
      <c r="AS2550" s="1">
        <f>IF($A2550&lt;&gt;0,1,0)</f>
        <v>0</v>
      </c>
      <c r="AT2550" s="1">
        <f>$A2550*$B2550</f>
        <v>0</v>
      </c>
      <c r="AU2550" s="1">
        <f>$A2550*$O2550</f>
        <v>0</v>
      </c>
      <c r="AV2550" s="1">
        <f>IF($R2550=0,0,INT($A2550/$R2550))</f>
        <v>0</v>
      </c>
      <c r="AW2550" s="1">
        <f>$A2550-$AV2550*$R2550</f>
        <v>0</v>
      </c>
    </row>
    <row r="2551" ht="24.95" customHeight="1" outlineLevel="3" s="1" customFormat="1">
      <c r="A2551" s="15"/>
      <c r="B2551" s="16">
        <v>590</v>
      </c>
      <c r="C2551" s="16">
        <v>885</v>
      </c>
      <c r="D2551" s="16">
        <v>29691</v>
      </c>
      <c r="E2551" s="18"/>
      <c r="F2551" s="18" t="s">
        <v>3439</v>
      </c>
      <c r="G2551" s="18" t="s">
        <v>8345</v>
      </c>
      <c r="H2551" s="18" t="s">
        <v>49</v>
      </c>
      <c r="I2551" s="18"/>
      <c r="J2551" s="16">
        <v>2025</v>
      </c>
      <c r="K2551" s="18" t="s">
        <v>8346</v>
      </c>
      <c r="L2551" s="16">
        <v>9785961493450</v>
      </c>
      <c r="M2551" s="18" t="s">
        <v>8347</v>
      </c>
      <c r="N2551" s="16">
        <v>48</v>
      </c>
      <c r="O2551" s="19">
        <v>0.21</v>
      </c>
      <c r="P2551" s="16">
        <v>170</v>
      </c>
      <c r="Q2551" s="16">
        <v>220</v>
      </c>
      <c r="R2551" s="16">
        <v>18</v>
      </c>
      <c r="S2551" s="18" t="s">
        <v>52</v>
      </c>
      <c r="T2551" s="18" t="s">
        <v>8271</v>
      </c>
      <c r="U2551" s="17">
        <v>3000</v>
      </c>
      <c r="V2551" s="18" t="s">
        <v>77</v>
      </c>
      <c r="W2551" s="18" t="s">
        <v>55</v>
      </c>
      <c r="X2551" s="16">
        <v>10</v>
      </c>
      <c r="Y2551" s="18" t="s">
        <v>8272</v>
      </c>
      <c r="Z2551" s="18"/>
      <c r="AS2551" s="1">
        <f>IF($A2551&lt;&gt;0,1,0)</f>
        <v>0</v>
      </c>
      <c r="AT2551" s="1">
        <f>$A2551*$B2551</f>
        <v>0</v>
      </c>
      <c r="AU2551" s="1">
        <f>$A2551*$O2551</f>
        <v>0</v>
      </c>
      <c r="AV2551" s="1">
        <f>IF($R2551=0,0,INT($A2551/$R2551))</f>
        <v>0</v>
      </c>
      <c r="AW2551" s="1">
        <f>$A2551-$AV2551*$R2551</f>
        <v>0</v>
      </c>
    </row>
    <row r="2552" ht="24.95" customHeight="1" outlineLevel="3" s="1" customFormat="1">
      <c r="A2552" s="15"/>
      <c r="B2552" s="16">
        <v>490</v>
      </c>
      <c r="C2552" s="16">
        <v>760</v>
      </c>
      <c r="D2552" s="16">
        <v>30916</v>
      </c>
      <c r="E2552" s="18"/>
      <c r="F2552" s="18" t="s">
        <v>8348</v>
      </c>
      <c r="G2552" s="18" t="s">
        <v>8349</v>
      </c>
      <c r="H2552" s="18" t="s">
        <v>49</v>
      </c>
      <c r="I2552" s="18"/>
      <c r="J2552" s="16">
        <v>2026</v>
      </c>
      <c r="K2552" s="18" t="s">
        <v>8350</v>
      </c>
      <c r="L2552" s="16">
        <v>9785961496901</v>
      </c>
      <c r="M2552" s="18" t="s">
        <v>8351</v>
      </c>
      <c r="N2552" s="16">
        <v>48</v>
      </c>
      <c r="O2552" s="19">
        <v>0.21</v>
      </c>
      <c r="P2552" s="16">
        <v>170</v>
      </c>
      <c r="Q2552" s="16">
        <v>220</v>
      </c>
      <c r="R2552" s="16">
        <v>18</v>
      </c>
      <c r="S2552" s="18" t="s">
        <v>52</v>
      </c>
      <c r="T2552" s="18" t="s">
        <v>8271</v>
      </c>
      <c r="U2552" s="17">
        <v>3000</v>
      </c>
      <c r="V2552" s="18" t="s">
        <v>77</v>
      </c>
      <c r="W2552" s="18" t="s">
        <v>55</v>
      </c>
      <c r="X2552" s="16">
        <v>10</v>
      </c>
      <c r="Y2552" s="18" t="s">
        <v>8295</v>
      </c>
      <c r="Z2552" s="18"/>
      <c r="AS2552" s="1">
        <f>IF($A2552&lt;&gt;0,1,0)</f>
        <v>0</v>
      </c>
      <c r="AT2552" s="1">
        <f>$A2552*$B2552</f>
        <v>0</v>
      </c>
      <c r="AU2552" s="1">
        <f>$A2552*$O2552</f>
        <v>0</v>
      </c>
      <c r="AV2552" s="1">
        <f>IF($R2552=0,0,INT($A2552/$R2552))</f>
        <v>0</v>
      </c>
      <c r="AW2552" s="1">
        <f>$A2552-$AV2552*$R2552</f>
        <v>0</v>
      </c>
    </row>
    <row r="2553" ht="24.95" customHeight="1" outlineLevel="3" s="1" customFormat="1">
      <c r="A2553" s="15"/>
      <c r="B2553" s="16">
        <v>220</v>
      </c>
      <c r="C2553" s="16">
        <v>352</v>
      </c>
      <c r="D2553" s="16">
        <v>37663</v>
      </c>
      <c r="E2553" s="18" t="s">
        <v>8352</v>
      </c>
      <c r="F2553" s="18" t="s">
        <v>8305</v>
      </c>
      <c r="G2553" s="18" t="s">
        <v>8353</v>
      </c>
      <c r="H2553" s="18" t="s">
        <v>49</v>
      </c>
      <c r="I2553" s="18" t="s">
        <v>74</v>
      </c>
      <c r="J2553" s="16">
        <v>2026</v>
      </c>
      <c r="K2553" s="18" t="s">
        <v>8354</v>
      </c>
      <c r="L2553" s="16">
        <v>9785002831296</v>
      </c>
      <c r="M2553" s="18" t="s">
        <v>8355</v>
      </c>
      <c r="N2553" s="16">
        <v>32</v>
      </c>
      <c r="O2553" s="19">
        <v>0.07</v>
      </c>
      <c r="P2553" s="16">
        <v>160</v>
      </c>
      <c r="Q2553" s="16">
        <v>210</v>
      </c>
      <c r="R2553" s="16">
        <v>40</v>
      </c>
      <c r="S2553" s="18" t="s">
        <v>52</v>
      </c>
      <c r="T2553" s="18" t="s">
        <v>8271</v>
      </c>
      <c r="U2553" s="17">
        <v>1500</v>
      </c>
      <c r="V2553" s="18" t="s">
        <v>44</v>
      </c>
      <c r="W2553" s="18" t="s">
        <v>55</v>
      </c>
      <c r="X2553" s="16">
        <v>10</v>
      </c>
      <c r="Y2553" s="18" t="s">
        <v>8304</v>
      </c>
      <c r="Z2553" s="18" t="s">
        <v>113</v>
      </c>
      <c r="AS2553" s="1">
        <f>IF($A2553&lt;&gt;0,1,0)</f>
        <v>0</v>
      </c>
      <c r="AT2553" s="1">
        <f>$A2553*$B2553</f>
        <v>0</v>
      </c>
      <c r="AU2553" s="1">
        <f>$A2553*$O2553</f>
        <v>0</v>
      </c>
      <c r="AV2553" s="1">
        <f>IF($R2553=0,0,INT($A2553/$R2553))</f>
        <v>0</v>
      </c>
      <c r="AW2553" s="1">
        <f>$A2553-$AV2553*$R2553</f>
        <v>0</v>
      </c>
    </row>
    <row r="2554" ht="24.95" customHeight="1" outlineLevel="3" s="1" customFormat="1">
      <c r="A2554" s="15"/>
      <c r="B2554" s="16">
        <v>590</v>
      </c>
      <c r="C2554" s="16">
        <v>885</v>
      </c>
      <c r="D2554" s="16">
        <v>8824</v>
      </c>
      <c r="E2554" s="18"/>
      <c r="F2554" s="18" t="s">
        <v>8356</v>
      </c>
      <c r="G2554" s="18" t="s">
        <v>8357</v>
      </c>
      <c r="H2554" s="18" t="s">
        <v>49</v>
      </c>
      <c r="I2554" s="18"/>
      <c r="J2554" s="16">
        <v>2025</v>
      </c>
      <c r="K2554" s="18" t="s">
        <v>8358</v>
      </c>
      <c r="L2554" s="16">
        <v>9785961420005</v>
      </c>
      <c r="M2554" s="18" t="s">
        <v>8359</v>
      </c>
      <c r="N2554" s="16">
        <v>32</v>
      </c>
      <c r="O2554" s="19">
        <v>0.21</v>
      </c>
      <c r="P2554" s="16">
        <v>169</v>
      </c>
      <c r="Q2554" s="16">
        <v>217</v>
      </c>
      <c r="R2554" s="16">
        <v>20</v>
      </c>
      <c r="S2554" s="18" t="s">
        <v>52</v>
      </c>
      <c r="T2554" s="18" t="s">
        <v>8271</v>
      </c>
      <c r="U2554" s="17">
        <v>1500</v>
      </c>
      <c r="V2554" s="18" t="s">
        <v>77</v>
      </c>
      <c r="W2554" s="18" t="s">
        <v>184</v>
      </c>
      <c r="X2554" s="16">
        <v>10</v>
      </c>
      <c r="Y2554" s="18" t="s">
        <v>8272</v>
      </c>
      <c r="Z2554" s="18"/>
      <c r="AS2554" s="1">
        <f>IF($A2554&lt;&gt;0,1,0)</f>
        <v>0</v>
      </c>
      <c r="AT2554" s="1">
        <f>$A2554*$B2554</f>
        <v>0</v>
      </c>
      <c r="AU2554" s="1">
        <f>$A2554*$O2554</f>
        <v>0</v>
      </c>
      <c r="AV2554" s="1">
        <f>IF($R2554=0,0,INT($A2554/$R2554))</f>
        <v>0</v>
      </c>
      <c r="AW2554" s="1">
        <f>$A2554-$AV2554*$R2554</f>
        <v>0</v>
      </c>
    </row>
    <row r="2555" ht="24.95" customHeight="1" outlineLevel="3" s="1" customFormat="1">
      <c r="A2555" s="15"/>
      <c r="B2555" s="16">
        <v>490</v>
      </c>
      <c r="C2555" s="16">
        <v>760</v>
      </c>
      <c r="D2555" s="16">
        <v>11644</v>
      </c>
      <c r="E2555" s="18"/>
      <c r="F2555" s="18" t="s">
        <v>8305</v>
      </c>
      <c r="G2555" s="18" t="s">
        <v>8360</v>
      </c>
      <c r="H2555" s="18" t="s">
        <v>49</v>
      </c>
      <c r="I2555" s="18" t="s">
        <v>74</v>
      </c>
      <c r="J2555" s="16">
        <v>2025</v>
      </c>
      <c r="K2555" s="18" t="s">
        <v>8361</v>
      </c>
      <c r="L2555" s="16">
        <v>9785961424164</v>
      </c>
      <c r="M2555" s="18" t="s">
        <v>8362</v>
      </c>
      <c r="N2555" s="16">
        <v>32</v>
      </c>
      <c r="O2555" s="19">
        <v>0.21</v>
      </c>
      <c r="P2555" s="16">
        <v>170</v>
      </c>
      <c r="Q2555" s="16">
        <v>220</v>
      </c>
      <c r="R2555" s="16">
        <v>20</v>
      </c>
      <c r="S2555" s="18" t="s">
        <v>52</v>
      </c>
      <c r="T2555" s="18" t="s">
        <v>8271</v>
      </c>
      <c r="U2555" s="17">
        <v>1500</v>
      </c>
      <c r="V2555" s="18" t="s">
        <v>77</v>
      </c>
      <c r="W2555" s="18" t="s">
        <v>55</v>
      </c>
      <c r="X2555" s="16">
        <v>10</v>
      </c>
      <c r="Y2555" s="18" t="s">
        <v>8309</v>
      </c>
      <c r="Z2555" s="18"/>
      <c r="AS2555" s="1">
        <f>IF($A2555&lt;&gt;0,1,0)</f>
        <v>0</v>
      </c>
      <c r="AT2555" s="1">
        <f>$A2555*$B2555</f>
        <v>0</v>
      </c>
      <c r="AU2555" s="1">
        <f>$A2555*$O2555</f>
        <v>0</v>
      </c>
      <c r="AV2555" s="1">
        <f>IF($R2555=0,0,INT($A2555/$R2555))</f>
        <v>0</v>
      </c>
      <c r="AW2555" s="1">
        <f>$A2555-$AV2555*$R2555</f>
        <v>0</v>
      </c>
    </row>
    <row r="2556" ht="24.95" customHeight="1" outlineLevel="3" s="1" customFormat="1">
      <c r="A2556" s="15"/>
      <c r="B2556" s="16">
        <v>220</v>
      </c>
      <c r="C2556" s="16">
        <v>352</v>
      </c>
      <c r="D2556" s="16">
        <v>37661</v>
      </c>
      <c r="E2556" s="18" t="s">
        <v>8363</v>
      </c>
      <c r="F2556" s="18" t="s">
        <v>8364</v>
      </c>
      <c r="G2556" s="18" t="s">
        <v>8365</v>
      </c>
      <c r="H2556" s="18" t="s">
        <v>49</v>
      </c>
      <c r="I2556" s="18"/>
      <c r="J2556" s="16">
        <v>2026</v>
      </c>
      <c r="K2556" s="18" t="s">
        <v>8366</v>
      </c>
      <c r="L2556" s="16">
        <v>9785002831203</v>
      </c>
      <c r="M2556" s="18" t="s">
        <v>8367</v>
      </c>
      <c r="N2556" s="16">
        <v>32</v>
      </c>
      <c r="O2556" s="19">
        <v>0.07</v>
      </c>
      <c r="P2556" s="16">
        <v>160</v>
      </c>
      <c r="Q2556" s="16">
        <v>210</v>
      </c>
      <c r="R2556" s="16">
        <v>40</v>
      </c>
      <c r="S2556" s="18" t="s">
        <v>52</v>
      </c>
      <c r="T2556" s="18" t="s">
        <v>8271</v>
      </c>
      <c r="U2556" s="17">
        <v>1500</v>
      </c>
      <c r="V2556" s="18" t="s">
        <v>44</v>
      </c>
      <c r="W2556" s="18" t="s">
        <v>55</v>
      </c>
      <c r="X2556" s="16">
        <v>10</v>
      </c>
      <c r="Y2556" s="18" t="s">
        <v>528</v>
      </c>
      <c r="Z2556" s="18" t="s">
        <v>149</v>
      </c>
      <c r="AS2556" s="1">
        <f>IF($A2556&lt;&gt;0,1,0)</f>
        <v>0</v>
      </c>
      <c r="AT2556" s="1">
        <f>$A2556*$B2556</f>
        <v>0</v>
      </c>
      <c r="AU2556" s="1">
        <f>$A2556*$O2556</f>
        <v>0</v>
      </c>
      <c r="AV2556" s="1">
        <f>IF($R2556=0,0,INT($A2556/$R2556))</f>
        <v>0</v>
      </c>
      <c r="AW2556" s="1">
        <f>$A2556-$AV2556*$R2556</f>
        <v>0</v>
      </c>
    </row>
    <row r="2557" ht="11.1" customHeight="1" outlineLevel="2">
      <c r="A2557" s="41" t="s">
        <v>8368</v>
      </c>
      <c r="B2557" s="41"/>
      <c r="C2557" s="41"/>
      <c r="D2557" s="41"/>
      <c r="E2557" s="41"/>
      <c r="F2557" s="41"/>
      <c r="G2557" s="41"/>
      <c r="H2557" s="41"/>
      <c r="I2557" s="41"/>
      <c r="J2557" s="41"/>
      <c r="K2557" s="41"/>
      <c r="L2557" s="41"/>
      <c r="M2557" s="41"/>
      <c r="N2557" s="41"/>
      <c r="O2557" s="41"/>
      <c r="P2557" s="41"/>
      <c r="Q2557" s="41"/>
      <c r="R2557" s="41"/>
      <c r="S2557" s="41"/>
      <c r="T2557" s="41"/>
      <c r="U2557" s="41"/>
      <c r="V2557" s="41"/>
      <c r="W2557" s="41"/>
      <c r="X2557" s="41"/>
      <c r="Y2557" s="41"/>
      <c r="Z2557" s="24"/>
    </row>
    <row r="2558" ht="24.95" customHeight="1" outlineLevel="3" s="1" customFormat="1">
      <c r="A2558" s="25"/>
      <c r="B2558" s="26">
        <v>390</v>
      </c>
      <c r="C2558" s="26">
        <v>624</v>
      </c>
      <c r="D2558" s="26">
        <v>18065</v>
      </c>
      <c r="E2558" s="27"/>
      <c r="F2558" s="27" t="s">
        <v>722</v>
      </c>
      <c r="G2558" s="27" t="s">
        <v>723</v>
      </c>
      <c r="H2558" s="27" t="s">
        <v>49</v>
      </c>
      <c r="I2558" s="27" t="s">
        <v>87</v>
      </c>
      <c r="J2558" s="26">
        <v>2020</v>
      </c>
      <c r="K2558" s="27" t="s">
        <v>724</v>
      </c>
      <c r="L2558" s="26">
        <v>9785961433043</v>
      </c>
      <c r="M2558" s="27" t="s">
        <v>725</v>
      </c>
      <c r="N2558" s="26">
        <v>32</v>
      </c>
      <c r="O2558" s="28">
        <v>0.3</v>
      </c>
      <c r="P2558" s="26">
        <v>226</v>
      </c>
      <c r="Q2558" s="26">
        <v>225</v>
      </c>
      <c r="R2558" s="26">
        <v>20</v>
      </c>
      <c r="S2558" s="27" t="s">
        <v>83</v>
      </c>
      <c r="T2558" s="27" t="s">
        <v>726</v>
      </c>
      <c r="U2558" s="29">
        <v>3000</v>
      </c>
      <c r="V2558" s="27" t="s">
        <v>77</v>
      </c>
      <c r="W2558" s="27" t="s">
        <v>55</v>
      </c>
      <c r="X2558" s="26">
        <v>10</v>
      </c>
      <c r="Y2558" s="27" t="s">
        <v>727</v>
      </c>
      <c r="Z2558" s="27"/>
      <c r="AS2558" s="1">
        <f>IF($A2558&lt;&gt;0,1,0)</f>
        <v>0</v>
      </c>
      <c r="AT2558" s="1">
        <f>$A2558*$B2558</f>
        <v>0</v>
      </c>
      <c r="AU2558" s="1">
        <f>$A2558*$O2558</f>
        <v>0</v>
      </c>
      <c r="AV2558" s="1">
        <f>IF($R2558=0,0,INT($A2558/$R2558))</f>
        <v>0</v>
      </c>
      <c r="AW2558" s="1">
        <f>$A2558-$AV2558*$R2558</f>
        <v>0</v>
      </c>
    </row>
    <row r="2559" ht="11.1" customHeight="1" outlineLevel="2">
      <c r="A2559" s="41" t="s">
        <v>8369</v>
      </c>
      <c r="B2559" s="41"/>
      <c r="C2559" s="41"/>
      <c r="D2559" s="41"/>
      <c r="E2559" s="41"/>
      <c r="F2559" s="41"/>
      <c r="G2559" s="41"/>
      <c r="H2559" s="41"/>
      <c r="I2559" s="41"/>
      <c r="J2559" s="41"/>
      <c r="K2559" s="41"/>
      <c r="L2559" s="41"/>
      <c r="M2559" s="41"/>
      <c r="N2559" s="41"/>
      <c r="O2559" s="41"/>
      <c r="P2559" s="41"/>
      <c r="Q2559" s="41"/>
      <c r="R2559" s="41"/>
      <c r="S2559" s="41"/>
      <c r="T2559" s="41"/>
      <c r="U2559" s="41"/>
      <c r="V2559" s="41"/>
      <c r="W2559" s="41"/>
      <c r="X2559" s="41"/>
      <c r="Y2559" s="41"/>
      <c r="Z2559" s="24"/>
    </row>
    <row r="2560" ht="24.95" customHeight="1" outlineLevel="3" s="1" customFormat="1">
      <c r="A2560" s="15"/>
      <c r="B2560" s="16">
        <v>490</v>
      </c>
      <c r="C2560" s="16">
        <v>760</v>
      </c>
      <c r="D2560" s="16">
        <v>22294</v>
      </c>
      <c r="E2560" s="18"/>
      <c r="F2560" s="18" t="s">
        <v>1019</v>
      </c>
      <c r="G2560" s="18" t="s">
        <v>8370</v>
      </c>
      <c r="H2560" s="18" t="s">
        <v>49</v>
      </c>
      <c r="I2560" s="18" t="s">
        <v>87</v>
      </c>
      <c r="J2560" s="16">
        <v>2026</v>
      </c>
      <c r="K2560" s="18" t="s">
        <v>8371</v>
      </c>
      <c r="L2560" s="16">
        <v>9785961447118</v>
      </c>
      <c r="M2560" s="18" t="s">
        <v>8372</v>
      </c>
      <c r="N2560" s="16">
        <v>12</v>
      </c>
      <c r="O2560" s="19">
        <v>0.14</v>
      </c>
      <c r="P2560" s="16">
        <v>180</v>
      </c>
      <c r="Q2560" s="16">
        <v>180</v>
      </c>
      <c r="R2560" s="16">
        <v>96</v>
      </c>
      <c r="S2560" s="18" t="s">
        <v>83</v>
      </c>
      <c r="T2560" s="18" t="s">
        <v>1007</v>
      </c>
      <c r="U2560" s="17">
        <v>5000</v>
      </c>
      <c r="V2560" s="18" t="s">
        <v>44</v>
      </c>
      <c r="W2560" s="18" t="s">
        <v>184</v>
      </c>
      <c r="X2560" s="16">
        <v>10</v>
      </c>
      <c r="Y2560" s="18" t="s">
        <v>1008</v>
      </c>
      <c r="Z2560" s="18"/>
      <c r="AS2560" s="1">
        <f>IF($A2560&lt;&gt;0,1,0)</f>
        <v>0</v>
      </c>
      <c r="AT2560" s="1">
        <f>$A2560*$B2560</f>
        <v>0</v>
      </c>
      <c r="AU2560" s="1">
        <f>$A2560*$O2560</f>
        <v>0</v>
      </c>
      <c r="AV2560" s="1">
        <f>IF($R2560=0,0,INT($A2560/$R2560))</f>
        <v>0</v>
      </c>
      <c r="AW2560" s="1">
        <f>$A2560-$AV2560*$R2560</f>
        <v>0</v>
      </c>
    </row>
    <row r="2561" ht="24.95" customHeight="1" outlineLevel="3" s="1" customFormat="1">
      <c r="A2561" s="15"/>
      <c r="B2561" s="16">
        <v>490</v>
      </c>
      <c r="C2561" s="16">
        <v>760</v>
      </c>
      <c r="D2561" s="16">
        <v>32495</v>
      </c>
      <c r="E2561" s="18"/>
      <c r="F2561" s="18" t="s">
        <v>1003</v>
      </c>
      <c r="G2561" s="18" t="s">
        <v>8373</v>
      </c>
      <c r="H2561" s="18" t="s">
        <v>49</v>
      </c>
      <c r="I2561" s="18" t="s">
        <v>87</v>
      </c>
      <c r="J2561" s="16">
        <v>2026</v>
      </c>
      <c r="K2561" s="18" t="s">
        <v>8374</v>
      </c>
      <c r="L2561" s="16">
        <v>9785006302631</v>
      </c>
      <c r="M2561" s="18" t="s">
        <v>8375</v>
      </c>
      <c r="N2561" s="16">
        <v>12</v>
      </c>
      <c r="O2561" s="19">
        <v>0.13</v>
      </c>
      <c r="P2561" s="16">
        <v>180</v>
      </c>
      <c r="Q2561" s="16">
        <v>180</v>
      </c>
      <c r="R2561" s="16">
        <v>18</v>
      </c>
      <c r="S2561" s="18" t="s">
        <v>83</v>
      </c>
      <c r="T2561" s="18" t="s">
        <v>1007</v>
      </c>
      <c r="U2561" s="17">
        <v>2000</v>
      </c>
      <c r="V2561" s="18" t="s">
        <v>44</v>
      </c>
      <c r="W2561" s="18" t="s">
        <v>184</v>
      </c>
      <c r="X2561" s="16">
        <v>10</v>
      </c>
      <c r="Y2561" s="18" t="s">
        <v>8309</v>
      </c>
      <c r="Z2561" s="18"/>
      <c r="AS2561" s="1">
        <f>IF($A2561&lt;&gt;0,1,0)</f>
        <v>0</v>
      </c>
      <c r="AT2561" s="1">
        <f>$A2561*$B2561</f>
        <v>0</v>
      </c>
      <c r="AU2561" s="1">
        <f>$A2561*$O2561</f>
        <v>0</v>
      </c>
      <c r="AV2561" s="1">
        <f>IF($R2561=0,0,INT($A2561/$R2561))</f>
        <v>0</v>
      </c>
      <c r="AW2561" s="1">
        <f>$A2561-$AV2561*$R2561</f>
        <v>0</v>
      </c>
    </row>
    <row r="2562" ht="24.95" customHeight="1" outlineLevel="3" s="1" customFormat="1">
      <c r="A2562" s="15"/>
      <c r="B2562" s="16">
        <v>490</v>
      </c>
      <c r="C2562" s="16">
        <v>760</v>
      </c>
      <c r="D2562" s="16">
        <v>23649</v>
      </c>
      <c r="E2562" s="18"/>
      <c r="F2562" s="18" t="s">
        <v>1003</v>
      </c>
      <c r="G2562" s="18" t="s">
        <v>1004</v>
      </c>
      <c r="H2562" s="18" t="s">
        <v>49</v>
      </c>
      <c r="I2562" s="18" t="s">
        <v>87</v>
      </c>
      <c r="J2562" s="16">
        <v>2026</v>
      </c>
      <c r="K2562" s="18" t="s">
        <v>1005</v>
      </c>
      <c r="L2562" s="16">
        <v>9785961477535</v>
      </c>
      <c r="M2562" s="18" t="s">
        <v>1006</v>
      </c>
      <c r="N2562" s="16">
        <v>12</v>
      </c>
      <c r="O2562" s="19">
        <v>0.15</v>
      </c>
      <c r="P2562" s="16">
        <v>180</v>
      </c>
      <c r="Q2562" s="16">
        <v>180</v>
      </c>
      <c r="R2562" s="16">
        <v>96</v>
      </c>
      <c r="S2562" s="18" t="s">
        <v>83</v>
      </c>
      <c r="T2562" s="18" t="s">
        <v>1007</v>
      </c>
      <c r="U2562" s="17">
        <v>2000</v>
      </c>
      <c r="V2562" s="18" t="s">
        <v>44</v>
      </c>
      <c r="W2562" s="18" t="s">
        <v>184</v>
      </c>
      <c r="X2562" s="16">
        <v>10</v>
      </c>
      <c r="Y2562" s="18" t="s">
        <v>1008</v>
      </c>
      <c r="Z2562" s="18"/>
      <c r="AS2562" s="1">
        <f>IF($A2562&lt;&gt;0,1,0)</f>
        <v>0</v>
      </c>
      <c r="AT2562" s="1">
        <f>$A2562*$B2562</f>
        <v>0</v>
      </c>
      <c r="AU2562" s="1">
        <f>$A2562*$O2562</f>
        <v>0</v>
      </c>
      <c r="AV2562" s="1">
        <f>IF($R2562=0,0,INT($A2562/$R2562))</f>
        <v>0</v>
      </c>
      <c r="AW2562" s="1">
        <f>$A2562-$AV2562*$R2562</f>
        <v>0</v>
      </c>
    </row>
    <row r="2563" ht="24.95" customHeight="1" outlineLevel="3" s="1" customFormat="1">
      <c r="A2563" s="15"/>
      <c r="B2563" s="16">
        <v>490</v>
      </c>
      <c r="C2563" s="16">
        <v>760</v>
      </c>
      <c r="D2563" s="16">
        <v>23655</v>
      </c>
      <c r="E2563" s="18"/>
      <c r="F2563" s="18" t="s">
        <v>1003</v>
      </c>
      <c r="G2563" s="18" t="s">
        <v>8376</v>
      </c>
      <c r="H2563" s="18" t="s">
        <v>49</v>
      </c>
      <c r="I2563" s="18" t="s">
        <v>87</v>
      </c>
      <c r="J2563" s="16">
        <v>2026</v>
      </c>
      <c r="K2563" s="18" t="s">
        <v>8377</v>
      </c>
      <c r="L2563" s="16">
        <v>9785961474459</v>
      </c>
      <c r="M2563" s="18" t="s">
        <v>8378</v>
      </c>
      <c r="N2563" s="16">
        <v>14</v>
      </c>
      <c r="O2563" s="19">
        <v>0.18</v>
      </c>
      <c r="P2563" s="16">
        <v>180</v>
      </c>
      <c r="Q2563" s="16">
        <v>180</v>
      </c>
      <c r="R2563" s="16">
        <v>96</v>
      </c>
      <c r="S2563" s="18" t="s">
        <v>83</v>
      </c>
      <c r="T2563" s="18" t="s">
        <v>1007</v>
      </c>
      <c r="U2563" s="17">
        <v>2000</v>
      </c>
      <c r="V2563" s="18" t="s">
        <v>44</v>
      </c>
      <c r="W2563" s="18" t="s">
        <v>184</v>
      </c>
      <c r="X2563" s="16">
        <v>10</v>
      </c>
      <c r="Y2563" s="18" t="s">
        <v>1008</v>
      </c>
      <c r="Z2563" s="18"/>
      <c r="AS2563" s="1">
        <f>IF($A2563&lt;&gt;0,1,0)</f>
        <v>0</v>
      </c>
      <c r="AT2563" s="1">
        <f>$A2563*$B2563</f>
        <v>0</v>
      </c>
      <c r="AU2563" s="1">
        <f>$A2563*$O2563</f>
        <v>0</v>
      </c>
      <c r="AV2563" s="1">
        <f>IF($R2563=0,0,INT($A2563/$R2563))</f>
        <v>0</v>
      </c>
      <c r="AW2563" s="1">
        <f>$A2563-$AV2563*$R2563</f>
        <v>0</v>
      </c>
    </row>
    <row r="2564" ht="24.95" customHeight="1" outlineLevel="3" s="1" customFormat="1">
      <c r="A2564" s="15"/>
      <c r="B2564" s="16">
        <v>490</v>
      </c>
      <c r="C2564" s="16">
        <v>760</v>
      </c>
      <c r="D2564" s="16">
        <v>30944</v>
      </c>
      <c r="E2564" s="18"/>
      <c r="F2564" s="18" t="s">
        <v>1003</v>
      </c>
      <c r="G2564" s="18" t="s">
        <v>8379</v>
      </c>
      <c r="H2564" s="18" t="s">
        <v>49</v>
      </c>
      <c r="I2564" s="18" t="s">
        <v>87</v>
      </c>
      <c r="J2564" s="16">
        <v>2026</v>
      </c>
      <c r="K2564" s="18" t="s">
        <v>8380</v>
      </c>
      <c r="L2564" s="16">
        <v>9785961497021</v>
      </c>
      <c r="M2564" s="18" t="s">
        <v>8381</v>
      </c>
      <c r="N2564" s="16">
        <v>12</v>
      </c>
      <c r="O2564" s="19">
        <v>0.14</v>
      </c>
      <c r="P2564" s="16">
        <v>170</v>
      </c>
      <c r="Q2564" s="16">
        <v>170</v>
      </c>
      <c r="R2564" s="16">
        <v>96</v>
      </c>
      <c r="S2564" s="18" t="s">
        <v>83</v>
      </c>
      <c r="T2564" s="18" t="s">
        <v>1007</v>
      </c>
      <c r="U2564" s="17">
        <v>8000</v>
      </c>
      <c r="V2564" s="18" t="s">
        <v>44</v>
      </c>
      <c r="W2564" s="18" t="s">
        <v>184</v>
      </c>
      <c r="X2564" s="16">
        <v>10</v>
      </c>
      <c r="Y2564" s="18" t="s">
        <v>1008</v>
      </c>
      <c r="Z2564" s="18"/>
      <c r="AS2564" s="1">
        <f>IF($A2564&lt;&gt;0,1,0)</f>
        <v>0</v>
      </c>
      <c r="AT2564" s="1">
        <f>$A2564*$B2564</f>
        <v>0</v>
      </c>
      <c r="AU2564" s="1">
        <f>$A2564*$O2564</f>
        <v>0</v>
      </c>
      <c r="AV2564" s="1">
        <f>IF($R2564=0,0,INT($A2564/$R2564))</f>
        <v>0</v>
      </c>
      <c r="AW2564" s="1">
        <f>$A2564-$AV2564*$R2564</f>
        <v>0</v>
      </c>
    </row>
    <row r="2565" ht="24.95" customHeight="1" outlineLevel="3" s="1" customFormat="1">
      <c r="A2565" s="15"/>
      <c r="B2565" s="16">
        <v>490</v>
      </c>
      <c r="C2565" s="16">
        <v>760</v>
      </c>
      <c r="D2565" s="16">
        <v>27257</v>
      </c>
      <c r="E2565" s="18"/>
      <c r="F2565" s="18" t="s">
        <v>1003</v>
      </c>
      <c r="G2565" s="18" t="s">
        <v>1009</v>
      </c>
      <c r="H2565" s="18" t="s">
        <v>49</v>
      </c>
      <c r="I2565" s="18" t="s">
        <v>87</v>
      </c>
      <c r="J2565" s="16">
        <v>2026</v>
      </c>
      <c r="K2565" s="18" t="s">
        <v>1010</v>
      </c>
      <c r="L2565" s="16">
        <v>9785961484434</v>
      </c>
      <c r="M2565" s="18" t="s">
        <v>1011</v>
      </c>
      <c r="N2565" s="16">
        <v>12</v>
      </c>
      <c r="O2565" s="19">
        <v>0.15</v>
      </c>
      <c r="P2565" s="16">
        <v>180</v>
      </c>
      <c r="Q2565" s="16">
        <v>180</v>
      </c>
      <c r="R2565" s="16">
        <v>96</v>
      </c>
      <c r="S2565" s="18" t="s">
        <v>83</v>
      </c>
      <c r="T2565" s="18" t="s">
        <v>1007</v>
      </c>
      <c r="U2565" s="17">
        <v>1000</v>
      </c>
      <c r="V2565" s="18" t="s">
        <v>44</v>
      </c>
      <c r="W2565" s="18" t="s">
        <v>184</v>
      </c>
      <c r="X2565" s="16">
        <v>10</v>
      </c>
      <c r="Y2565" s="18" t="s">
        <v>1008</v>
      </c>
      <c r="Z2565" s="18"/>
      <c r="AS2565" s="1">
        <f>IF($A2565&lt;&gt;0,1,0)</f>
        <v>0</v>
      </c>
      <c r="AT2565" s="1">
        <f>$A2565*$B2565</f>
        <v>0</v>
      </c>
      <c r="AU2565" s="1">
        <f>$A2565*$O2565</f>
        <v>0</v>
      </c>
      <c r="AV2565" s="1">
        <f>IF($R2565=0,0,INT($A2565/$R2565))</f>
        <v>0</v>
      </c>
      <c r="AW2565" s="1">
        <f>$A2565-$AV2565*$R2565</f>
        <v>0</v>
      </c>
    </row>
    <row r="2566" ht="24.95" customHeight="1" outlineLevel="3" s="1" customFormat="1">
      <c r="A2566" s="15"/>
      <c r="B2566" s="16">
        <v>490</v>
      </c>
      <c r="C2566" s="16">
        <v>760</v>
      </c>
      <c r="D2566" s="16">
        <v>23648</v>
      </c>
      <c r="E2566" s="18"/>
      <c r="F2566" s="18" t="s">
        <v>1003</v>
      </c>
      <c r="G2566" s="18" t="s">
        <v>8382</v>
      </c>
      <c r="H2566" s="18" t="s">
        <v>49</v>
      </c>
      <c r="I2566" s="18" t="s">
        <v>87</v>
      </c>
      <c r="J2566" s="16">
        <v>2026</v>
      </c>
      <c r="K2566" s="18" t="s">
        <v>8383</v>
      </c>
      <c r="L2566" s="16">
        <v>9785961480603</v>
      </c>
      <c r="M2566" s="18" t="s">
        <v>8384</v>
      </c>
      <c r="N2566" s="16">
        <v>12</v>
      </c>
      <c r="O2566" s="19">
        <v>0.15</v>
      </c>
      <c r="P2566" s="16">
        <v>180</v>
      </c>
      <c r="Q2566" s="16">
        <v>180</v>
      </c>
      <c r="R2566" s="16">
        <v>96</v>
      </c>
      <c r="S2566" s="18" t="s">
        <v>83</v>
      </c>
      <c r="T2566" s="18" t="s">
        <v>1007</v>
      </c>
      <c r="U2566" s="17">
        <v>1500</v>
      </c>
      <c r="V2566" s="18" t="s">
        <v>44</v>
      </c>
      <c r="W2566" s="18" t="s">
        <v>184</v>
      </c>
      <c r="X2566" s="16">
        <v>10</v>
      </c>
      <c r="Y2566" s="18" t="s">
        <v>1008</v>
      </c>
      <c r="Z2566" s="18"/>
      <c r="AS2566" s="1">
        <f>IF($A2566&lt;&gt;0,1,0)</f>
        <v>0</v>
      </c>
      <c r="AT2566" s="1">
        <f>$A2566*$B2566</f>
        <v>0</v>
      </c>
      <c r="AU2566" s="1">
        <f>$A2566*$O2566</f>
        <v>0</v>
      </c>
      <c r="AV2566" s="1">
        <f>IF($R2566=0,0,INT($A2566/$R2566))</f>
        <v>0</v>
      </c>
      <c r="AW2566" s="1">
        <f>$A2566-$AV2566*$R2566</f>
        <v>0</v>
      </c>
    </row>
    <row r="2567" ht="24.95" customHeight="1" outlineLevel="3" s="1" customFormat="1">
      <c r="A2567" s="15"/>
      <c r="B2567" s="16">
        <v>490</v>
      </c>
      <c r="C2567" s="16">
        <v>760</v>
      </c>
      <c r="D2567" s="16">
        <v>23058</v>
      </c>
      <c r="E2567" s="18"/>
      <c r="F2567" s="18" t="s">
        <v>8385</v>
      </c>
      <c r="G2567" s="18" t="s">
        <v>8386</v>
      </c>
      <c r="H2567" s="18" t="s">
        <v>49</v>
      </c>
      <c r="I2567" s="18" t="s">
        <v>87</v>
      </c>
      <c r="J2567" s="16">
        <v>2025</v>
      </c>
      <c r="K2567" s="18" t="s">
        <v>8387</v>
      </c>
      <c r="L2567" s="16">
        <v>9785961471656</v>
      </c>
      <c r="M2567" s="18" t="s">
        <v>8388</v>
      </c>
      <c r="N2567" s="16">
        <v>12</v>
      </c>
      <c r="O2567" s="19">
        <v>0.16</v>
      </c>
      <c r="P2567" s="16">
        <v>180</v>
      </c>
      <c r="Q2567" s="16">
        <v>180</v>
      </c>
      <c r="R2567" s="16">
        <v>1</v>
      </c>
      <c r="S2567" s="18" t="s">
        <v>83</v>
      </c>
      <c r="T2567" s="18" t="s">
        <v>1007</v>
      </c>
      <c r="U2567" s="17">
        <v>1500</v>
      </c>
      <c r="V2567" s="18" t="s">
        <v>44</v>
      </c>
      <c r="W2567" s="18" t="s">
        <v>184</v>
      </c>
      <c r="X2567" s="16">
        <v>10</v>
      </c>
      <c r="Y2567" s="18" t="s">
        <v>7918</v>
      </c>
      <c r="Z2567" s="18"/>
      <c r="AS2567" s="1">
        <f>IF($A2567&lt;&gt;0,1,0)</f>
        <v>0</v>
      </c>
      <c r="AT2567" s="1">
        <f>$A2567*$B2567</f>
        <v>0</v>
      </c>
      <c r="AU2567" s="1">
        <f>$A2567*$O2567</f>
        <v>0</v>
      </c>
      <c r="AV2567" s="1">
        <f>IF($R2567=0,0,INT($A2567/$R2567))</f>
        <v>0</v>
      </c>
      <c r="AW2567" s="1">
        <f>$A2567-$AV2567*$R2567</f>
        <v>0</v>
      </c>
    </row>
    <row r="2568" ht="24.95" customHeight="1" outlineLevel="3" s="1" customFormat="1">
      <c r="A2568" s="15"/>
      <c r="B2568" s="16">
        <v>390</v>
      </c>
      <c r="C2568" s="16">
        <v>624</v>
      </c>
      <c r="D2568" s="16">
        <v>23641</v>
      </c>
      <c r="E2568" s="18"/>
      <c r="F2568" s="18" t="s">
        <v>1003</v>
      </c>
      <c r="G2568" s="18" t="s">
        <v>8389</v>
      </c>
      <c r="H2568" s="18" t="s">
        <v>49</v>
      </c>
      <c r="I2568" s="18" t="s">
        <v>87</v>
      </c>
      <c r="J2568" s="16">
        <v>2023</v>
      </c>
      <c r="K2568" s="18" t="s">
        <v>8390</v>
      </c>
      <c r="L2568" s="16">
        <v>9785961476651</v>
      </c>
      <c r="M2568" s="18" t="s">
        <v>8391</v>
      </c>
      <c r="N2568" s="16">
        <v>20</v>
      </c>
      <c r="O2568" s="19">
        <v>0.23</v>
      </c>
      <c r="P2568" s="16">
        <v>180</v>
      </c>
      <c r="Q2568" s="16">
        <v>180</v>
      </c>
      <c r="R2568" s="16">
        <v>50</v>
      </c>
      <c r="S2568" s="18" t="s">
        <v>83</v>
      </c>
      <c r="T2568" s="18" t="s">
        <v>1007</v>
      </c>
      <c r="U2568" s="17">
        <v>3000</v>
      </c>
      <c r="V2568" s="18" t="s">
        <v>44</v>
      </c>
      <c r="W2568" s="18" t="s">
        <v>184</v>
      </c>
      <c r="X2568" s="16">
        <v>10</v>
      </c>
      <c r="Y2568" s="18" t="s">
        <v>8069</v>
      </c>
      <c r="Z2568" s="18"/>
      <c r="AS2568" s="1">
        <f>IF($A2568&lt;&gt;0,1,0)</f>
        <v>0</v>
      </c>
      <c r="AT2568" s="1">
        <f>$A2568*$B2568</f>
        <v>0</v>
      </c>
      <c r="AU2568" s="1">
        <f>$A2568*$O2568</f>
        <v>0</v>
      </c>
      <c r="AV2568" s="1">
        <f>IF($R2568=0,0,INT($A2568/$R2568))</f>
        <v>0</v>
      </c>
      <c r="AW2568" s="1">
        <f>$A2568-$AV2568*$R2568</f>
        <v>0</v>
      </c>
    </row>
    <row r="2569" ht="24.95" customHeight="1" outlineLevel="3" s="1" customFormat="1">
      <c r="A2569" s="15"/>
      <c r="B2569" s="16">
        <v>490</v>
      </c>
      <c r="C2569" s="16">
        <v>760</v>
      </c>
      <c r="D2569" s="16">
        <v>23509</v>
      </c>
      <c r="E2569" s="18"/>
      <c r="F2569" s="18" t="s">
        <v>1003</v>
      </c>
      <c r="G2569" s="18" t="s">
        <v>8392</v>
      </c>
      <c r="H2569" s="18" t="s">
        <v>49</v>
      </c>
      <c r="I2569" s="18" t="s">
        <v>87</v>
      </c>
      <c r="J2569" s="16">
        <v>2026</v>
      </c>
      <c r="K2569" s="18" t="s">
        <v>8393</v>
      </c>
      <c r="L2569" s="16">
        <v>9785961473742</v>
      </c>
      <c r="M2569" s="18" t="s">
        <v>8394</v>
      </c>
      <c r="N2569" s="16">
        <v>12</v>
      </c>
      <c r="O2569" s="19">
        <v>0.14</v>
      </c>
      <c r="P2569" s="16">
        <v>180</v>
      </c>
      <c r="Q2569" s="16">
        <v>180</v>
      </c>
      <c r="R2569" s="16">
        <v>96</v>
      </c>
      <c r="S2569" s="18" t="s">
        <v>83</v>
      </c>
      <c r="T2569" s="18" t="s">
        <v>1007</v>
      </c>
      <c r="U2569" s="17">
        <v>4000</v>
      </c>
      <c r="V2569" s="18" t="s">
        <v>44</v>
      </c>
      <c r="W2569" s="18" t="s">
        <v>184</v>
      </c>
      <c r="X2569" s="16">
        <v>10</v>
      </c>
      <c r="Y2569" s="18" t="s">
        <v>1008</v>
      </c>
      <c r="Z2569" s="18"/>
      <c r="AS2569" s="1">
        <f>IF($A2569&lt;&gt;0,1,0)</f>
        <v>0</v>
      </c>
      <c r="AT2569" s="1">
        <f>$A2569*$B2569</f>
        <v>0</v>
      </c>
      <c r="AU2569" s="1">
        <f>$A2569*$O2569</f>
        <v>0</v>
      </c>
      <c r="AV2569" s="1">
        <f>IF($R2569=0,0,INT($A2569/$R2569))</f>
        <v>0</v>
      </c>
      <c r="AW2569" s="1">
        <f>$A2569-$AV2569*$R2569</f>
        <v>0</v>
      </c>
    </row>
    <row r="2570" ht="24.95" customHeight="1" outlineLevel="3" s="1" customFormat="1">
      <c r="A2570" s="15"/>
      <c r="B2570" s="16">
        <v>490</v>
      </c>
      <c r="C2570" s="16">
        <v>760</v>
      </c>
      <c r="D2570" s="16">
        <v>27259</v>
      </c>
      <c r="E2570" s="18"/>
      <c r="F2570" s="18" t="s">
        <v>1003</v>
      </c>
      <c r="G2570" s="18" t="s">
        <v>8395</v>
      </c>
      <c r="H2570" s="18" t="s">
        <v>49</v>
      </c>
      <c r="I2570" s="18" t="s">
        <v>87</v>
      </c>
      <c r="J2570" s="16">
        <v>2026</v>
      </c>
      <c r="K2570" s="18" t="s">
        <v>8396</v>
      </c>
      <c r="L2570" s="16">
        <v>9785961484458</v>
      </c>
      <c r="M2570" s="18" t="s">
        <v>8397</v>
      </c>
      <c r="N2570" s="16">
        <v>12</v>
      </c>
      <c r="O2570" s="19">
        <v>0.15</v>
      </c>
      <c r="P2570" s="16">
        <v>180</v>
      </c>
      <c r="Q2570" s="16">
        <v>180</v>
      </c>
      <c r="R2570" s="16">
        <v>96</v>
      </c>
      <c r="S2570" s="18" t="s">
        <v>83</v>
      </c>
      <c r="T2570" s="18" t="s">
        <v>1007</v>
      </c>
      <c r="U2570" s="17">
        <v>1000</v>
      </c>
      <c r="V2570" s="18" t="s">
        <v>44</v>
      </c>
      <c r="W2570" s="18" t="s">
        <v>184</v>
      </c>
      <c r="X2570" s="16">
        <v>10</v>
      </c>
      <c r="Y2570" s="18" t="s">
        <v>1008</v>
      </c>
      <c r="Z2570" s="18"/>
      <c r="AS2570" s="1">
        <f>IF($A2570&lt;&gt;0,1,0)</f>
        <v>0</v>
      </c>
      <c r="AT2570" s="1">
        <f>$A2570*$B2570</f>
        <v>0</v>
      </c>
      <c r="AU2570" s="1">
        <f>$A2570*$O2570</f>
        <v>0</v>
      </c>
      <c r="AV2570" s="1">
        <f>IF($R2570=0,0,INT($A2570/$R2570))</f>
        <v>0</v>
      </c>
      <c r="AW2570" s="1">
        <f>$A2570-$AV2570*$R2570</f>
        <v>0</v>
      </c>
    </row>
    <row r="2571" ht="24.95" customHeight="1" outlineLevel="3" s="1" customFormat="1">
      <c r="A2571" s="15"/>
      <c r="B2571" s="16">
        <v>490</v>
      </c>
      <c r="C2571" s="16">
        <v>760</v>
      </c>
      <c r="D2571" s="16">
        <v>29434</v>
      </c>
      <c r="E2571" s="18"/>
      <c r="F2571" s="18" t="s">
        <v>1019</v>
      </c>
      <c r="G2571" s="18" t="s">
        <v>8398</v>
      </c>
      <c r="H2571" s="18" t="s">
        <v>49</v>
      </c>
      <c r="I2571" s="18" t="s">
        <v>87</v>
      </c>
      <c r="J2571" s="16">
        <v>2026</v>
      </c>
      <c r="K2571" s="18" t="s">
        <v>8399</v>
      </c>
      <c r="L2571" s="16">
        <v>9785961489521</v>
      </c>
      <c r="M2571" s="18" t="s">
        <v>8400</v>
      </c>
      <c r="N2571" s="16">
        <v>12</v>
      </c>
      <c r="O2571" s="19">
        <v>0.14</v>
      </c>
      <c r="P2571" s="16">
        <v>180</v>
      </c>
      <c r="Q2571" s="16">
        <v>180</v>
      </c>
      <c r="R2571" s="16">
        <v>96</v>
      </c>
      <c r="S2571" s="18" t="s">
        <v>83</v>
      </c>
      <c r="T2571" s="18" t="s">
        <v>1007</v>
      </c>
      <c r="U2571" s="17">
        <v>3000</v>
      </c>
      <c r="V2571" s="18" t="s">
        <v>44</v>
      </c>
      <c r="W2571" s="18" t="s">
        <v>184</v>
      </c>
      <c r="X2571" s="16">
        <v>10</v>
      </c>
      <c r="Y2571" s="18" t="s">
        <v>1008</v>
      </c>
      <c r="Z2571" s="18"/>
      <c r="AS2571" s="1">
        <f>IF($A2571&lt;&gt;0,1,0)</f>
        <v>0</v>
      </c>
      <c r="AT2571" s="1">
        <f>$A2571*$B2571</f>
        <v>0</v>
      </c>
      <c r="AU2571" s="1">
        <f>$A2571*$O2571</f>
        <v>0</v>
      </c>
      <c r="AV2571" s="1">
        <f>IF($R2571=0,0,INT($A2571/$R2571))</f>
        <v>0</v>
      </c>
      <c r="AW2571" s="1">
        <f>$A2571-$AV2571*$R2571</f>
        <v>0</v>
      </c>
    </row>
    <row r="2572" ht="24.95" customHeight="1" outlineLevel="3" s="1" customFormat="1">
      <c r="A2572" s="15"/>
      <c r="B2572" s="16">
        <v>490</v>
      </c>
      <c r="C2572" s="16">
        <v>760</v>
      </c>
      <c r="D2572" s="16">
        <v>22293</v>
      </c>
      <c r="E2572" s="18"/>
      <c r="F2572" s="18" t="s">
        <v>1003</v>
      </c>
      <c r="G2572" s="18" t="s">
        <v>8401</v>
      </c>
      <c r="H2572" s="18" t="s">
        <v>49</v>
      </c>
      <c r="I2572" s="18" t="s">
        <v>87</v>
      </c>
      <c r="J2572" s="16">
        <v>2026</v>
      </c>
      <c r="K2572" s="18" t="s">
        <v>8402</v>
      </c>
      <c r="L2572" s="16">
        <v>9785961447071</v>
      </c>
      <c r="M2572" s="18" t="s">
        <v>8403</v>
      </c>
      <c r="N2572" s="16">
        <v>12</v>
      </c>
      <c r="O2572" s="19">
        <v>0.14</v>
      </c>
      <c r="P2572" s="16">
        <v>180</v>
      </c>
      <c r="Q2572" s="16">
        <v>180</v>
      </c>
      <c r="R2572" s="16">
        <v>96</v>
      </c>
      <c r="S2572" s="18" t="s">
        <v>83</v>
      </c>
      <c r="T2572" s="18" t="s">
        <v>1007</v>
      </c>
      <c r="U2572" s="17">
        <v>4000</v>
      </c>
      <c r="V2572" s="18" t="s">
        <v>44</v>
      </c>
      <c r="W2572" s="18" t="s">
        <v>184</v>
      </c>
      <c r="X2572" s="16">
        <v>10</v>
      </c>
      <c r="Y2572" s="18" t="s">
        <v>1008</v>
      </c>
      <c r="Z2572" s="18"/>
      <c r="AS2572" s="1">
        <f>IF($A2572&lt;&gt;0,1,0)</f>
        <v>0</v>
      </c>
      <c r="AT2572" s="1">
        <f>$A2572*$B2572</f>
        <v>0</v>
      </c>
      <c r="AU2572" s="1">
        <f>$A2572*$O2572</f>
        <v>0</v>
      </c>
      <c r="AV2572" s="1">
        <f>IF($R2572=0,0,INT($A2572/$R2572))</f>
        <v>0</v>
      </c>
      <c r="AW2572" s="1">
        <f>$A2572-$AV2572*$R2572</f>
        <v>0</v>
      </c>
    </row>
    <row r="2573" ht="24.95" customHeight="1" outlineLevel="3" s="1" customFormat="1">
      <c r="A2573" s="15"/>
      <c r="B2573" s="16">
        <v>490</v>
      </c>
      <c r="C2573" s="16">
        <v>760</v>
      </c>
      <c r="D2573" s="16">
        <v>23647</v>
      </c>
      <c r="E2573" s="18"/>
      <c r="F2573" s="18" t="s">
        <v>1003</v>
      </c>
      <c r="G2573" s="18" t="s">
        <v>8404</v>
      </c>
      <c r="H2573" s="18" t="s">
        <v>49</v>
      </c>
      <c r="I2573" s="18" t="s">
        <v>87</v>
      </c>
      <c r="J2573" s="16">
        <v>2025</v>
      </c>
      <c r="K2573" s="18" t="s">
        <v>8405</v>
      </c>
      <c r="L2573" s="16">
        <v>9785961480597</v>
      </c>
      <c r="M2573" s="18" t="s">
        <v>8406</v>
      </c>
      <c r="N2573" s="16">
        <v>12</v>
      </c>
      <c r="O2573" s="19">
        <v>0.15</v>
      </c>
      <c r="P2573" s="16">
        <v>180</v>
      </c>
      <c r="Q2573" s="16">
        <v>180</v>
      </c>
      <c r="R2573" s="16">
        <v>1</v>
      </c>
      <c r="S2573" s="18" t="s">
        <v>83</v>
      </c>
      <c r="T2573" s="18" t="s">
        <v>1007</v>
      </c>
      <c r="U2573" s="17">
        <v>1500</v>
      </c>
      <c r="V2573" s="18" t="s">
        <v>44</v>
      </c>
      <c r="W2573" s="18" t="s">
        <v>184</v>
      </c>
      <c r="X2573" s="16">
        <v>10</v>
      </c>
      <c r="Y2573" s="18" t="s">
        <v>7988</v>
      </c>
      <c r="Z2573" s="18"/>
      <c r="AS2573" s="1">
        <f>IF($A2573&lt;&gt;0,1,0)</f>
        <v>0</v>
      </c>
      <c r="AT2573" s="1">
        <f>$A2573*$B2573</f>
        <v>0</v>
      </c>
      <c r="AU2573" s="1">
        <f>$A2573*$O2573</f>
        <v>0</v>
      </c>
      <c r="AV2573" s="1">
        <f>IF($R2573=0,0,INT($A2573/$R2573))</f>
        <v>0</v>
      </c>
      <c r="AW2573" s="1">
        <f>$A2573-$AV2573*$R2573</f>
        <v>0</v>
      </c>
    </row>
    <row r="2574" ht="24.95" customHeight="1" outlineLevel="3" s="1" customFormat="1">
      <c r="A2574" s="15"/>
      <c r="B2574" s="16">
        <v>490</v>
      </c>
      <c r="C2574" s="16">
        <v>760</v>
      </c>
      <c r="D2574" s="16">
        <v>23510</v>
      </c>
      <c r="E2574" s="18"/>
      <c r="F2574" s="18" t="s">
        <v>1003</v>
      </c>
      <c r="G2574" s="18" t="s">
        <v>8407</v>
      </c>
      <c r="H2574" s="18" t="s">
        <v>49</v>
      </c>
      <c r="I2574" s="18" t="s">
        <v>87</v>
      </c>
      <c r="J2574" s="16">
        <v>2026</v>
      </c>
      <c r="K2574" s="18" t="s">
        <v>8408</v>
      </c>
      <c r="L2574" s="16">
        <v>9785961473759</v>
      </c>
      <c r="M2574" s="18" t="s">
        <v>8409</v>
      </c>
      <c r="N2574" s="16">
        <v>12</v>
      </c>
      <c r="O2574" s="19">
        <v>0.14</v>
      </c>
      <c r="P2574" s="16">
        <v>180</v>
      </c>
      <c r="Q2574" s="16">
        <v>180</v>
      </c>
      <c r="R2574" s="16">
        <v>96</v>
      </c>
      <c r="S2574" s="18" t="s">
        <v>83</v>
      </c>
      <c r="T2574" s="18" t="s">
        <v>1007</v>
      </c>
      <c r="U2574" s="17">
        <v>2000</v>
      </c>
      <c r="V2574" s="18" t="s">
        <v>44</v>
      </c>
      <c r="W2574" s="18" t="s">
        <v>184</v>
      </c>
      <c r="X2574" s="16">
        <v>10</v>
      </c>
      <c r="Y2574" s="18" t="s">
        <v>1008</v>
      </c>
      <c r="Z2574" s="18"/>
      <c r="AS2574" s="1">
        <f>IF($A2574&lt;&gt;0,1,0)</f>
        <v>0</v>
      </c>
      <c r="AT2574" s="1">
        <f>$A2574*$B2574</f>
        <v>0</v>
      </c>
      <c r="AU2574" s="1">
        <f>$A2574*$O2574</f>
        <v>0</v>
      </c>
      <c r="AV2574" s="1">
        <f>IF($R2574=0,0,INT($A2574/$R2574))</f>
        <v>0</v>
      </c>
      <c r="AW2574" s="1">
        <f>$A2574-$AV2574*$R2574</f>
        <v>0</v>
      </c>
    </row>
    <row r="2575" ht="24.95" customHeight="1" outlineLevel="3" s="1" customFormat="1">
      <c r="A2575" s="15"/>
      <c r="B2575" s="16">
        <v>490</v>
      </c>
      <c r="C2575" s="16">
        <v>760</v>
      </c>
      <c r="D2575" s="16">
        <v>28670</v>
      </c>
      <c r="E2575" s="18"/>
      <c r="F2575" s="18" t="s">
        <v>1003</v>
      </c>
      <c r="G2575" s="18" t="s">
        <v>8410</v>
      </c>
      <c r="H2575" s="18" t="s">
        <v>49</v>
      </c>
      <c r="I2575" s="18" t="s">
        <v>87</v>
      </c>
      <c r="J2575" s="16">
        <v>2024</v>
      </c>
      <c r="K2575" s="18" t="s">
        <v>8411</v>
      </c>
      <c r="L2575" s="16">
        <v>9785961489637</v>
      </c>
      <c r="M2575" s="18" t="s">
        <v>8412</v>
      </c>
      <c r="N2575" s="16">
        <v>18</v>
      </c>
      <c r="O2575" s="19">
        <v>0.21</v>
      </c>
      <c r="P2575" s="16">
        <v>180</v>
      </c>
      <c r="Q2575" s="16">
        <v>180</v>
      </c>
      <c r="R2575" s="16">
        <v>24</v>
      </c>
      <c r="S2575" s="18" t="s">
        <v>83</v>
      </c>
      <c r="T2575" s="18" t="s">
        <v>1007</v>
      </c>
      <c r="U2575" s="17">
        <v>2000</v>
      </c>
      <c r="V2575" s="18" t="s">
        <v>44</v>
      </c>
      <c r="W2575" s="18" t="s">
        <v>184</v>
      </c>
      <c r="X2575" s="16">
        <v>10</v>
      </c>
      <c r="Y2575" s="18" t="s">
        <v>7967</v>
      </c>
      <c r="Z2575" s="18"/>
      <c r="AS2575" s="1">
        <f>IF($A2575&lt;&gt;0,1,0)</f>
        <v>0</v>
      </c>
      <c r="AT2575" s="1">
        <f>$A2575*$B2575</f>
        <v>0</v>
      </c>
      <c r="AU2575" s="1">
        <f>$A2575*$O2575</f>
        <v>0</v>
      </c>
      <c r="AV2575" s="1">
        <f>IF($R2575=0,0,INT($A2575/$R2575))</f>
        <v>0</v>
      </c>
      <c r="AW2575" s="1">
        <f>$A2575-$AV2575*$R2575</f>
        <v>0</v>
      </c>
    </row>
    <row r="2576" ht="24.95" customHeight="1" outlineLevel="3" s="1" customFormat="1">
      <c r="A2576" s="15"/>
      <c r="B2576" s="16">
        <v>490</v>
      </c>
      <c r="C2576" s="16">
        <v>760</v>
      </c>
      <c r="D2576" s="16">
        <v>27258</v>
      </c>
      <c r="E2576" s="18"/>
      <c r="F2576" s="18" t="s">
        <v>1003</v>
      </c>
      <c r="G2576" s="18" t="s">
        <v>8413</v>
      </c>
      <c r="H2576" s="18" t="s">
        <v>49</v>
      </c>
      <c r="I2576" s="18" t="s">
        <v>87</v>
      </c>
      <c r="J2576" s="16">
        <v>2025</v>
      </c>
      <c r="K2576" s="18" t="s">
        <v>8414</v>
      </c>
      <c r="L2576" s="16">
        <v>9785961484441</v>
      </c>
      <c r="M2576" s="18" t="s">
        <v>8415</v>
      </c>
      <c r="N2576" s="16">
        <v>12</v>
      </c>
      <c r="O2576" s="19">
        <v>0.15</v>
      </c>
      <c r="P2576" s="16">
        <v>180</v>
      </c>
      <c r="Q2576" s="16">
        <v>180</v>
      </c>
      <c r="R2576" s="16">
        <v>1</v>
      </c>
      <c r="S2576" s="18" t="s">
        <v>83</v>
      </c>
      <c r="T2576" s="18" t="s">
        <v>1007</v>
      </c>
      <c r="U2576" s="17">
        <v>2000</v>
      </c>
      <c r="V2576" s="18" t="s">
        <v>44</v>
      </c>
      <c r="W2576" s="18" t="s">
        <v>184</v>
      </c>
      <c r="X2576" s="16">
        <v>10</v>
      </c>
      <c r="Y2576" s="18" t="s">
        <v>8196</v>
      </c>
      <c r="Z2576" s="18"/>
      <c r="AS2576" s="1">
        <f>IF($A2576&lt;&gt;0,1,0)</f>
        <v>0</v>
      </c>
      <c r="AT2576" s="1">
        <f>$A2576*$B2576</f>
        <v>0</v>
      </c>
      <c r="AU2576" s="1">
        <f>$A2576*$O2576</f>
        <v>0</v>
      </c>
      <c r="AV2576" s="1">
        <f>IF($R2576=0,0,INT($A2576/$R2576))</f>
        <v>0</v>
      </c>
      <c r="AW2576" s="1">
        <f>$A2576-$AV2576*$R2576</f>
        <v>0</v>
      </c>
    </row>
    <row r="2577" ht="24.95" customHeight="1" outlineLevel="3" s="1" customFormat="1">
      <c r="A2577" s="15"/>
      <c r="B2577" s="16">
        <v>490</v>
      </c>
      <c r="C2577" s="16">
        <v>760</v>
      </c>
      <c r="D2577" s="16">
        <v>22291</v>
      </c>
      <c r="E2577" s="18"/>
      <c r="F2577" s="18" t="s">
        <v>1003</v>
      </c>
      <c r="G2577" s="18" t="s">
        <v>8416</v>
      </c>
      <c r="H2577" s="18" t="s">
        <v>49</v>
      </c>
      <c r="I2577" s="18" t="s">
        <v>87</v>
      </c>
      <c r="J2577" s="16">
        <v>2025</v>
      </c>
      <c r="K2577" s="18" t="s">
        <v>8417</v>
      </c>
      <c r="L2577" s="16">
        <v>9785961446517</v>
      </c>
      <c r="M2577" s="18" t="s">
        <v>8418</v>
      </c>
      <c r="N2577" s="16">
        <v>12</v>
      </c>
      <c r="O2577" s="19">
        <v>0.14</v>
      </c>
      <c r="P2577" s="16">
        <v>180</v>
      </c>
      <c r="Q2577" s="16">
        <v>180</v>
      </c>
      <c r="R2577" s="16">
        <v>1</v>
      </c>
      <c r="S2577" s="18" t="s">
        <v>83</v>
      </c>
      <c r="T2577" s="18" t="s">
        <v>1007</v>
      </c>
      <c r="U2577" s="17">
        <v>1500</v>
      </c>
      <c r="V2577" s="18" t="s">
        <v>44</v>
      </c>
      <c r="W2577" s="18" t="s">
        <v>184</v>
      </c>
      <c r="X2577" s="16">
        <v>10</v>
      </c>
      <c r="Y2577" s="18" t="s">
        <v>8419</v>
      </c>
      <c r="Z2577" s="18"/>
      <c r="AS2577" s="1">
        <f>IF($A2577&lt;&gt;0,1,0)</f>
        <v>0</v>
      </c>
      <c r="AT2577" s="1">
        <f>$A2577*$B2577</f>
        <v>0</v>
      </c>
      <c r="AU2577" s="1">
        <f>$A2577*$O2577</f>
        <v>0</v>
      </c>
      <c r="AV2577" s="1">
        <f>IF($R2577=0,0,INT($A2577/$R2577))</f>
        <v>0</v>
      </c>
      <c r="AW2577" s="1">
        <f>$A2577-$AV2577*$R2577</f>
        <v>0</v>
      </c>
    </row>
    <row r="2578" ht="24.95" customHeight="1" outlineLevel="3" s="1" customFormat="1">
      <c r="A2578" s="15"/>
      <c r="B2578" s="16">
        <v>490</v>
      </c>
      <c r="C2578" s="16">
        <v>760</v>
      </c>
      <c r="D2578" s="16">
        <v>27260</v>
      </c>
      <c r="E2578" s="18"/>
      <c r="F2578" s="18" t="s">
        <v>1003</v>
      </c>
      <c r="G2578" s="18" t="s">
        <v>1012</v>
      </c>
      <c r="H2578" s="18" t="s">
        <v>49</v>
      </c>
      <c r="I2578" s="18" t="s">
        <v>87</v>
      </c>
      <c r="J2578" s="16">
        <v>2026</v>
      </c>
      <c r="K2578" s="18" t="s">
        <v>1013</v>
      </c>
      <c r="L2578" s="16">
        <v>9785961484465</v>
      </c>
      <c r="M2578" s="18" t="s">
        <v>1014</v>
      </c>
      <c r="N2578" s="16">
        <v>12</v>
      </c>
      <c r="O2578" s="19">
        <v>0.14</v>
      </c>
      <c r="P2578" s="16">
        <v>180</v>
      </c>
      <c r="Q2578" s="16">
        <v>180</v>
      </c>
      <c r="R2578" s="16">
        <v>96</v>
      </c>
      <c r="S2578" s="18" t="s">
        <v>83</v>
      </c>
      <c r="T2578" s="18" t="s">
        <v>1007</v>
      </c>
      <c r="U2578" s="17">
        <v>2000</v>
      </c>
      <c r="V2578" s="18" t="s">
        <v>44</v>
      </c>
      <c r="W2578" s="18" t="s">
        <v>184</v>
      </c>
      <c r="X2578" s="16">
        <v>10</v>
      </c>
      <c r="Y2578" s="18" t="s">
        <v>1008</v>
      </c>
      <c r="Z2578" s="18"/>
      <c r="AS2578" s="1">
        <f>IF($A2578&lt;&gt;0,1,0)</f>
        <v>0</v>
      </c>
      <c r="AT2578" s="1">
        <f>$A2578*$B2578</f>
        <v>0</v>
      </c>
      <c r="AU2578" s="1">
        <f>$A2578*$O2578</f>
        <v>0</v>
      </c>
      <c r="AV2578" s="1">
        <f>IF($R2578=0,0,INT($A2578/$R2578))</f>
        <v>0</v>
      </c>
      <c r="AW2578" s="1">
        <f>$A2578-$AV2578*$R2578</f>
        <v>0</v>
      </c>
    </row>
    <row r="2579" ht="24.95" customHeight="1" outlineLevel="3" s="1" customFormat="1">
      <c r="A2579" s="15"/>
      <c r="B2579" s="16">
        <v>890</v>
      </c>
      <c r="C2579" s="17">
        <v>1246</v>
      </c>
      <c r="D2579" s="16">
        <v>31864</v>
      </c>
      <c r="E2579" s="18"/>
      <c r="F2579" s="18" t="s">
        <v>1003</v>
      </c>
      <c r="G2579" s="18" t="s">
        <v>8420</v>
      </c>
      <c r="H2579" s="18" t="s">
        <v>49</v>
      </c>
      <c r="I2579" s="18" t="s">
        <v>87</v>
      </c>
      <c r="J2579" s="16">
        <v>2026</v>
      </c>
      <c r="K2579" s="18" t="s">
        <v>8421</v>
      </c>
      <c r="L2579" s="16">
        <v>9785006300842</v>
      </c>
      <c r="M2579" s="18" t="s">
        <v>8422</v>
      </c>
      <c r="N2579" s="16">
        <v>144</v>
      </c>
      <c r="O2579" s="19">
        <v>0.62</v>
      </c>
      <c r="P2579" s="16">
        <v>210</v>
      </c>
      <c r="Q2579" s="16">
        <v>270</v>
      </c>
      <c r="R2579" s="16">
        <v>10</v>
      </c>
      <c r="S2579" s="18" t="s">
        <v>328</v>
      </c>
      <c r="T2579" s="18" t="s">
        <v>1007</v>
      </c>
      <c r="U2579" s="17">
        <v>7000</v>
      </c>
      <c r="V2579" s="18" t="s">
        <v>77</v>
      </c>
      <c r="W2579" s="18" t="s">
        <v>184</v>
      </c>
      <c r="X2579" s="16">
        <v>10</v>
      </c>
      <c r="Y2579" s="18" t="s">
        <v>540</v>
      </c>
      <c r="Z2579" s="18"/>
      <c r="AS2579" s="1">
        <f>IF($A2579&lt;&gt;0,1,0)</f>
        <v>0</v>
      </c>
      <c r="AT2579" s="1">
        <f>$A2579*$B2579</f>
        <v>0</v>
      </c>
      <c r="AU2579" s="1">
        <f>$A2579*$O2579</f>
        <v>0</v>
      </c>
      <c r="AV2579" s="1">
        <f>IF($R2579=0,0,INT($A2579/$R2579))</f>
        <v>0</v>
      </c>
      <c r="AW2579" s="1">
        <f>$A2579-$AV2579*$R2579</f>
        <v>0</v>
      </c>
    </row>
    <row r="2580" ht="24.95" customHeight="1" outlineLevel="3" s="1" customFormat="1">
      <c r="A2580" s="15"/>
      <c r="B2580" s="16">
        <v>490</v>
      </c>
      <c r="C2580" s="16">
        <v>760</v>
      </c>
      <c r="D2580" s="16">
        <v>27261</v>
      </c>
      <c r="E2580" s="18"/>
      <c r="F2580" s="18" t="s">
        <v>1003</v>
      </c>
      <c r="G2580" s="18" t="s">
        <v>8423</v>
      </c>
      <c r="H2580" s="18" t="s">
        <v>49</v>
      </c>
      <c r="I2580" s="18" t="s">
        <v>87</v>
      </c>
      <c r="J2580" s="16">
        <v>2025</v>
      </c>
      <c r="K2580" s="18" t="s">
        <v>8424</v>
      </c>
      <c r="L2580" s="16">
        <v>9785961484472</v>
      </c>
      <c r="M2580" s="18" t="s">
        <v>8425</v>
      </c>
      <c r="N2580" s="16">
        <v>12</v>
      </c>
      <c r="O2580" s="19">
        <v>0.15</v>
      </c>
      <c r="P2580" s="16">
        <v>180</v>
      </c>
      <c r="Q2580" s="16">
        <v>180</v>
      </c>
      <c r="R2580" s="16">
        <v>1</v>
      </c>
      <c r="S2580" s="18" t="s">
        <v>83</v>
      </c>
      <c r="T2580" s="18" t="s">
        <v>1007</v>
      </c>
      <c r="U2580" s="17">
        <v>1500</v>
      </c>
      <c r="V2580" s="18" t="s">
        <v>44</v>
      </c>
      <c r="W2580" s="18" t="s">
        <v>184</v>
      </c>
      <c r="X2580" s="16">
        <v>10</v>
      </c>
      <c r="Y2580" s="18" t="s">
        <v>8196</v>
      </c>
      <c r="Z2580" s="18"/>
      <c r="AS2580" s="1">
        <f>IF($A2580&lt;&gt;0,1,0)</f>
        <v>0</v>
      </c>
      <c r="AT2580" s="1">
        <f>$A2580*$B2580</f>
        <v>0</v>
      </c>
      <c r="AU2580" s="1">
        <f>$A2580*$O2580</f>
        <v>0</v>
      </c>
      <c r="AV2580" s="1">
        <f>IF($R2580=0,0,INT($A2580/$R2580))</f>
        <v>0</v>
      </c>
      <c r="AW2580" s="1">
        <f>$A2580-$AV2580*$R2580</f>
        <v>0</v>
      </c>
    </row>
    <row r="2581" ht="24.95" customHeight="1" outlineLevel="3" s="1" customFormat="1">
      <c r="A2581" s="15"/>
      <c r="B2581" s="16">
        <v>890</v>
      </c>
      <c r="C2581" s="17">
        <v>1246</v>
      </c>
      <c r="D2581" s="16">
        <v>32322</v>
      </c>
      <c r="E2581" s="18"/>
      <c r="F2581" s="18" t="s">
        <v>1015</v>
      </c>
      <c r="G2581" s="18" t="s">
        <v>1016</v>
      </c>
      <c r="H2581" s="18" t="s">
        <v>49</v>
      </c>
      <c r="I2581" s="18" t="s">
        <v>87</v>
      </c>
      <c r="J2581" s="16">
        <v>2026</v>
      </c>
      <c r="K2581" s="18" t="s">
        <v>1017</v>
      </c>
      <c r="L2581" s="16">
        <v>9785006302020</v>
      </c>
      <c r="M2581" s="18" t="s">
        <v>1018</v>
      </c>
      <c r="N2581" s="16">
        <v>144</v>
      </c>
      <c r="O2581" s="19">
        <v>0.62</v>
      </c>
      <c r="P2581" s="16">
        <v>210</v>
      </c>
      <c r="Q2581" s="16">
        <v>270</v>
      </c>
      <c r="R2581" s="16">
        <v>10</v>
      </c>
      <c r="S2581" s="18" t="s">
        <v>83</v>
      </c>
      <c r="T2581" s="18" t="s">
        <v>1007</v>
      </c>
      <c r="U2581" s="17">
        <v>10000</v>
      </c>
      <c r="V2581" s="18" t="s">
        <v>77</v>
      </c>
      <c r="W2581" s="18" t="s">
        <v>184</v>
      </c>
      <c r="X2581" s="16">
        <v>10</v>
      </c>
      <c r="Y2581" s="18" t="s">
        <v>540</v>
      </c>
      <c r="Z2581" s="18"/>
      <c r="AS2581" s="1">
        <f>IF($A2581&lt;&gt;0,1,0)</f>
        <v>0</v>
      </c>
      <c r="AT2581" s="1">
        <f>$A2581*$B2581</f>
        <v>0</v>
      </c>
      <c r="AU2581" s="1">
        <f>$A2581*$O2581</f>
        <v>0</v>
      </c>
      <c r="AV2581" s="1">
        <f>IF($R2581=0,0,INT($A2581/$R2581))</f>
        <v>0</v>
      </c>
      <c r="AW2581" s="1">
        <f>$A2581-$AV2581*$R2581</f>
        <v>0</v>
      </c>
    </row>
    <row r="2582" ht="24.95" customHeight="1" outlineLevel="3" s="1" customFormat="1">
      <c r="A2582" s="15"/>
      <c r="B2582" s="16">
        <v>490</v>
      </c>
      <c r="C2582" s="16">
        <v>760</v>
      </c>
      <c r="D2582" s="16">
        <v>23651</v>
      </c>
      <c r="E2582" s="18"/>
      <c r="F2582" s="18" t="s">
        <v>1019</v>
      </c>
      <c r="G2582" s="18" t="s">
        <v>8426</v>
      </c>
      <c r="H2582" s="18" t="s">
        <v>49</v>
      </c>
      <c r="I2582" s="18" t="s">
        <v>87</v>
      </c>
      <c r="J2582" s="16">
        <v>2026</v>
      </c>
      <c r="K2582" s="18" t="s">
        <v>8427</v>
      </c>
      <c r="L2582" s="16">
        <v>9785961457247</v>
      </c>
      <c r="M2582" s="18" t="s">
        <v>8428</v>
      </c>
      <c r="N2582" s="16">
        <v>12</v>
      </c>
      <c r="O2582" s="19">
        <v>0.13</v>
      </c>
      <c r="P2582" s="16">
        <v>180</v>
      </c>
      <c r="Q2582" s="16">
        <v>180</v>
      </c>
      <c r="R2582" s="16">
        <v>96</v>
      </c>
      <c r="S2582" s="18" t="s">
        <v>83</v>
      </c>
      <c r="T2582" s="18" t="s">
        <v>1007</v>
      </c>
      <c r="U2582" s="17">
        <v>8000</v>
      </c>
      <c r="V2582" s="18" t="s">
        <v>44</v>
      </c>
      <c r="W2582" s="18" t="s">
        <v>184</v>
      </c>
      <c r="X2582" s="16">
        <v>10</v>
      </c>
      <c r="Y2582" s="18" t="s">
        <v>1008</v>
      </c>
      <c r="Z2582" s="18"/>
      <c r="AS2582" s="1">
        <f>IF($A2582&lt;&gt;0,1,0)</f>
        <v>0</v>
      </c>
      <c r="AT2582" s="1">
        <f>$A2582*$B2582</f>
        <v>0</v>
      </c>
      <c r="AU2582" s="1">
        <f>$A2582*$O2582</f>
        <v>0</v>
      </c>
      <c r="AV2582" s="1">
        <f>IF($R2582=0,0,INT($A2582/$R2582))</f>
        <v>0</v>
      </c>
      <c r="AW2582" s="1">
        <f>$A2582-$AV2582*$R2582</f>
        <v>0</v>
      </c>
    </row>
    <row r="2583" ht="24.95" customHeight="1" outlineLevel="3" s="1" customFormat="1">
      <c r="A2583" s="15"/>
      <c r="B2583" s="16">
        <v>490</v>
      </c>
      <c r="C2583" s="16">
        <v>760</v>
      </c>
      <c r="D2583" s="16">
        <v>32425</v>
      </c>
      <c r="E2583" s="18"/>
      <c r="F2583" s="18" t="s">
        <v>1019</v>
      </c>
      <c r="G2583" s="18" t="s">
        <v>1020</v>
      </c>
      <c r="H2583" s="18" t="s">
        <v>49</v>
      </c>
      <c r="I2583" s="18" t="s">
        <v>87</v>
      </c>
      <c r="J2583" s="16">
        <v>2026</v>
      </c>
      <c r="K2583" s="18" t="s">
        <v>1021</v>
      </c>
      <c r="L2583" s="16">
        <v>9785006302211</v>
      </c>
      <c r="M2583" s="18" t="s">
        <v>1022</v>
      </c>
      <c r="N2583" s="16">
        <v>12</v>
      </c>
      <c r="O2583" s="19">
        <v>0.13</v>
      </c>
      <c r="P2583" s="16">
        <v>180</v>
      </c>
      <c r="Q2583" s="16">
        <v>180</v>
      </c>
      <c r="R2583" s="16">
        <v>96</v>
      </c>
      <c r="S2583" s="18" t="s">
        <v>83</v>
      </c>
      <c r="T2583" s="18" t="s">
        <v>1007</v>
      </c>
      <c r="U2583" s="17">
        <v>3000</v>
      </c>
      <c r="V2583" s="18" t="s">
        <v>44</v>
      </c>
      <c r="W2583" s="18" t="s">
        <v>184</v>
      </c>
      <c r="X2583" s="16">
        <v>10</v>
      </c>
      <c r="Y2583" s="18" t="s">
        <v>1008</v>
      </c>
      <c r="Z2583" s="18"/>
      <c r="AS2583" s="1">
        <f>IF($A2583&lt;&gt;0,1,0)</f>
        <v>0</v>
      </c>
      <c r="AT2583" s="1">
        <f>$A2583*$B2583</f>
        <v>0</v>
      </c>
      <c r="AU2583" s="1">
        <f>$A2583*$O2583</f>
        <v>0</v>
      </c>
      <c r="AV2583" s="1">
        <f>IF($R2583=0,0,INT($A2583/$R2583))</f>
        <v>0</v>
      </c>
      <c r="AW2583" s="1">
        <f>$A2583-$AV2583*$R2583</f>
        <v>0</v>
      </c>
    </row>
    <row r="2584" ht="24.95" customHeight="1" outlineLevel="3" s="1" customFormat="1">
      <c r="A2584" s="15"/>
      <c r="B2584" s="16">
        <v>490</v>
      </c>
      <c r="C2584" s="16">
        <v>760</v>
      </c>
      <c r="D2584" s="16">
        <v>23642</v>
      </c>
      <c r="E2584" s="18"/>
      <c r="F2584" s="18" t="s">
        <v>1003</v>
      </c>
      <c r="G2584" s="18" t="s">
        <v>8429</v>
      </c>
      <c r="H2584" s="18" t="s">
        <v>49</v>
      </c>
      <c r="I2584" s="18" t="s">
        <v>87</v>
      </c>
      <c r="J2584" s="16">
        <v>2026</v>
      </c>
      <c r="K2584" s="18" t="s">
        <v>8430</v>
      </c>
      <c r="L2584" s="16">
        <v>9785961480610</v>
      </c>
      <c r="M2584" s="18" t="s">
        <v>8431</v>
      </c>
      <c r="N2584" s="16">
        <v>12</v>
      </c>
      <c r="O2584" s="19">
        <v>0.15</v>
      </c>
      <c r="P2584" s="16">
        <v>180</v>
      </c>
      <c r="Q2584" s="16">
        <v>180</v>
      </c>
      <c r="R2584" s="16">
        <v>96</v>
      </c>
      <c r="S2584" s="18" t="s">
        <v>83</v>
      </c>
      <c r="T2584" s="18" t="s">
        <v>1007</v>
      </c>
      <c r="U2584" s="17">
        <v>1000</v>
      </c>
      <c r="V2584" s="18" t="s">
        <v>44</v>
      </c>
      <c r="W2584" s="18" t="s">
        <v>184</v>
      </c>
      <c r="X2584" s="16">
        <v>10</v>
      </c>
      <c r="Y2584" s="18" t="s">
        <v>1008</v>
      </c>
      <c r="Z2584" s="18"/>
      <c r="AS2584" s="1">
        <f>IF($A2584&lt;&gt;0,1,0)</f>
        <v>0</v>
      </c>
      <c r="AT2584" s="1">
        <f>$A2584*$B2584</f>
        <v>0</v>
      </c>
      <c r="AU2584" s="1">
        <f>$A2584*$O2584</f>
        <v>0</v>
      </c>
      <c r="AV2584" s="1">
        <f>IF($R2584=0,0,INT($A2584/$R2584))</f>
        <v>0</v>
      </c>
      <c r="AW2584" s="1">
        <f>$A2584-$AV2584*$R2584</f>
        <v>0</v>
      </c>
    </row>
    <row r="2585" ht="24.95" customHeight="1" outlineLevel="3" s="1" customFormat="1">
      <c r="A2585" s="15"/>
      <c r="B2585" s="16">
        <v>490</v>
      </c>
      <c r="C2585" s="16">
        <v>760</v>
      </c>
      <c r="D2585" s="16">
        <v>23508</v>
      </c>
      <c r="E2585" s="18"/>
      <c r="F2585" s="18" t="s">
        <v>1019</v>
      </c>
      <c r="G2585" s="18" t="s">
        <v>8432</v>
      </c>
      <c r="H2585" s="18" t="s">
        <v>49</v>
      </c>
      <c r="I2585" s="18" t="s">
        <v>87</v>
      </c>
      <c r="J2585" s="16">
        <v>2026</v>
      </c>
      <c r="K2585" s="18" t="s">
        <v>8433</v>
      </c>
      <c r="L2585" s="16">
        <v>9785961473735</v>
      </c>
      <c r="M2585" s="18" t="s">
        <v>8434</v>
      </c>
      <c r="N2585" s="16">
        <v>12</v>
      </c>
      <c r="O2585" s="19">
        <v>0.14</v>
      </c>
      <c r="P2585" s="16">
        <v>180</v>
      </c>
      <c r="Q2585" s="16">
        <v>180</v>
      </c>
      <c r="R2585" s="16">
        <v>96</v>
      </c>
      <c r="S2585" s="18" t="s">
        <v>83</v>
      </c>
      <c r="T2585" s="18" t="s">
        <v>1007</v>
      </c>
      <c r="U2585" s="17">
        <v>5000</v>
      </c>
      <c r="V2585" s="18" t="s">
        <v>44</v>
      </c>
      <c r="W2585" s="18" t="s">
        <v>184</v>
      </c>
      <c r="X2585" s="16">
        <v>10</v>
      </c>
      <c r="Y2585" s="18" t="s">
        <v>1008</v>
      </c>
      <c r="Z2585" s="18"/>
      <c r="AS2585" s="1">
        <f>IF($A2585&lt;&gt;0,1,0)</f>
        <v>0</v>
      </c>
      <c r="AT2585" s="1">
        <f>$A2585*$B2585</f>
        <v>0</v>
      </c>
      <c r="AU2585" s="1">
        <f>$A2585*$O2585</f>
        <v>0</v>
      </c>
      <c r="AV2585" s="1">
        <f>IF($R2585=0,0,INT($A2585/$R2585))</f>
        <v>0</v>
      </c>
      <c r="AW2585" s="1">
        <f>$A2585-$AV2585*$R2585</f>
        <v>0</v>
      </c>
    </row>
    <row r="2586" ht="24.95" customHeight="1" outlineLevel="3" s="1" customFormat="1">
      <c r="A2586" s="15"/>
      <c r="B2586" s="16">
        <v>490</v>
      </c>
      <c r="C2586" s="16">
        <v>760</v>
      </c>
      <c r="D2586" s="16">
        <v>22292</v>
      </c>
      <c r="E2586" s="18"/>
      <c r="F2586" s="18" t="s">
        <v>1019</v>
      </c>
      <c r="G2586" s="18" t="s">
        <v>8435</v>
      </c>
      <c r="H2586" s="18" t="s">
        <v>49</v>
      </c>
      <c r="I2586" s="18" t="s">
        <v>87</v>
      </c>
      <c r="J2586" s="16">
        <v>2026</v>
      </c>
      <c r="K2586" s="18" t="s">
        <v>8436</v>
      </c>
      <c r="L2586" s="16">
        <v>9785961446951</v>
      </c>
      <c r="M2586" s="18" t="s">
        <v>8437</v>
      </c>
      <c r="N2586" s="16">
        <v>12</v>
      </c>
      <c r="O2586" s="19">
        <v>0.14</v>
      </c>
      <c r="P2586" s="16">
        <v>180</v>
      </c>
      <c r="Q2586" s="16">
        <v>180</v>
      </c>
      <c r="R2586" s="16">
        <v>96</v>
      </c>
      <c r="S2586" s="18" t="s">
        <v>83</v>
      </c>
      <c r="T2586" s="18" t="s">
        <v>1007</v>
      </c>
      <c r="U2586" s="17">
        <v>2000</v>
      </c>
      <c r="V2586" s="18" t="s">
        <v>44</v>
      </c>
      <c r="W2586" s="18" t="s">
        <v>184</v>
      </c>
      <c r="X2586" s="16">
        <v>10</v>
      </c>
      <c r="Y2586" s="18" t="s">
        <v>1008</v>
      </c>
      <c r="Z2586" s="18"/>
      <c r="AS2586" s="1">
        <f>IF($A2586&lt;&gt;0,1,0)</f>
        <v>0</v>
      </c>
      <c r="AT2586" s="1">
        <f>$A2586*$B2586</f>
        <v>0</v>
      </c>
      <c r="AU2586" s="1">
        <f>$A2586*$O2586</f>
        <v>0</v>
      </c>
      <c r="AV2586" s="1">
        <f>IF($R2586=0,0,INT($A2586/$R2586))</f>
        <v>0</v>
      </c>
      <c r="AW2586" s="1">
        <f>$A2586-$AV2586*$R2586</f>
        <v>0</v>
      </c>
    </row>
    <row r="2587" ht="11.1" customHeight="1" outlineLevel="2">
      <c r="A2587" s="41" t="s">
        <v>8438</v>
      </c>
      <c r="B2587" s="41"/>
      <c r="C2587" s="41"/>
      <c r="D2587" s="41"/>
      <c r="E2587" s="41"/>
      <c r="F2587" s="41"/>
      <c r="G2587" s="41"/>
      <c r="H2587" s="41"/>
      <c r="I2587" s="41"/>
      <c r="J2587" s="41"/>
      <c r="K2587" s="41"/>
      <c r="L2587" s="41"/>
      <c r="M2587" s="41"/>
      <c r="N2587" s="41"/>
      <c r="O2587" s="41"/>
      <c r="P2587" s="41"/>
      <c r="Q2587" s="41"/>
      <c r="R2587" s="41"/>
      <c r="S2587" s="41"/>
      <c r="T2587" s="41"/>
      <c r="U2587" s="41"/>
      <c r="V2587" s="41"/>
      <c r="W2587" s="41"/>
      <c r="X2587" s="41"/>
      <c r="Y2587" s="41"/>
      <c r="Z2587" s="24"/>
    </row>
    <row r="2588" ht="24.95" customHeight="1" outlineLevel="3" s="1" customFormat="1">
      <c r="A2588" s="25"/>
      <c r="B2588" s="26">
        <v>390</v>
      </c>
      <c r="C2588" s="26">
        <v>624</v>
      </c>
      <c r="D2588" s="26">
        <v>11892</v>
      </c>
      <c r="E2588" s="27"/>
      <c r="F2588" s="27" t="s">
        <v>8305</v>
      </c>
      <c r="G2588" s="27" t="s">
        <v>8439</v>
      </c>
      <c r="H2588" s="27" t="s">
        <v>49</v>
      </c>
      <c r="I2588" s="27" t="s">
        <v>74</v>
      </c>
      <c r="J2588" s="26">
        <v>2019</v>
      </c>
      <c r="K2588" s="27" t="s">
        <v>8440</v>
      </c>
      <c r="L2588" s="26">
        <v>9785961423983</v>
      </c>
      <c r="M2588" s="27" t="s">
        <v>8441</v>
      </c>
      <c r="N2588" s="26">
        <v>48</v>
      </c>
      <c r="O2588" s="28">
        <v>0.34</v>
      </c>
      <c r="P2588" s="26">
        <v>216</v>
      </c>
      <c r="Q2588" s="26">
        <v>256</v>
      </c>
      <c r="R2588" s="26">
        <v>15</v>
      </c>
      <c r="S2588" s="27" t="s">
        <v>52</v>
      </c>
      <c r="T2588" s="27" t="s">
        <v>8442</v>
      </c>
      <c r="U2588" s="29">
        <v>3000</v>
      </c>
      <c r="V2588" s="27" t="s">
        <v>77</v>
      </c>
      <c r="W2588" s="27" t="s">
        <v>55</v>
      </c>
      <c r="X2588" s="26">
        <v>10</v>
      </c>
      <c r="Y2588" s="45" t="str">
        <f>HYPERLINK("","")</f>
      </c>
      <c r="Z2588" s="27"/>
      <c r="AS2588" s="1">
        <f>IF($A2588&lt;&gt;0,1,0)</f>
        <v>0</v>
      </c>
      <c r="AT2588" s="1">
        <f>$A2588*$B2588</f>
        <v>0</v>
      </c>
      <c r="AU2588" s="1">
        <f>$A2588*$O2588</f>
        <v>0</v>
      </c>
      <c r="AV2588" s="1">
        <f>IF($R2588=0,0,INT($A2588/$R2588))</f>
        <v>0</v>
      </c>
      <c r="AW2588" s="1">
        <f>$A2588-$AV2588*$R2588</f>
        <v>0</v>
      </c>
    </row>
    <row r="2589" ht="24.95" customHeight="1" outlineLevel="3" s="1" customFormat="1">
      <c r="A2589" s="15"/>
      <c r="B2589" s="16">
        <v>590</v>
      </c>
      <c r="C2589" s="16">
        <v>885</v>
      </c>
      <c r="D2589" s="16">
        <v>33874</v>
      </c>
      <c r="E2589" s="18"/>
      <c r="F2589" s="18" t="s">
        <v>8443</v>
      </c>
      <c r="G2589" s="18" t="s">
        <v>8444</v>
      </c>
      <c r="H2589" s="18" t="s">
        <v>8445</v>
      </c>
      <c r="I2589" s="18"/>
      <c r="J2589" s="16">
        <v>2025</v>
      </c>
      <c r="K2589" s="18" t="s">
        <v>8446</v>
      </c>
      <c r="L2589" s="16">
        <v>9785006305908</v>
      </c>
      <c r="M2589" s="18" t="s">
        <v>8447</v>
      </c>
      <c r="N2589" s="16">
        <v>176</v>
      </c>
      <c r="O2589" s="19">
        <v>0.36</v>
      </c>
      <c r="P2589" s="16">
        <v>150</v>
      </c>
      <c r="Q2589" s="16">
        <v>210</v>
      </c>
      <c r="R2589" s="16">
        <v>16</v>
      </c>
      <c r="S2589" s="18" t="s">
        <v>43</v>
      </c>
      <c r="T2589" s="18" t="s">
        <v>8448</v>
      </c>
      <c r="U2589" s="17">
        <v>2000</v>
      </c>
      <c r="V2589" s="18" t="s">
        <v>77</v>
      </c>
      <c r="W2589" s="18" t="s">
        <v>55</v>
      </c>
      <c r="X2589" s="16">
        <v>10</v>
      </c>
      <c r="Y2589" s="43" t="str">
        <f>HYPERLINK("https://api-enni.alpina.ru/FilePrivilegesApproval/903","https://api-enni.alpina.ru/FilePrivilegesApproval/903")</f>
        <v>https://api-enni.alpina.ru/FilePrivilegesApproval/903</v>
      </c>
      <c r="Z2589" s="18"/>
      <c r="AS2589" s="1">
        <f>IF($A2589&lt;&gt;0,1,0)</f>
        <v>0</v>
      </c>
      <c r="AT2589" s="1">
        <f>$A2589*$B2589</f>
        <v>0</v>
      </c>
      <c r="AU2589" s="1">
        <f>$A2589*$O2589</f>
        <v>0</v>
      </c>
      <c r="AV2589" s="1">
        <f>IF($R2589=0,0,INT($A2589/$R2589))</f>
        <v>0</v>
      </c>
      <c r="AW2589" s="1">
        <f>$A2589-$AV2589*$R2589</f>
        <v>0</v>
      </c>
    </row>
    <row r="2590" ht="24.95" customHeight="1" outlineLevel="3" s="1" customFormat="1">
      <c r="A2590" s="15"/>
      <c r="B2590" s="16">
        <v>590</v>
      </c>
      <c r="C2590" s="16">
        <v>885</v>
      </c>
      <c r="D2590" s="16">
        <v>34072</v>
      </c>
      <c r="E2590" s="18"/>
      <c r="F2590" s="18" t="s">
        <v>8443</v>
      </c>
      <c r="G2590" s="18" t="s">
        <v>8449</v>
      </c>
      <c r="H2590" s="18" t="s">
        <v>8445</v>
      </c>
      <c r="I2590" s="18"/>
      <c r="J2590" s="16">
        <v>2025</v>
      </c>
      <c r="K2590" s="18" t="s">
        <v>8450</v>
      </c>
      <c r="L2590" s="16">
        <v>9785006306271</v>
      </c>
      <c r="M2590" s="18" t="s">
        <v>8451</v>
      </c>
      <c r="N2590" s="16">
        <v>208</v>
      </c>
      <c r="O2590" s="19">
        <v>0.41</v>
      </c>
      <c r="P2590" s="16">
        <v>150</v>
      </c>
      <c r="Q2590" s="16">
        <v>220</v>
      </c>
      <c r="R2590" s="16">
        <v>14</v>
      </c>
      <c r="S2590" s="18" t="s">
        <v>43</v>
      </c>
      <c r="T2590" s="18" t="s">
        <v>8448</v>
      </c>
      <c r="U2590" s="17">
        <v>2000</v>
      </c>
      <c r="V2590" s="18" t="s">
        <v>77</v>
      </c>
      <c r="W2590" s="18" t="s">
        <v>55</v>
      </c>
      <c r="X2590" s="16">
        <v>10</v>
      </c>
      <c r="Y2590" s="43" t="str">
        <f>HYPERLINK("https://api-enni.alpina.ru/FilePrivilegesApproval/903","https://api-enni.alpina.ru/FilePrivilegesApproval/903")</f>
        <v>https://api-enni.alpina.ru/FilePrivilegesApproval/903</v>
      </c>
      <c r="Z2590" s="18"/>
      <c r="AS2590" s="1">
        <f>IF($A2590&lt;&gt;0,1,0)</f>
        <v>0</v>
      </c>
      <c r="AT2590" s="1">
        <f>$A2590*$B2590</f>
        <v>0</v>
      </c>
      <c r="AU2590" s="1">
        <f>$A2590*$O2590</f>
        <v>0</v>
      </c>
      <c r="AV2590" s="1">
        <f>IF($R2590=0,0,INT($A2590/$R2590))</f>
        <v>0</v>
      </c>
      <c r="AW2590" s="1">
        <f>$A2590-$AV2590*$R2590</f>
        <v>0</v>
      </c>
    </row>
    <row r="2591" ht="24.95" customHeight="1" outlineLevel="3" s="1" customFormat="1">
      <c r="A2591" s="15"/>
      <c r="B2591" s="16">
        <v>540</v>
      </c>
      <c r="C2591" s="16">
        <v>837</v>
      </c>
      <c r="D2591" s="16">
        <v>33420</v>
      </c>
      <c r="E2591" s="18"/>
      <c r="F2591" s="18" t="s">
        <v>8452</v>
      </c>
      <c r="G2591" s="18" t="s">
        <v>8453</v>
      </c>
      <c r="H2591" s="18" t="s">
        <v>49</v>
      </c>
      <c r="I2591" s="18"/>
      <c r="J2591" s="16">
        <v>2026</v>
      </c>
      <c r="K2591" s="18" t="s">
        <v>8454</v>
      </c>
      <c r="L2591" s="16">
        <v>9785006304727</v>
      </c>
      <c r="M2591" s="18" t="s">
        <v>8455</v>
      </c>
      <c r="N2591" s="16">
        <v>48</v>
      </c>
      <c r="O2591" s="19">
        <v>0.22</v>
      </c>
      <c r="P2591" s="16">
        <v>170</v>
      </c>
      <c r="Q2591" s="16">
        <v>220</v>
      </c>
      <c r="R2591" s="16">
        <v>20</v>
      </c>
      <c r="S2591" s="18" t="s">
        <v>52</v>
      </c>
      <c r="T2591" s="18" t="s">
        <v>8456</v>
      </c>
      <c r="U2591" s="17">
        <v>2000</v>
      </c>
      <c r="V2591" s="18" t="s">
        <v>77</v>
      </c>
      <c r="W2591" s="18" t="s">
        <v>184</v>
      </c>
      <c r="X2591" s="16">
        <v>10</v>
      </c>
      <c r="Y2591" s="18" t="s">
        <v>8457</v>
      </c>
      <c r="Z2591" s="18" t="s">
        <v>777</v>
      </c>
      <c r="AS2591" s="1">
        <f>IF($A2591&lt;&gt;0,1,0)</f>
        <v>0</v>
      </c>
      <c r="AT2591" s="1">
        <f>$A2591*$B2591</f>
        <v>0</v>
      </c>
      <c r="AU2591" s="1">
        <f>$A2591*$O2591</f>
        <v>0</v>
      </c>
      <c r="AV2591" s="1">
        <f>IF($R2591=0,0,INT($A2591/$R2591))</f>
        <v>0</v>
      </c>
      <c r="AW2591" s="1">
        <f>$A2591-$AV2591*$R2591</f>
        <v>0</v>
      </c>
    </row>
    <row r="2592" ht="24.95" customHeight="1" outlineLevel="3" s="1" customFormat="1">
      <c r="A2592" s="15"/>
      <c r="B2592" s="16">
        <v>490</v>
      </c>
      <c r="C2592" s="16">
        <v>760</v>
      </c>
      <c r="D2592" s="16">
        <v>33419</v>
      </c>
      <c r="E2592" s="18"/>
      <c r="F2592" s="18" t="s">
        <v>8458</v>
      </c>
      <c r="G2592" s="18" t="s">
        <v>8459</v>
      </c>
      <c r="H2592" s="18" t="s">
        <v>49</v>
      </c>
      <c r="I2592" s="18"/>
      <c r="J2592" s="16">
        <v>2025</v>
      </c>
      <c r="K2592" s="18" t="s">
        <v>8460</v>
      </c>
      <c r="L2592" s="16">
        <v>9785006304710</v>
      </c>
      <c r="M2592" s="18" t="s">
        <v>8461</v>
      </c>
      <c r="N2592" s="16">
        <v>48</v>
      </c>
      <c r="O2592" s="19">
        <v>0.21</v>
      </c>
      <c r="P2592" s="16">
        <v>170</v>
      </c>
      <c r="Q2592" s="16">
        <v>220</v>
      </c>
      <c r="R2592" s="16">
        <v>20</v>
      </c>
      <c r="S2592" s="18" t="s">
        <v>52</v>
      </c>
      <c r="T2592" s="18" t="s">
        <v>8456</v>
      </c>
      <c r="U2592" s="17">
        <v>2000</v>
      </c>
      <c r="V2592" s="18" t="s">
        <v>77</v>
      </c>
      <c r="W2592" s="18" t="s">
        <v>184</v>
      </c>
      <c r="X2592" s="16">
        <v>10</v>
      </c>
      <c r="Y2592" s="18" t="s">
        <v>8462</v>
      </c>
      <c r="Z2592" s="18"/>
      <c r="AS2592" s="1">
        <f>IF($A2592&lt;&gt;0,1,0)</f>
        <v>0</v>
      </c>
      <c r="AT2592" s="1">
        <f>$A2592*$B2592</f>
        <v>0</v>
      </c>
      <c r="AU2592" s="1">
        <f>$A2592*$O2592</f>
        <v>0</v>
      </c>
      <c r="AV2592" s="1">
        <f>IF($R2592=0,0,INT($A2592/$R2592))</f>
        <v>0</v>
      </c>
      <c r="AW2592" s="1">
        <f>$A2592-$AV2592*$R2592</f>
        <v>0</v>
      </c>
    </row>
    <row r="2593" ht="24.95" customHeight="1" outlineLevel="3" s="1" customFormat="1">
      <c r="A2593" s="15"/>
      <c r="B2593" s="16">
        <v>440</v>
      </c>
      <c r="C2593" s="16">
        <v>682</v>
      </c>
      <c r="D2593" s="16">
        <v>30700</v>
      </c>
      <c r="E2593" s="18"/>
      <c r="F2593" s="18" t="s">
        <v>8463</v>
      </c>
      <c r="G2593" s="18" t="s">
        <v>8464</v>
      </c>
      <c r="H2593" s="18" t="s">
        <v>49</v>
      </c>
      <c r="I2593" s="18"/>
      <c r="J2593" s="16">
        <v>2024</v>
      </c>
      <c r="K2593" s="18" t="s">
        <v>8465</v>
      </c>
      <c r="L2593" s="16">
        <v>9785961496208</v>
      </c>
      <c r="M2593" s="18" t="s">
        <v>8466</v>
      </c>
      <c r="N2593" s="16">
        <v>40</v>
      </c>
      <c r="O2593" s="19">
        <v>0.11</v>
      </c>
      <c r="P2593" s="16">
        <v>170</v>
      </c>
      <c r="Q2593" s="16">
        <v>220</v>
      </c>
      <c r="R2593" s="16">
        <v>18</v>
      </c>
      <c r="S2593" s="18" t="s">
        <v>52</v>
      </c>
      <c r="T2593" s="18" t="s">
        <v>8456</v>
      </c>
      <c r="U2593" s="17">
        <v>2000</v>
      </c>
      <c r="V2593" s="18" t="s">
        <v>77</v>
      </c>
      <c r="W2593" s="18" t="s">
        <v>8203</v>
      </c>
      <c r="X2593" s="16">
        <v>10</v>
      </c>
      <c r="Y2593" s="18" t="s">
        <v>7967</v>
      </c>
      <c r="Z2593" s="18"/>
      <c r="AS2593" s="1">
        <f>IF($A2593&lt;&gt;0,1,0)</f>
        <v>0</v>
      </c>
      <c r="AT2593" s="1">
        <f>$A2593*$B2593</f>
        <v>0</v>
      </c>
      <c r="AU2593" s="1">
        <f>$A2593*$O2593</f>
        <v>0</v>
      </c>
      <c r="AV2593" s="1">
        <f>IF($R2593=0,0,INT($A2593/$R2593))</f>
        <v>0</v>
      </c>
      <c r="AW2593" s="1">
        <f>$A2593-$AV2593*$R2593</f>
        <v>0</v>
      </c>
    </row>
    <row r="2594" ht="24.95" customHeight="1" outlineLevel="3" s="1" customFormat="1">
      <c r="A2594" s="15"/>
      <c r="B2594" s="16">
        <v>540</v>
      </c>
      <c r="C2594" s="16">
        <v>837</v>
      </c>
      <c r="D2594" s="16">
        <v>33418</v>
      </c>
      <c r="E2594" s="18"/>
      <c r="F2594" s="18" t="s">
        <v>8467</v>
      </c>
      <c r="G2594" s="18" t="s">
        <v>8468</v>
      </c>
      <c r="H2594" s="18" t="s">
        <v>49</v>
      </c>
      <c r="I2594" s="18"/>
      <c r="J2594" s="16">
        <v>2026</v>
      </c>
      <c r="K2594" s="18" t="s">
        <v>8469</v>
      </c>
      <c r="L2594" s="16">
        <v>9785006304703</v>
      </c>
      <c r="M2594" s="18" t="s">
        <v>8470</v>
      </c>
      <c r="N2594" s="16">
        <v>48</v>
      </c>
      <c r="O2594" s="19">
        <v>0.22</v>
      </c>
      <c r="P2594" s="16">
        <v>170</v>
      </c>
      <c r="Q2594" s="16">
        <v>220</v>
      </c>
      <c r="R2594" s="16">
        <v>20</v>
      </c>
      <c r="S2594" s="18" t="s">
        <v>52</v>
      </c>
      <c r="T2594" s="18" t="s">
        <v>8456</v>
      </c>
      <c r="U2594" s="17">
        <v>2000</v>
      </c>
      <c r="V2594" s="18" t="s">
        <v>77</v>
      </c>
      <c r="W2594" s="18" t="s">
        <v>184</v>
      </c>
      <c r="X2594" s="16">
        <v>10</v>
      </c>
      <c r="Y2594" s="43" t="str">
        <f>HYPERLINK("","")</f>
      </c>
      <c r="Z2594" s="18" t="s">
        <v>777</v>
      </c>
      <c r="AS2594" s="1">
        <f>IF($A2594&lt;&gt;0,1,0)</f>
        <v>0</v>
      </c>
      <c r="AT2594" s="1">
        <f>$A2594*$B2594</f>
        <v>0</v>
      </c>
      <c r="AU2594" s="1">
        <f>$A2594*$O2594</f>
        <v>0</v>
      </c>
      <c r="AV2594" s="1">
        <f>IF($R2594=0,0,INT($A2594/$R2594))</f>
        <v>0</v>
      </c>
      <c r="AW2594" s="1">
        <f>$A2594-$AV2594*$R2594</f>
        <v>0</v>
      </c>
    </row>
    <row r="2595" ht="24.95" customHeight="1" outlineLevel="3" s="1" customFormat="1">
      <c r="A2595" s="15"/>
      <c r="B2595" s="16">
        <v>590</v>
      </c>
      <c r="C2595" s="16">
        <v>885</v>
      </c>
      <c r="D2595" s="16">
        <v>33878</v>
      </c>
      <c r="E2595" s="18"/>
      <c r="F2595" s="18" t="s">
        <v>8471</v>
      </c>
      <c r="G2595" s="18" t="s">
        <v>8472</v>
      </c>
      <c r="H2595" s="18" t="s">
        <v>8445</v>
      </c>
      <c r="I2595" s="18"/>
      <c r="J2595" s="16">
        <v>2025</v>
      </c>
      <c r="K2595" s="18" t="s">
        <v>8473</v>
      </c>
      <c r="L2595" s="16">
        <v>9785006305946</v>
      </c>
      <c r="M2595" s="18" t="s">
        <v>8474</v>
      </c>
      <c r="N2595" s="16">
        <v>96</v>
      </c>
      <c r="O2595" s="19">
        <v>0.25</v>
      </c>
      <c r="P2595" s="16">
        <v>150</v>
      </c>
      <c r="Q2595" s="16">
        <v>210</v>
      </c>
      <c r="R2595" s="16">
        <v>24</v>
      </c>
      <c r="S2595" s="18" t="s">
        <v>43</v>
      </c>
      <c r="T2595" s="18" t="s">
        <v>8448</v>
      </c>
      <c r="U2595" s="17">
        <v>2000</v>
      </c>
      <c r="V2595" s="18" t="s">
        <v>77</v>
      </c>
      <c r="W2595" s="18" t="s">
        <v>91</v>
      </c>
      <c r="X2595" s="16">
        <v>10</v>
      </c>
      <c r="Y2595" s="43" t="str">
        <f>HYPERLINK("https://api-enni.alpina.ru/FilePrivilegesApproval/944","https://api-enni.alpina.ru/FilePrivilegesApproval/944")</f>
        <v>https://api-enni.alpina.ru/FilePrivilegesApproval/944</v>
      </c>
      <c r="Z2595" s="18"/>
      <c r="AS2595" s="1">
        <f>IF($A2595&lt;&gt;0,1,0)</f>
        <v>0</v>
      </c>
      <c r="AT2595" s="1">
        <f>$A2595*$B2595</f>
        <v>0</v>
      </c>
      <c r="AU2595" s="1">
        <f>$A2595*$O2595</f>
        <v>0</v>
      </c>
      <c r="AV2595" s="1">
        <f>IF($R2595=0,0,INT($A2595/$R2595))</f>
        <v>0</v>
      </c>
      <c r="AW2595" s="1">
        <f>$A2595-$AV2595*$R2595</f>
        <v>0</v>
      </c>
    </row>
    <row r="2596" ht="24.95" customHeight="1" outlineLevel="3" s="1" customFormat="1">
      <c r="A2596" s="15"/>
      <c r="B2596" s="16">
        <v>590</v>
      </c>
      <c r="C2596" s="16">
        <v>885</v>
      </c>
      <c r="D2596" s="16">
        <v>28418</v>
      </c>
      <c r="E2596" s="18"/>
      <c r="F2596" s="18" t="s">
        <v>8475</v>
      </c>
      <c r="G2596" s="18" t="s">
        <v>8476</v>
      </c>
      <c r="H2596" s="18" t="s">
        <v>8445</v>
      </c>
      <c r="I2596" s="18"/>
      <c r="J2596" s="16">
        <v>2024</v>
      </c>
      <c r="K2596" s="18" t="s">
        <v>8477</v>
      </c>
      <c r="L2596" s="16">
        <v>9785961488869</v>
      </c>
      <c r="M2596" s="18" t="s">
        <v>8478</v>
      </c>
      <c r="N2596" s="16">
        <v>144</v>
      </c>
      <c r="O2596" s="19">
        <v>0.31</v>
      </c>
      <c r="P2596" s="16">
        <v>150</v>
      </c>
      <c r="Q2596" s="16">
        <v>210</v>
      </c>
      <c r="R2596" s="16">
        <v>20</v>
      </c>
      <c r="S2596" s="18" t="s">
        <v>43</v>
      </c>
      <c r="T2596" s="18" t="s">
        <v>8448</v>
      </c>
      <c r="U2596" s="17">
        <v>3000</v>
      </c>
      <c r="V2596" s="18" t="s">
        <v>77</v>
      </c>
      <c r="W2596" s="18" t="s">
        <v>55</v>
      </c>
      <c r="X2596" s="16">
        <v>10</v>
      </c>
      <c r="Y2596" s="43" t="str">
        <f>HYPERLINK("https://api-enni.alpina.ru/FilePrivilegesApproval/283","https://api-enni.alpina.ru/FilePrivilegesApproval/283")</f>
        <v>https://api-enni.alpina.ru/FilePrivilegesApproval/283</v>
      </c>
      <c r="Z2596" s="18"/>
      <c r="AS2596" s="1">
        <f>IF($A2596&lt;&gt;0,1,0)</f>
        <v>0</v>
      </c>
      <c r="AT2596" s="1">
        <f>$A2596*$B2596</f>
        <v>0</v>
      </c>
      <c r="AU2596" s="1">
        <f>$A2596*$O2596</f>
        <v>0</v>
      </c>
      <c r="AV2596" s="1">
        <f>IF($R2596=0,0,INT($A2596/$R2596))</f>
        <v>0</v>
      </c>
      <c r="AW2596" s="1">
        <f>$A2596-$AV2596*$R2596</f>
        <v>0</v>
      </c>
    </row>
    <row r="2597" ht="24.95" customHeight="1" outlineLevel="3" s="1" customFormat="1">
      <c r="A2597" s="15"/>
      <c r="B2597" s="16">
        <v>490</v>
      </c>
      <c r="C2597" s="16">
        <v>760</v>
      </c>
      <c r="D2597" s="16">
        <v>33421</v>
      </c>
      <c r="E2597" s="18"/>
      <c r="F2597" s="18" t="s">
        <v>8458</v>
      </c>
      <c r="G2597" s="18" t="s">
        <v>8479</v>
      </c>
      <c r="H2597" s="18" t="s">
        <v>49</v>
      </c>
      <c r="I2597" s="18"/>
      <c r="J2597" s="16">
        <v>2025</v>
      </c>
      <c r="K2597" s="18" t="s">
        <v>8480</v>
      </c>
      <c r="L2597" s="16">
        <v>9785006304734</v>
      </c>
      <c r="M2597" s="18" t="s">
        <v>8481</v>
      </c>
      <c r="N2597" s="16">
        <v>56</v>
      </c>
      <c r="O2597" s="19">
        <v>0.23</v>
      </c>
      <c r="P2597" s="16">
        <v>170</v>
      </c>
      <c r="Q2597" s="16">
        <v>220</v>
      </c>
      <c r="R2597" s="16">
        <v>20</v>
      </c>
      <c r="S2597" s="18" t="s">
        <v>52</v>
      </c>
      <c r="T2597" s="18" t="s">
        <v>8456</v>
      </c>
      <c r="U2597" s="17">
        <v>2000</v>
      </c>
      <c r="V2597" s="18" t="s">
        <v>77</v>
      </c>
      <c r="W2597" s="18" t="s">
        <v>184</v>
      </c>
      <c r="X2597" s="16">
        <v>10</v>
      </c>
      <c r="Y2597" s="18" t="s">
        <v>8462</v>
      </c>
      <c r="Z2597" s="18"/>
      <c r="AS2597" s="1">
        <f>IF($A2597&lt;&gt;0,1,0)</f>
        <v>0</v>
      </c>
      <c r="AT2597" s="1">
        <f>$A2597*$B2597</f>
        <v>0</v>
      </c>
      <c r="AU2597" s="1">
        <f>$A2597*$O2597</f>
        <v>0</v>
      </c>
      <c r="AV2597" s="1">
        <f>IF($R2597=0,0,INT($A2597/$R2597))</f>
        <v>0</v>
      </c>
      <c r="AW2597" s="1">
        <f>$A2597-$AV2597*$R2597</f>
        <v>0</v>
      </c>
    </row>
    <row r="2598" ht="24.95" customHeight="1" outlineLevel="3" s="1" customFormat="1">
      <c r="A2598" s="15"/>
      <c r="B2598" s="16">
        <v>490</v>
      </c>
      <c r="C2598" s="16">
        <v>760</v>
      </c>
      <c r="D2598" s="16">
        <v>33422</v>
      </c>
      <c r="E2598" s="18"/>
      <c r="F2598" s="18" t="s">
        <v>8482</v>
      </c>
      <c r="G2598" s="18" t="s">
        <v>8483</v>
      </c>
      <c r="H2598" s="18" t="s">
        <v>49</v>
      </c>
      <c r="I2598" s="18"/>
      <c r="J2598" s="16">
        <v>2025</v>
      </c>
      <c r="K2598" s="18" t="s">
        <v>8484</v>
      </c>
      <c r="L2598" s="16">
        <v>9785006304741</v>
      </c>
      <c r="M2598" s="18" t="s">
        <v>8485</v>
      </c>
      <c r="N2598" s="16">
        <v>40</v>
      </c>
      <c r="O2598" s="19">
        <v>0.2</v>
      </c>
      <c r="P2598" s="16">
        <v>170</v>
      </c>
      <c r="Q2598" s="16">
        <v>220</v>
      </c>
      <c r="R2598" s="16">
        <v>20</v>
      </c>
      <c r="S2598" s="18" t="s">
        <v>52</v>
      </c>
      <c r="T2598" s="18" t="s">
        <v>8456</v>
      </c>
      <c r="U2598" s="17">
        <v>2000</v>
      </c>
      <c r="V2598" s="18" t="s">
        <v>77</v>
      </c>
      <c r="W2598" s="18" t="s">
        <v>55</v>
      </c>
      <c r="X2598" s="16">
        <v>10</v>
      </c>
      <c r="Y2598" s="18" t="s">
        <v>8486</v>
      </c>
      <c r="Z2598" s="18"/>
      <c r="AS2598" s="1">
        <f>IF($A2598&lt;&gt;0,1,0)</f>
        <v>0</v>
      </c>
      <c r="AT2598" s="1">
        <f>$A2598*$B2598</f>
        <v>0</v>
      </c>
      <c r="AU2598" s="1">
        <f>$A2598*$O2598</f>
        <v>0</v>
      </c>
      <c r="AV2598" s="1">
        <f>IF($R2598=0,0,INT($A2598/$R2598))</f>
        <v>0</v>
      </c>
      <c r="AW2598" s="1">
        <f>$A2598-$AV2598*$R2598</f>
        <v>0</v>
      </c>
    </row>
    <row r="2599" ht="24.95" customHeight="1" outlineLevel="3" s="1" customFormat="1">
      <c r="A2599" s="15"/>
      <c r="B2599" s="16">
        <v>590</v>
      </c>
      <c r="C2599" s="16">
        <v>885</v>
      </c>
      <c r="D2599" s="16">
        <v>30029</v>
      </c>
      <c r="E2599" s="18"/>
      <c r="F2599" s="18" t="s">
        <v>7670</v>
      </c>
      <c r="G2599" s="18" t="s">
        <v>8487</v>
      </c>
      <c r="H2599" s="18" t="s">
        <v>8445</v>
      </c>
      <c r="I2599" s="18" t="s">
        <v>40</v>
      </c>
      <c r="J2599" s="16">
        <v>2024</v>
      </c>
      <c r="K2599" s="18" t="s">
        <v>8488</v>
      </c>
      <c r="L2599" s="16">
        <v>9785961494631</v>
      </c>
      <c r="M2599" s="18" t="s">
        <v>8489</v>
      </c>
      <c r="N2599" s="16">
        <v>192</v>
      </c>
      <c r="O2599" s="19">
        <v>0.37</v>
      </c>
      <c r="P2599" s="16">
        <v>150</v>
      </c>
      <c r="Q2599" s="16">
        <v>210</v>
      </c>
      <c r="R2599" s="16">
        <v>12</v>
      </c>
      <c r="S2599" s="18" t="s">
        <v>43</v>
      </c>
      <c r="T2599" s="18" t="s">
        <v>8448</v>
      </c>
      <c r="U2599" s="17">
        <v>3000</v>
      </c>
      <c r="V2599" s="18" t="s">
        <v>77</v>
      </c>
      <c r="W2599" s="18" t="s">
        <v>55</v>
      </c>
      <c r="X2599" s="16">
        <v>10</v>
      </c>
      <c r="Y2599" s="43" t="str">
        <f>HYPERLINK("https://api-enni.alpina.ru/FilePrivilegesApproval/368","https://api-enni.alpina.ru/FilePrivilegesApproval/368")</f>
        <v>https://api-enni.alpina.ru/FilePrivilegesApproval/368</v>
      </c>
      <c r="Z2599" s="18"/>
      <c r="AS2599" s="1">
        <f>IF($A2599&lt;&gt;0,1,0)</f>
        <v>0</v>
      </c>
      <c r="AT2599" s="1">
        <f>$A2599*$B2599</f>
        <v>0</v>
      </c>
      <c r="AU2599" s="1">
        <f>$A2599*$O2599</f>
        <v>0</v>
      </c>
      <c r="AV2599" s="1">
        <f>IF($R2599=0,0,INT($A2599/$R2599))</f>
        <v>0</v>
      </c>
      <c r="AW2599" s="1">
        <f>$A2599-$AV2599*$R2599</f>
        <v>0</v>
      </c>
    </row>
    <row r="2600" ht="24.95" customHeight="1" outlineLevel="3" s="1" customFormat="1">
      <c r="A2600" s="15"/>
      <c r="B2600" s="16">
        <v>590</v>
      </c>
      <c r="C2600" s="16">
        <v>885</v>
      </c>
      <c r="D2600" s="16">
        <v>30030</v>
      </c>
      <c r="E2600" s="18"/>
      <c r="F2600" s="18" t="s">
        <v>7670</v>
      </c>
      <c r="G2600" s="18" t="s">
        <v>8490</v>
      </c>
      <c r="H2600" s="18" t="s">
        <v>8445</v>
      </c>
      <c r="I2600" s="18" t="s">
        <v>40</v>
      </c>
      <c r="J2600" s="16">
        <v>2024</v>
      </c>
      <c r="K2600" s="18" t="s">
        <v>8491</v>
      </c>
      <c r="L2600" s="16">
        <v>9785961494648</v>
      </c>
      <c r="M2600" s="18" t="s">
        <v>8492</v>
      </c>
      <c r="N2600" s="16">
        <v>176</v>
      </c>
      <c r="O2600" s="19">
        <v>0.3</v>
      </c>
      <c r="P2600" s="16">
        <v>150</v>
      </c>
      <c r="Q2600" s="16">
        <v>210</v>
      </c>
      <c r="R2600" s="16">
        <v>14</v>
      </c>
      <c r="S2600" s="18" t="s">
        <v>43</v>
      </c>
      <c r="T2600" s="18" t="s">
        <v>8448</v>
      </c>
      <c r="U2600" s="17">
        <v>3000</v>
      </c>
      <c r="V2600" s="18" t="s">
        <v>77</v>
      </c>
      <c r="W2600" s="18" t="s">
        <v>55</v>
      </c>
      <c r="X2600" s="16">
        <v>10</v>
      </c>
      <c r="Y2600" s="43" t="str">
        <f>HYPERLINK("https://api-enni.alpina.ru/FilePrivilegesApproval/368","https://api-enni.alpina.ru/FilePrivilegesApproval/368")</f>
        <v>https://api-enni.alpina.ru/FilePrivilegesApproval/368</v>
      </c>
      <c r="Z2600" s="18"/>
      <c r="AS2600" s="1">
        <f>IF($A2600&lt;&gt;0,1,0)</f>
        <v>0</v>
      </c>
      <c r="AT2600" s="1">
        <f>$A2600*$B2600</f>
        <v>0</v>
      </c>
      <c r="AU2600" s="1">
        <f>$A2600*$O2600</f>
        <v>0</v>
      </c>
      <c r="AV2600" s="1">
        <f>IF($R2600=0,0,INT($A2600/$R2600))</f>
        <v>0</v>
      </c>
      <c r="AW2600" s="1">
        <f>$A2600-$AV2600*$R2600</f>
        <v>0</v>
      </c>
    </row>
    <row r="2601" ht="24.95" customHeight="1" outlineLevel="3" s="1" customFormat="1">
      <c r="A2601" s="15"/>
      <c r="B2601" s="16">
        <v>540</v>
      </c>
      <c r="C2601" s="16">
        <v>837</v>
      </c>
      <c r="D2601" s="16">
        <v>29898</v>
      </c>
      <c r="E2601" s="18"/>
      <c r="F2601" s="18" t="s">
        <v>8463</v>
      </c>
      <c r="G2601" s="18" t="s">
        <v>8493</v>
      </c>
      <c r="H2601" s="18" t="s">
        <v>49</v>
      </c>
      <c r="I2601" s="18"/>
      <c r="J2601" s="16">
        <v>2026</v>
      </c>
      <c r="K2601" s="18" t="s">
        <v>8494</v>
      </c>
      <c r="L2601" s="16">
        <v>9785961494341</v>
      </c>
      <c r="M2601" s="18" t="s">
        <v>8495</v>
      </c>
      <c r="N2601" s="16">
        <v>40</v>
      </c>
      <c r="O2601" s="19">
        <v>0.2</v>
      </c>
      <c r="P2601" s="16">
        <v>170</v>
      </c>
      <c r="Q2601" s="16">
        <v>220</v>
      </c>
      <c r="R2601" s="16">
        <v>18</v>
      </c>
      <c r="S2601" s="18" t="s">
        <v>52</v>
      </c>
      <c r="T2601" s="18" t="s">
        <v>8456</v>
      </c>
      <c r="U2601" s="17">
        <v>1000</v>
      </c>
      <c r="V2601" s="18" t="s">
        <v>77</v>
      </c>
      <c r="W2601" s="18" t="s">
        <v>55</v>
      </c>
      <c r="X2601" s="16">
        <v>10</v>
      </c>
      <c r="Y2601" s="18" t="s">
        <v>7967</v>
      </c>
      <c r="Z2601" s="18" t="s">
        <v>1905</v>
      </c>
      <c r="AS2601" s="1">
        <f>IF($A2601&lt;&gt;0,1,0)</f>
        <v>0</v>
      </c>
      <c r="AT2601" s="1">
        <f>$A2601*$B2601</f>
        <v>0</v>
      </c>
      <c r="AU2601" s="1">
        <f>$A2601*$O2601</f>
        <v>0</v>
      </c>
      <c r="AV2601" s="1">
        <f>IF($R2601=0,0,INT($A2601/$R2601))</f>
        <v>0</v>
      </c>
      <c r="AW2601" s="1">
        <f>$A2601-$AV2601*$R2601</f>
        <v>0</v>
      </c>
    </row>
    <row r="2602" ht="24.95" customHeight="1" outlineLevel="3" s="1" customFormat="1">
      <c r="A2602" s="15"/>
      <c r="B2602" s="16">
        <v>490</v>
      </c>
      <c r="C2602" s="16">
        <v>760</v>
      </c>
      <c r="D2602" s="16">
        <v>33424</v>
      </c>
      <c r="E2602" s="18"/>
      <c r="F2602" s="18" t="s">
        <v>8496</v>
      </c>
      <c r="G2602" s="18" t="s">
        <v>8497</v>
      </c>
      <c r="H2602" s="18" t="s">
        <v>49</v>
      </c>
      <c r="I2602" s="18"/>
      <c r="J2602" s="16">
        <v>2025</v>
      </c>
      <c r="K2602" s="18" t="s">
        <v>8498</v>
      </c>
      <c r="L2602" s="16">
        <v>9785006304765</v>
      </c>
      <c r="M2602" s="18" t="s">
        <v>8499</v>
      </c>
      <c r="N2602" s="16">
        <v>32</v>
      </c>
      <c r="O2602" s="19">
        <v>0.19</v>
      </c>
      <c r="P2602" s="16">
        <v>170</v>
      </c>
      <c r="Q2602" s="16">
        <v>220</v>
      </c>
      <c r="R2602" s="16">
        <v>20</v>
      </c>
      <c r="S2602" s="18" t="s">
        <v>52</v>
      </c>
      <c r="T2602" s="18" t="s">
        <v>8456</v>
      </c>
      <c r="U2602" s="17">
        <v>2000</v>
      </c>
      <c r="V2602" s="18" t="s">
        <v>77</v>
      </c>
      <c r="W2602" s="18" t="s">
        <v>184</v>
      </c>
      <c r="X2602" s="16">
        <v>10</v>
      </c>
      <c r="Y2602" s="18" t="s">
        <v>8500</v>
      </c>
      <c r="Z2602" s="18"/>
      <c r="AS2602" s="1">
        <f>IF($A2602&lt;&gt;0,1,0)</f>
        <v>0</v>
      </c>
      <c r="AT2602" s="1">
        <f>$A2602*$B2602</f>
        <v>0</v>
      </c>
      <c r="AU2602" s="1">
        <f>$A2602*$O2602</f>
        <v>0</v>
      </c>
      <c r="AV2602" s="1">
        <f>IF($R2602=0,0,INT($A2602/$R2602))</f>
        <v>0</v>
      </c>
      <c r="AW2602" s="1">
        <f>$A2602-$AV2602*$R2602</f>
        <v>0</v>
      </c>
    </row>
    <row r="2603" ht="24.95" customHeight="1" outlineLevel="3" s="1" customFormat="1">
      <c r="A2603" s="15"/>
      <c r="B2603" s="16">
        <v>690</v>
      </c>
      <c r="C2603" s="17">
        <v>1035</v>
      </c>
      <c r="D2603" s="16">
        <v>29272</v>
      </c>
      <c r="E2603" s="18"/>
      <c r="F2603" s="18" t="s">
        <v>6950</v>
      </c>
      <c r="G2603" s="18" t="s">
        <v>8501</v>
      </c>
      <c r="H2603" s="18" t="s">
        <v>8445</v>
      </c>
      <c r="I2603" s="18"/>
      <c r="J2603" s="16">
        <v>2024</v>
      </c>
      <c r="K2603" s="18" t="s">
        <v>8502</v>
      </c>
      <c r="L2603" s="16">
        <v>9785961491999</v>
      </c>
      <c r="M2603" s="18" t="s">
        <v>8503</v>
      </c>
      <c r="N2603" s="16">
        <v>224</v>
      </c>
      <c r="O2603" s="19">
        <v>0.43</v>
      </c>
      <c r="P2603" s="16">
        <v>150</v>
      </c>
      <c r="Q2603" s="16">
        <v>210</v>
      </c>
      <c r="R2603" s="16">
        <v>14</v>
      </c>
      <c r="S2603" s="18" t="s">
        <v>43</v>
      </c>
      <c r="T2603" s="18" t="s">
        <v>8448</v>
      </c>
      <c r="U2603" s="17">
        <v>3000</v>
      </c>
      <c r="V2603" s="18" t="s">
        <v>77</v>
      </c>
      <c r="W2603" s="18" t="s">
        <v>55</v>
      </c>
      <c r="X2603" s="16">
        <v>10</v>
      </c>
      <c r="Y2603" s="43" t="str">
        <f>HYPERLINK("https://api-enni.alpina.ru/FilePrivilegesApproval/329","https://api-enni.alpina.ru/FilePrivilegesApproval/329")</f>
        <v>https://api-enni.alpina.ru/FilePrivilegesApproval/329</v>
      </c>
      <c r="Z2603" s="18"/>
      <c r="AS2603" s="1">
        <f>IF($A2603&lt;&gt;0,1,0)</f>
        <v>0</v>
      </c>
      <c r="AT2603" s="1">
        <f>$A2603*$B2603</f>
        <v>0</v>
      </c>
      <c r="AU2603" s="1">
        <f>$A2603*$O2603</f>
        <v>0</v>
      </c>
      <c r="AV2603" s="1">
        <f>IF($R2603=0,0,INT($A2603/$R2603))</f>
        <v>0</v>
      </c>
      <c r="AW2603" s="1">
        <f>$A2603-$AV2603*$R2603</f>
        <v>0</v>
      </c>
    </row>
    <row r="2604" ht="24.95" customHeight="1" outlineLevel="3" s="1" customFormat="1">
      <c r="A2604" s="15"/>
      <c r="B2604" s="16">
        <v>440</v>
      </c>
      <c r="C2604" s="16">
        <v>682</v>
      </c>
      <c r="D2604" s="16">
        <v>29473</v>
      </c>
      <c r="E2604" s="18"/>
      <c r="F2604" s="18" t="s">
        <v>8463</v>
      </c>
      <c r="G2604" s="18" t="s">
        <v>8504</v>
      </c>
      <c r="H2604" s="18" t="s">
        <v>49</v>
      </c>
      <c r="I2604" s="18"/>
      <c r="J2604" s="16">
        <v>2024</v>
      </c>
      <c r="K2604" s="18" t="s">
        <v>8505</v>
      </c>
      <c r="L2604" s="16">
        <v>9785961492729</v>
      </c>
      <c r="M2604" s="18" t="s">
        <v>8506</v>
      </c>
      <c r="N2604" s="16">
        <v>40</v>
      </c>
      <c r="O2604" s="19">
        <v>0.2</v>
      </c>
      <c r="P2604" s="16">
        <v>170</v>
      </c>
      <c r="Q2604" s="16">
        <v>230</v>
      </c>
      <c r="R2604" s="16">
        <v>18</v>
      </c>
      <c r="S2604" s="18" t="s">
        <v>52</v>
      </c>
      <c r="T2604" s="18" t="s">
        <v>8456</v>
      </c>
      <c r="U2604" s="17">
        <v>2000</v>
      </c>
      <c r="V2604" s="18" t="s">
        <v>77</v>
      </c>
      <c r="W2604" s="18" t="s">
        <v>8203</v>
      </c>
      <c r="X2604" s="16">
        <v>10</v>
      </c>
      <c r="Y2604" s="18" t="s">
        <v>7967</v>
      </c>
      <c r="Z2604" s="18"/>
      <c r="AS2604" s="1">
        <f>IF($A2604&lt;&gt;0,1,0)</f>
        <v>0</v>
      </c>
      <c r="AT2604" s="1">
        <f>$A2604*$B2604</f>
        <v>0</v>
      </c>
      <c r="AU2604" s="1">
        <f>$A2604*$O2604</f>
        <v>0</v>
      </c>
      <c r="AV2604" s="1">
        <f>IF($R2604=0,0,INT($A2604/$R2604))</f>
        <v>0</v>
      </c>
      <c r="AW2604" s="1">
        <f>$A2604-$AV2604*$R2604</f>
        <v>0</v>
      </c>
    </row>
    <row r="2605" ht="24.95" customHeight="1" outlineLevel="3" s="1" customFormat="1">
      <c r="A2605" s="15"/>
      <c r="B2605" s="16">
        <v>690</v>
      </c>
      <c r="C2605" s="17">
        <v>1035</v>
      </c>
      <c r="D2605" s="16">
        <v>28922</v>
      </c>
      <c r="E2605" s="18"/>
      <c r="F2605" s="18" t="s">
        <v>8507</v>
      </c>
      <c r="G2605" s="18" t="s">
        <v>8508</v>
      </c>
      <c r="H2605" s="18" t="s">
        <v>8445</v>
      </c>
      <c r="I2605" s="18"/>
      <c r="J2605" s="16">
        <v>2026</v>
      </c>
      <c r="K2605" s="18" t="s">
        <v>8509</v>
      </c>
      <c r="L2605" s="16">
        <v>9785961490725</v>
      </c>
      <c r="M2605" s="18" t="s">
        <v>8510</v>
      </c>
      <c r="N2605" s="16">
        <v>304</v>
      </c>
      <c r="O2605" s="19">
        <v>0.54</v>
      </c>
      <c r="P2605" s="16">
        <v>150</v>
      </c>
      <c r="Q2605" s="16">
        <v>210</v>
      </c>
      <c r="R2605" s="16">
        <v>12</v>
      </c>
      <c r="S2605" s="18" t="s">
        <v>43</v>
      </c>
      <c r="T2605" s="18" t="s">
        <v>8448</v>
      </c>
      <c r="U2605" s="17">
        <v>3000</v>
      </c>
      <c r="V2605" s="18" t="s">
        <v>77</v>
      </c>
      <c r="W2605" s="18" t="s">
        <v>55</v>
      </c>
      <c r="X2605" s="16">
        <v>10</v>
      </c>
      <c r="Y2605" s="43" t="str">
        <f>HYPERLINK("https://api-enni.alpina.ru/FilePrivilegesApproval/385","https://api-enni.alpina.ru/FilePrivilegesApproval/385")</f>
        <v>https://api-enni.alpina.ru/FilePrivilegesApproval/385</v>
      </c>
      <c r="Z2605" s="18"/>
      <c r="AS2605" s="1">
        <f>IF($A2605&lt;&gt;0,1,0)</f>
        <v>0</v>
      </c>
      <c r="AT2605" s="1">
        <f>$A2605*$B2605</f>
        <v>0</v>
      </c>
      <c r="AU2605" s="1">
        <f>$A2605*$O2605</f>
        <v>0</v>
      </c>
      <c r="AV2605" s="1">
        <f>IF($R2605=0,0,INT($A2605/$R2605))</f>
        <v>0</v>
      </c>
      <c r="AW2605" s="1">
        <f>$A2605-$AV2605*$R2605</f>
        <v>0</v>
      </c>
    </row>
    <row r="2606" ht="24.95" customHeight="1" outlineLevel="3" s="1" customFormat="1">
      <c r="A2606" s="15"/>
      <c r="B2606" s="16">
        <v>690</v>
      </c>
      <c r="C2606" s="17">
        <v>1035</v>
      </c>
      <c r="D2606" s="16">
        <v>28729</v>
      </c>
      <c r="E2606" s="18"/>
      <c r="F2606" s="18" t="s">
        <v>8511</v>
      </c>
      <c r="G2606" s="18" t="s">
        <v>8512</v>
      </c>
      <c r="H2606" s="18" t="s">
        <v>8445</v>
      </c>
      <c r="I2606" s="18" t="s">
        <v>74</v>
      </c>
      <c r="J2606" s="16">
        <v>2024</v>
      </c>
      <c r="K2606" s="18" t="s">
        <v>8513</v>
      </c>
      <c r="L2606" s="16">
        <v>9785961489910</v>
      </c>
      <c r="M2606" s="18" t="s">
        <v>8514</v>
      </c>
      <c r="N2606" s="16">
        <v>240</v>
      </c>
      <c r="O2606" s="19">
        <v>0.47</v>
      </c>
      <c r="P2606" s="16">
        <v>150</v>
      </c>
      <c r="Q2606" s="16">
        <v>210</v>
      </c>
      <c r="R2606" s="16">
        <v>10</v>
      </c>
      <c r="S2606" s="18" t="s">
        <v>43</v>
      </c>
      <c r="T2606" s="18" t="s">
        <v>8448</v>
      </c>
      <c r="U2606" s="17">
        <v>3000</v>
      </c>
      <c r="V2606" s="18" t="s">
        <v>77</v>
      </c>
      <c r="W2606" s="18" t="s">
        <v>55</v>
      </c>
      <c r="X2606" s="16">
        <v>10</v>
      </c>
      <c r="Y2606" s="43" t="str">
        <f>HYPERLINK("https://api-enni.alpina.ru/FilePrivilegesApproval/296","https://api-enni.alpina.ru/FilePrivilegesApproval/296")</f>
        <v>https://api-enni.alpina.ru/FilePrivilegesApproval/296</v>
      </c>
      <c r="Z2606" s="18"/>
      <c r="AS2606" s="1">
        <f>IF($A2606&lt;&gt;0,1,0)</f>
        <v>0</v>
      </c>
      <c r="AT2606" s="1">
        <f>$A2606*$B2606</f>
        <v>0</v>
      </c>
      <c r="AU2606" s="1">
        <f>$A2606*$O2606</f>
        <v>0</v>
      </c>
      <c r="AV2606" s="1">
        <f>IF($R2606=0,0,INT($A2606/$R2606))</f>
        <v>0</v>
      </c>
      <c r="AW2606" s="1">
        <f>$A2606-$AV2606*$R2606</f>
        <v>0</v>
      </c>
    </row>
    <row r="2607" ht="24.95" customHeight="1" outlineLevel="3" s="1" customFormat="1">
      <c r="A2607" s="15"/>
      <c r="B2607" s="16">
        <v>440</v>
      </c>
      <c r="C2607" s="16">
        <v>682</v>
      </c>
      <c r="D2607" s="16">
        <v>29894</v>
      </c>
      <c r="E2607" s="18"/>
      <c r="F2607" s="18" t="s">
        <v>8463</v>
      </c>
      <c r="G2607" s="18" t="s">
        <v>8515</v>
      </c>
      <c r="H2607" s="18" t="s">
        <v>49</v>
      </c>
      <c r="I2607" s="18"/>
      <c r="J2607" s="16">
        <v>2024</v>
      </c>
      <c r="K2607" s="18" t="s">
        <v>8516</v>
      </c>
      <c r="L2607" s="16">
        <v>9785961494334</v>
      </c>
      <c r="M2607" s="18" t="s">
        <v>8517</v>
      </c>
      <c r="N2607" s="16">
        <v>40</v>
      </c>
      <c r="O2607" s="19">
        <v>0.2</v>
      </c>
      <c r="P2607" s="16">
        <v>170</v>
      </c>
      <c r="Q2607" s="16">
        <v>220</v>
      </c>
      <c r="R2607" s="16">
        <v>18</v>
      </c>
      <c r="S2607" s="18" t="s">
        <v>52</v>
      </c>
      <c r="T2607" s="18" t="s">
        <v>8456</v>
      </c>
      <c r="U2607" s="17">
        <v>2000</v>
      </c>
      <c r="V2607" s="18" t="s">
        <v>77</v>
      </c>
      <c r="W2607" s="18" t="s">
        <v>8203</v>
      </c>
      <c r="X2607" s="16">
        <v>10</v>
      </c>
      <c r="Y2607" s="18" t="s">
        <v>7967</v>
      </c>
      <c r="Z2607" s="18"/>
      <c r="AS2607" s="1">
        <f>IF($A2607&lt;&gt;0,1,0)</f>
        <v>0</v>
      </c>
      <c r="AT2607" s="1">
        <f>$A2607*$B2607</f>
        <v>0</v>
      </c>
      <c r="AU2607" s="1">
        <f>$A2607*$O2607</f>
        <v>0</v>
      </c>
      <c r="AV2607" s="1">
        <f>IF($R2607=0,0,INT($A2607/$R2607))</f>
        <v>0</v>
      </c>
      <c r="AW2607" s="1">
        <f>$A2607-$AV2607*$R2607</f>
        <v>0</v>
      </c>
    </row>
    <row r="2608" ht="24.95" customHeight="1" outlineLevel="3" s="1" customFormat="1">
      <c r="A2608" s="25"/>
      <c r="B2608" s="26">
        <v>490</v>
      </c>
      <c r="C2608" s="26">
        <v>760</v>
      </c>
      <c r="D2608" s="26">
        <v>23399</v>
      </c>
      <c r="E2608" s="27"/>
      <c r="F2608" s="27" t="s">
        <v>8518</v>
      </c>
      <c r="G2608" s="27" t="s">
        <v>8519</v>
      </c>
      <c r="H2608" s="27" t="s">
        <v>49</v>
      </c>
      <c r="I2608" s="27" t="s">
        <v>87</v>
      </c>
      <c r="J2608" s="26">
        <v>2021</v>
      </c>
      <c r="K2608" s="27" t="s">
        <v>8520</v>
      </c>
      <c r="L2608" s="26">
        <v>9785961472424</v>
      </c>
      <c r="M2608" s="27" t="s">
        <v>8521</v>
      </c>
      <c r="N2608" s="26">
        <v>56</v>
      </c>
      <c r="O2608" s="28">
        <v>0.19</v>
      </c>
      <c r="P2608" s="26">
        <v>146</v>
      </c>
      <c r="Q2608" s="26">
        <v>216</v>
      </c>
      <c r="R2608" s="26">
        <v>20</v>
      </c>
      <c r="S2608" s="27" t="s">
        <v>43</v>
      </c>
      <c r="T2608" s="27" t="s">
        <v>8522</v>
      </c>
      <c r="U2608" s="29">
        <v>3000</v>
      </c>
      <c r="V2608" s="27" t="s">
        <v>77</v>
      </c>
      <c r="W2608" s="27" t="s">
        <v>55</v>
      </c>
      <c r="X2608" s="26">
        <v>10</v>
      </c>
      <c r="Y2608" s="27" t="s">
        <v>8523</v>
      </c>
      <c r="Z2608" s="27"/>
      <c r="AS2608" s="1">
        <f>IF($A2608&lt;&gt;0,1,0)</f>
        <v>0</v>
      </c>
      <c r="AT2608" s="1">
        <f>$A2608*$B2608</f>
        <v>0</v>
      </c>
      <c r="AU2608" s="1">
        <f>$A2608*$O2608</f>
        <v>0</v>
      </c>
      <c r="AV2608" s="1">
        <f>IF($R2608=0,0,INT($A2608/$R2608))</f>
        <v>0</v>
      </c>
      <c r="AW2608" s="1">
        <f>$A2608-$AV2608*$R2608</f>
        <v>0</v>
      </c>
    </row>
    <row r="2609" ht="24.95" customHeight="1" outlineLevel="3" s="1" customFormat="1">
      <c r="A2609" s="15"/>
      <c r="B2609" s="16">
        <v>490</v>
      </c>
      <c r="C2609" s="16">
        <v>760</v>
      </c>
      <c r="D2609" s="16">
        <v>25121</v>
      </c>
      <c r="E2609" s="18"/>
      <c r="F2609" s="18" t="s">
        <v>8518</v>
      </c>
      <c r="G2609" s="18" t="s">
        <v>8524</v>
      </c>
      <c r="H2609" s="18" t="s">
        <v>49</v>
      </c>
      <c r="I2609" s="18" t="s">
        <v>87</v>
      </c>
      <c r="J2609" s="16">
        <v>2022</v>
      </c>
      <c r="K2609" s="18" t="s">
        <v>8525</v>
      </c>
      <c r="L2609" s="16">
        <v>9785961476910</v>
      </c>
      <c r="M2609" s="18" t="s">
        <v>8526</v>
      </c>
      <c r="N2609" s="16">
        <v>56</v>
      </c>
      <c r="O2609" s="19">
        <v>0.2</v>
      </c>
      <c r="P2609" s="16">
        <v>148</v>
      </c>
      <c r="Q2609" s="16">
        <v>216</v>
      </c>
      <c r="R2609" s="16">
        <v>20</v>
      </c>
      <c r="S2609" s="18" t="s">
        <v>43</v>
      </c>
      <c r="T2609" s="18" t="s">
        <v>8522</v>
      </c>
      <c r="U2609" s="17">
        <v>3000</v>
      </c>
      <c r="V2609" s="18" t="s">
        <v>77</v>
      </c>
      <c r="W2609" s="18" t="s">
        <v>55</v>
      </c>
      <c r="X2609" s="16">
        <v>10</v>
      </c>
      <c r="Y2609" s="18" t="s">
        <v>8009</v>
      </c>
      <c r="Z2609" s="18"/>
      <c r="AS2609" s="1">
        <f>IF($A2609&lt;&gt;0,1,0)</f>
        <v>0</v>
      </c>
      <c r="AT2609" s="1">
        <f>$A2609*$B2609</f>
        <v>0</v>
      </c>
      <c r="AU2609" s="1">
        <f>$A2609*$O2609</f>
        <v>0</v>
      </c>
      <c r="AV2609" s="1">
        <f>IF($R2609=0,0,INT($A2609/$R2609))</f>
        <v>0</v>
      </c>
      <c r="AW2609" s="1">
        <f>$A2609-$AV2609*$R2609</f>
        <v>0</v>
      </c>
    </row>
    <row r="2610" ht="24.95" customHeight="1" outlineLevel="3" s="1" customFormat="1">
      <c r="A2610" s="25"/>
      <c r="B2610" s="26">
        <v>490</v>
      </c>
      <c r="C2610" s="26">
        <v>760</v>
      </c>
      <c r="D2610" s="26">
        <v>23934</v>
      </c>
      <c r="E2610" s="27"/>
      <c r="F2610" s="27" t="s">
        <v>8518</v>
      </c>
      <c r="G2610" s="27" t="s">
        <v>8527</v>
      </c>
      <c r="H2610" s="27" t="s">
        <v>49</v>
      </c>
      <c r="I2610" s="27" t="s">
        <v>87</v>
      </c>
      <c r="J2610" s="26">
        <v>2022</v>
      </c>
      <c r="K2610" s="27" t="s">
        <v>8528</v>
      </c>
      <c r="L2610" s="26">
        <v>9785961474473</v>
      </c>
      <c r="M2610" s="27" t="s">
        <v>8529</v>
      </c>
      <c r="N2610" s="26">
        <v>56</v>
      </c>
      <c r="O2610" s="28">
        <v>0.19</v>
      </c>
      <c r="P2610" s="26">
        <v>148</v>
      </c>
      <c r="Q2610" s="26">
        <v>216</v>
      </c>
      <c r="R2610" s="26">
        <v>20</v>
      </c>
      <c r="S2610" s="27" t="s">
        <v>43</v>
      </c>
      <c r="T2610" s="27" t="s">
        <v>8522</v>
      </c>
      <c r="U2610" s="29">
        <v>3000</v>
      </c>
      <c r="V2610" s="27" t="s">
        <v>77</v>
      </c>
      <c r="W2610" s="27" t="s">
        <v>55</v>
      </c>
      <c r="X2610" s="26">
        <v>10</v>
      </c>
      <c r="Y2610" s="27" t="s">
        <v>8530</v>
      </c>
      <c r="Z2610" s="27"/>
      <c r="AS2610" s="1">
        <f>IF($A2610&lt;&gt;0,1,0)</f>
        <v>0</v>
      </c>
      <c r="AT2610" s="1">
        <f>$A2610*$B2610</f>
        <v>0</v>
      </c>
      <c r="AU2610" s="1">
        <f>$A2610*$O2610</f>
        <v>0</v>
      </c>
      <c r="AV2610" s="1">
        <f>IF($R2610=0,0,INT($A2610/$R2610))</f>
        <v>0</v>
      </c>
      <c r="AW2610" s="1">
        <f>$A2610-$AV2610*$R2610</f>
        <v>0</v>
      </c>
    </row>
    <row r="2611" ht="24.95" customHeight="1" outlineLevel="3" s="1" customFormat="1">
      <c r="A2611" s="15"/>
      <c r="B2611" s="16">
        <v>490</v>
      </c>
      <c r="C2611" s="16">
        <v>760</v>
      </c>
      <c r="D2611" s="16">
        <v>23305</v>
      </c>
      <c r="E2611" s="18"/>
      <c r="F2611" s="18" t="s">
        <v>8518</v>
      </c>
      <c r="G2611" s="18" t="s">
        <v>8531</v>
      </c>
      <c r="H2611" s="18" t="s">
        <v>49</v>
      </c>
      <c r="I2611" s="18" t="s">
        <v>87</v>
      </c>
      <c r="J2611" s="16">
        <v>2022</v>
      </c>
      <c r="K2611" s="18" t="s">
        <v>8532</v>
      </c>
      <c r="L2611" s="16">
        <v>9785961472080</v>
      </c>
      <c r="M2611" s="18" t="s">
        <v>8533</v>
      </c>
      <c r="N2611" s="16">
        <v>26</v>
      </c>
      <c r="O2611" s="19">
        <v>0.26</v>
      </c>
      <c r="P2611" s="16">
        <v>196</v>
      </c>
      <c r="Q2611" s="16">
        <v>269</v>
      </c>
      <c r="R2611" s="16">
        <v>20</v>
      </c>
      <c r="S2611" s="18" t="s">
        <v>328</v>
      </c>
      <c r="T2611" s="18" t="s">
        <v>8522</v>
      </c>
      <c r="U2611" s="17">
        <v>3000</v>
      </c>
      <c r="V2611" s="18" t="s">
        <v>77</v>
      </c>
      <c r="W2611" s="18" t="s">
        <v>184</v>
      </c>
      <c r="X2611" s="16">
        <v>10</v>
      </c>
      <c r="Y2611" s="18" t="s">
        <v>8534</v>
      </c>
      <c r="Z2611" s="18"/>
      <c r="AS2611" s="1">
        <f>IF($A2611&lt;&gt;0,1,0)</f>
        <v>0</v>
      </c>
      <c r="AT2611" s="1">
        <f>$A2611*$B2611</f>
        <v>0</v>
      </c>
      <c r="AU2611" s="1">
        <f>$A2611*$O2611</f>
        <v>0</v>
      </c>
      <c r="AV2611" s="1">
        <f>IF($R2611=0,0,INT($A2611/$R2611))</f>
        <v>0</v>
      </c>
      <c r="AW2611" s="1">
        <f>$A2611-$AV2611*$R2611</f>
        <v>0</v>
      </c>
    </row>
    <row r="2612" ht="24.95" customHeight="1" outlineLevel="3" s="1" customFormat="1">
      <c r="A2612" s="15"/>
      <c r="B2612" s="16">
        <v>490</v>
      </c>
      <c r="C2612" s="16">
        <v>760</v>
      </c>
      <c r="D2612" s="16">
        <v>24842</v>
      </c>
      <c r="E2612" s="18"/>
      <c r="F2612" s="18" t="s">
        <v>8518</v>
      </c>
      <c r="G2612" s="18" t="s">
        <v>8535</v>
      </c>
      <c r="H2612" s="18" t="s">
        <v>49</v>
      </c>
      <c r="I2612" s="18" t="s">
        <v>87</v>
      </c>
      <c r="J2612" s="16">
        <v>2022</v>
      </c>
      <c r="K2612" s="18" t="s">
        <v>8536</v>
      </c>
      <c r="L2612" s="16">
        <v>9785961476767</v>
      </c>
      <c r="M2612" s="18" t="s">
        <v>8537</v>
      </c>
      <c r="N2612" s="16">
        <v>56</v>
      </c>
      <c r="O2612" s="19">
        <v>0.19</v>
      </c>
      <c r="P2612" s="16">
        <v>148</v>
      </c>
      <c r="Q2612" s="16">
        <v>216</v>
      </c>
      <c r="R2612" s="16">
        <v>20</v>
      </c>
      <c r="S2612" s="18" t="s">
        <v>43</v>
      </c>
      <c r="T2612" s="18" t="s">
        <v>8522</v>
      </c>
      <c r="U2612" s="17">
        <v>3000</v>
      </c>
      <c r="V2612" s="18" t="s">
        <v>77</v>
      </c>
      <c r="W2612" s="18" t="s">
        <v>55</v>
      </c>
      <c r="X2612" s="16">
        <v>10</v>
      </c>
      <c r="Y2612" s="18" t="s">
        <v>8009</v>
      </c>
      <c r="Z2612" s="18"/>
      <c r="AS2612" s="1">
        <f>IF($A2612&lt;&gt;0,1,0)</f>
        <v>0</v>
      </c>
      <c r="AT2612" s="1">
        <f>$A2612*$B2612</f>
        <v>0</v>
      </c>
      <c r="AU2612" s="1">
        <f>$A2612*$O2612</f>
        <v>0</v>
      </c>
      <c r="AV2612" s="1">
        <f>IF($R2612=0,0,INT($A2612/$R2612))</f>
        <v>0</v>
      </c>
      <c r="AW2612" s="1">
        <f>$A2612-$AV2612*$R2612</f>
        <v>0</v>
      </c>
    </row>
    <row r="2613" ht="24.95" customHeight="1" outlineLevel="3" s="1" customFormat="1">
      <c r="A2613" s="15"/>
      <c r="B2613" s="16">
        <v>490</v>
      </c>
      <c r="C2613" s="16">
        <v>760</v>
      </c>
      <c r="D2613" s="16">
        <v>24841</v>
      </c>
      <c r="E2613" s="18"/>
      <c r="F2613" s="18" t="s">
        <v>8518</v>
      </c>
      <c r="G2613" s="18" t="s">
        <v>8538</v>
      </c>
      <c r="H2613" s="18" t="s">
        <v>49</v>
      </c>
      <c r="I2613" s="18" t="s">
        <v>87</v>
      </c>
      <c r="J2613" s="16">
        <v>2022</v>
      </c>
      <c r="K2613" s="18" t="s">
        <v>8539</v>
      </c>
      <c r="L2613" s="16">
        <v>9785961476927</v>
      </c>
      <c r="M2613" s="18" t="s">
        <v>8540</v>
      </c>
      <c r="N2613" s="16">
        <v>32</v>
      </c>
      <c r="O2613" s="19">
        <v>0.25</v>
      </c>
      <c r="P2613" s="16">
        <v>196</v>
      </c>
      <c r="Q2613" s="16">
        <v>269</v>
      </c>
      <c r="R2613" s="16">
        <v>20</v>
      </c>
      <c r="S2613" s="18" t="s">
        <v>328</v>
      </c>
      <c r="T2613" s="18" t="s">
        <v>8522</v>
      </c>
      <c r="U2613" s="17">
        <v>3000</v>
      </c>
      <c r="V2613" s="18" t="s">
        <v>77</v>
      </c>
      <c r="W2613" s="18" t="s">
        <v>184</v>
      </c>
      <c r="X2613" s="16">
        <v>10</v>
      </c>
      <c r="Y2613" s="18" t="s">
        <v>8009</v>
      </c>
      <c r="Z2613" s="18"/>
      <c r="AS2613" s="1">
        <f>IF($A2613&lt;&gt;0,1,0)</f>
        <v>0</v>
      </c>
      <c r="AT2613" s="1">
        <f>$A2613*$B2613</f>
        <v>0</v>
      </c>
      <c r="AU2613" s="1">
        <f>$A2613*$O2613</f>
        <v>0</v>
      </c>
      <c r="AV2613" s="1">
        <f>IF($R2613=0,0,INT($A2613/$R2613))</f>
        <v>0</v>
      </c>
      <c r="AW2613" s="1">
        <f>$A2613-$AV2613*$R2613</f>
        <v>0</v>
      </c>
    </row>
    <row r="2614" ht="24.95" customHeight="1" outlineLevel="3" s="1" customFormat="1">
      <c r="A2614" s="15"/>
      <c r="B2614" s="16">
        <v>490</v>
      </c>
      <c r="C2614" s="16">
        <v>760</v>
      </c>
      <c r="D2614" s="16">
        <v>23932</v>
      </c>
      <c r="E2614" s="18"/>
      <c r="F2614" s="18" t="s">
        <v>8518</v>
      </c>
      <c r="G2614" s="18" t="s">
        <v>8541</v>
      </c>
      <c r="H2614" s="18" t="s">
        <v>49</v>
      </c>
      <c r="I2614" s="18" t="s">
        <v>87</v>
      </c>
      <c r="J2614" s="16">
        <v>2022</v>
      </c>
      <c r="K2614" s="18" t="s">
        <v>8542</v>
      </c>
      <c r="L2614" s="16">
        <v>9785961474466</v>
      </c>
      <c r="M2614" s="18" t="s">
        <v>8543</v>
      </c>
      <c r="N2614" s="16">
        <v>32</v>
      </c>
      <c r="O2614" s="19">
        <v>0.26</v>
      </c>
      <c r="P2614" s="16">
        <v>196</v>
      </c>
      <c r="Q2614" s="16">
        <v>269</v>
      </c>
      <c r="R2614" s="16">
        <v>15</v>
      </c>
      <c r="S2614" s="18" t="s">
        <v>328</v>
      </c>
      <c r="T2614" s="18" t="s">
        <v>8522</v>
      </c>
      <c r="U2614" s="17">
        <v>3000</v>
      </c>
      <c r="V2614" s="18" t="s">
        <v>77</v>
      </c>
      <c r="W2614" s="18" t="s">
        <v>184</v>
      </c>
      <c r="X2614" s="16">
        <v>10</v>
      </c>
      <c r="Y2614" s="18" t="s">
        <v>8530</v>
      </c>
      <c r="Z2614" s="18"/>
      <c r="AS2614" s="1">
        <f>IF($A2614&lt;&gt;0,1,0)</f>
        <v>0</v>
      </c>
      <c r="AT2614" s="1">
        <f>$A2614*$B2614</f>
        <v>0</v>
      </c>
      <c r="AU2614" s="1">
        <f>$A2614*$O2614</f>
        <v>0</v>
      </c>
      <c r="AV2614" s="1">
        <f>IF($R2614=0,0,INT($A2614/$R2614))</f>
        <v>0</v>
      </c>
      <c r="AW2614" s="1">
        <f>$A2614-$AV2614*$R2614</f>
        <v>0</v>
      </c>
    </row>
    <row r="2615" ht="24.95" customHeight="1" outlineLevel="3" s="1" customFormat="1">
      <c r="A2615" s="15"/>
      <c r="B2615" s="16">
        <v>490</v>
      </c>
      <c r="C2615" s="16">
        <v>760</v>
      </c>
      <c r="D2615" s="16">
        <v>24856</v>
      </c>
      <c r="E2615" s="18"/>
      <c r="F2615" s="18" t="s">
        <v>8518</v>
      </c>
      <c r="G2615" s="18" t="s">
        <v>8544</v>
      </c>
      <c r="H2615" s="18" t="s">
        <v>49</v>
      </c>
      <c r="I2615" s="18" t="s">
        <v>87</v>
      </c>
      <c r="J2615" s="16">
        <v>2022</v>
      </c>
      <c r="K2615" s="18" t="s">
        <v>8545</v>
      </c>
      <c r="L2615" s="16">
        <v>9785961476293</v>
      </c>
      <c r="M2615" s="18" t="s">
        <v>8546</v>
      </c>
      <c r="N2615" s="16">
        <v>42</v>
      </c>
      <c r="O2615" s="19">
        <v>0.3</v>
      </c>
      <c r="P2615" s="16">
        <v>196</v>
      </c>
      <c r="Q2615" s="16">
        <v>269</v>
      </c>
      <c r="R2615" s="16">
        <v>15</v>
      </c>
      <c r="S2615" s="18" t="s">
        <v>328</v>
      </c>
      <c r="T2615" s="18" t="s">
        <v>8522</v>
      </c>
      <c r="U2615" s="17">
        <v>3000</v>
      </c>
      <c r="V2615" s="18" t="s">
        <v>77</v>
      </c>
      <c r="W2615" s="18" t="s">
        <v>184</v>
      </c>
      <c r="X2615" s="16">
        <v>10</v>
      </c>
      <c r="Y2615" s="18" t="s">
        <v>8009</v>
      </c>
      <c r="Z2615" s="18"/>
      <c r="AS2615" s="1">
        <f>IF($A2615&lt;&gt;0,1,0)</f>
        <v>0</v>
      </c>
      <c r="AT2615" s="1">
        <f>$A2615*$B2615</f>
        <v>0</v>
      </c>
      <c r="AU2615" s="1">
        <f>$A2615*$O2615</f>
        <v>0</v>
      </c>
      <c r="AV2615" s="1">
        <f>IF($R2615=0,0,INT($A2615/$R2615))</f>
        <v>0</v>
      </c>
      <c r="AW2615" s="1">
        <f>$A2615-$AV2615*$R2615</f>
        <v>0</v>
      </c>
    </row>
    <row r="2616" ht="24.95" customHeight="1" outlineLevel="3" s="1" customFormat="1">
      <c r="A2616" s="15"/>
      <c r="B2616" s="16">
        <v>590</v>
      </c>
      <c r="C2616" s="16">
        <v>885</v>
      </c>
      <c r="D2616" s="16">
        <v>28726</v>
      </c>
      <c r="E2616" s="18"/>
      <c r="F2616" s="18" t="s">
        <v>8547</v>
      </c>
      <c r="G2616" s="18" t="s">
        <v>8548</v>
      </c>
      <c r="H2616" s="18" t="s">
        <v>8445</v>
      </c>
      <c r="I2616" s="18"/>
      <c r="J2616" s="16">
        <v>2024</v>
      </c>
      <c r="K2616" s="18" t="s">
        <v>8549</v>
      </c>
      <c r="L2616" s="16">
        <v>9785961489903</v>
      </c>
      <c r="M2616" s="18" t="s">
        <v>8550</v>
      </c>
      <c r="N2616" s="16">
        <v>80</v>
      </c>
      <c r="O2616" s="19">
        <v>0.24</v>
      </c>
      <c r="P2616" s="16">
        <v>150</v>
      </c>
      <c r="Q2616" s="16">
        <v>210</v>
      </c>
      <c r="R2616" s="16">
        <v>24</v>
      </c>
      <c r="S2616" s="18" t="s">
        <v>43</v>
      </c>
      <c r="T2616" s="18" t="s">
        <v>8448</v>
      </c>
      <c r="U2616" s="17">
        <v>3000</v>
      </c>
      <c r="V2616" s="18" t="s">
        <v>77</v>
      </c>
      <c r="W2616" s="18" t="s">
        <v>55</v>
      </c>
      <c r="X2616" s="16">
        <v>10</v>
      </c>
      <c r="Y2616" s="43" t="str">
        <f>HYPERLINK("https://api-enni.alpina.ru/FilePrivilegesApproval/348","https://api-enni.alpina.ru/FilePrivilegesApproval/348")</f>
        <v>https://api-enni.alpina.ru/FilePrivilegesApproval/348</v>
      </c>
      <c r="Z2616" s="18"/>
      <c r="AS2616" s="1">
        <f>IF($A2616&lt;&gt;0,1,0)</f>
        <v>0</v>
      </c>
      <c r="AT2616" s="1">
        <f>$A2616*$B2616</f>
        <v>0</v>
      </c>
      <c r="AU2616" s="1">
        <f>$A2616*$O2616</f>
        <v>0</v>
      </c>
      <c r="AV2616" s="1">
        <f>IF($R2616=0,0,INT($A2616/$R2616))</f>
        <v>0</v>
      </c>
      <c r="AW2616" s="1">
        <f>$A2616-$AV2616*$R2616</f>
        <v>0</v>
      </c>
    </row>
    <row r="2617" ht="24.95" customHeight="1" outlineLevel="3" s="1" customFormat="1">
      <c r="A2617" s="15"/>
      <c r="B2617" s="16">
        <v>590</v>
      </c>
      <c r="C2617" s="16">
        <v>885</v>
      </c>
      <c r="D2617" s="16">
        <v>29668</v>
      </c>
      <c r="E2617" s="18"/>
      <c r="F2617" s="18" t="s">
        <v>8547</v>
      </c>
      <c r="G2617" s="18" t="s">
        <v>8551</v>
      </c>
      <c r="H2617" s="18" t="s">
        <v>8445</v>
      </c>
      <c r="I2617" s="18"/>
      <c r="J2617" s="16">
        <v>2024</v>
      </c>
      <c r="K2617" s="18" t="s">
        <v>8552</v>
      </c>
      <c r="L2617" s="16">
        <v>9785961493375</v>
      </c>
      <c r="M2617" s="18" t="s">
        <v>8553</v>
      </c>
      <c r="N2617" s="16">
        <v>96</v>
      </c>
      <c r="O2617" s="19">
        <v>0.24</v>
      </c>
      <c r="P2617" s="16">
        <v>150</v>
      </c>
      <c r="Q2617" s="16">
        <v>210</v>
      </c>
      <c r="R2617" s="16">
        <v>24</v>
      </c>
      <c r="S2617" s="18" t="s">
        <v>43</v>
      </c>
      <c r="T2617" s="18" t="s">
        <v>8448</v>
      </c>
      <c r="U2617" s="17">
        <v>3000</v>
      </c>
      <c r="V2617" s="18" t="s">
        <v>77</v>
      </c>
      <c r="W2617" s="18" t="s">
        <v>55</v>
      </c>
      <c r="X2617" s="16">
        <v>10</v>
      </c>
      <c r="Y2617" s="43" t="str">
        <f>HYPERLINK("https://api-enni.alpina.ru/FilePrivilegesApproval/348","https://api-enni.alpina.ru/FilePrivilegesApproval/348")</f>
        <v>https://api-enni.alpina.ru/FilePrivilegesApproval/348</v>
      </c>
      <c r="Z2617" s="18"/>
      <c r="AS2617" s="1">
        <f>IF($A2617&lt;&gt;0,1,0)</f>
        <v>0</v>
      </c>
      <c r="AT2617" s="1">
        <f>$A2617*$B2617</f>
        <v>0</v>
      </c>
      <c r="AU2617" s="1">
        <f>$A2617*$O2617</f>
        <v>0</v>
      </c>
      <c r="AV2617" s="1">
        <f>IF($R2617=0,0,INT($A2617/$R2617))</f>
        <v>0</v>
      </c>
      <c r="AW2617" s="1">
        <f>$A2617-$AV2617*$R2617</f>
        <v>0</v>
      </c>
    </row>
    <row r="2618" ht="24.95" customHeight="1" outlineLevel="3" s="1" customFormat="1">
      <c r="A2618" s="15"/>
      <c r="B2618" s="16">
        <v>300</v>
      </c>
      <c r="C2618" s="16">
        <v>480</v>
      </c>
      <c r="D2618" s="16">
        <v>19131</v>
      </c>
      <c r="E2618" s="18"/>
      <c r="F2618" s="18" t="s">
        <v>8554</v>
      </c>
      <c r="G2618" s="18" t="s">
        <v>8555</v>
      </c>
      <c r="H2618" s="18" t="s">
        <v>49</v>
      </c>
      <c r="I2618" s="18" t="s">
        <v>8556</v>
      </c>
      <c r="J2618" s="16">
        <v>2023</v>
      </c>
      <c r="K2618" s="18" t="s">
        <v>8557</v>
      </c>
      <c r="L2618" s="16">
        <v>9785961438550</v>
      </c>
      <c r="M2618" s="18" t="s">
        <v>8558</v>
      </c>
      <c r="N2618" s="16">
        <v>28</v>
      </c>
      <c r="O2618" s="19">
        <v>0.19</v>
      </c>
      <c r="P2618" s="16">
        <v>170</v>
      </c>
      <c r="Q2618" s="16">
        <v>221</v>
      </c>
      <c r="R2618" s="16">
        <v>20</v>
      </c>
      <c r="S2618" s="18" t="s">
        <v>52</v>
      </c>
      <c r="T2618" s="18" t="s">
        <v>8559</v>
      </c>
      <c r="U2618" s="17">
        <v>2000</v>
      </c>
      <c r="V2618" s="18" t="s">
        <v>77</v>
      </c>
      <c r="W2618" s="18" t="s">
        <v>55</v>
      </c>
      <c r="X2618" s="16">
        <v>10</v>
      </c>
      <c r="Y2618" s="18" t="s">
        <v>8560</v>
      </c>
      <c r="Z2618" s="18"/>
      <c r="AS2618" s="1">
        <f>IF($A2618&lt;&gt;0,1,0)</f>
        <v>0</v>
      </c>
      <c r="AT2618" s="1">
        <f>$A2618*$B2618</f>
        <v>0</v>
      </c>
      <c r="AU2618" s="1">
        <f>$A2618*$O2618</f>
        <v>0</v>
      </c>
      <c r="AV2618" s="1">
        <f>IF($R2618=0,0,INT($A2618/$R2618))</f>
        <v>0</v>
      </c>
      <c r="AW2618" s="1">
        <f>$A2618-$AV2618*$R2618</f>
        <v>0</v>
      </c>
    </row>
    <row r="2619" ht="24.95" customHeight="1" outlineLevel="3" s="1" customFormat="1">
      <c r="A2619" s="15"/>
      <c r="B2619" s="16">
        <v>300</v>
      </c>
      <c r="C2619" s="16">
        <v>480</v>
      </c>
      <c r="D2619" s="16">
        <v>19130</v>
      </c>
      <c r="E2619" s="18"/>
      <c r="F2619" s="18" t="s">
        <v>8554</v>
      </c>
      <c r="G2619" s="18" t="s">
        <v>8561</v>
      </c>
      <c r="H2619" s="18" t="s">
        <v>49</v>
      </c>
      <c r="I2619" s="18" t="s">
        <v>8556</v>
      </c>
      <c r="J2619" s="16">
        <v>2023</v>
      </c>
      <c r="K2619" s="18" t="s">
        <v>8562</v>
      </c>
      <c r="L2619" s="16">
        <v>9785961438543</v>
      </c>
      <c r="M2619" s="18" t="s">
        <v>8563</v>
      </c>
      <c r="N2619" s="16">
        <v>26</v>
      </c>
      <c r="O2619" s="19">
        <v>0.17</v>
      </c>
      <c r="P2619" s="16">
        <v>170</v>
      </c>
      <c r="Q2619" s="16">
        <v>221</v>
      </c>
      <c r="R2619" s="16">
        <v>20</v>
      </c>
      <c r="S2619" s="18" t="s">
        <v>52</v>
      </c>
      <c r="T2619" s="18" t="s">
        <v>8559</v>
      </c>
      <c r="U2619" s="17">
        <v>2000</v>
      </c>
      <c r="V2619" s="18" t="s">
        <v>77</v>
      </c>
      <c r="W2619" s="18" t="s">
        <v>55</v>
      </c>
      <c r="X2619" s="16">
        <v>10</v>
      </c>
      <c r="Y2619" s="18" t="s">
        <v>8564</v>
      </c>
      <c r="Z2619" s="18"/>
      <c r="AS2619" s="1">
        <f>IF($A2619&lt;&gt;0,1,0)</f>
        <v>0</v>
      </c>
      <c r="AT2619" s="1">
        <f>$A2619*$B2619</f>
        <v>0</v>
      </c>
      <c r="AU2619" s="1">
        <f>$A2619*$O2619</f>
        <v>0</v>
      </c>
      <c r="AV2619" s="1">
        <f>IF($R2619=0,0,INT($A2619/$R2619))</f>
        <v>0</v>
      </c>
      <c r="AW2619" s="1">
        <f>$A2619-$AV2619*$R2619</f>
        <v>0</v>
      </c>
    </row>
    <row r="2620" ht="24.95" customHeight="1" outlineLevel="3" s="1" customFormat="1">
      <c r="A2620" s="15"/>
      <c r="B2620" s="16">
        <v>350</v>
      </c>
      <c r="C2620" s="16">
        <v>560</v>
      </c>
      <c r="D2620" s="16">
        <v>19128</v>
      </c>
      <c r="E2620" s="18"/>
      <c r="F2620" s="18" t="s">
        <v>8554</v>
      </c>
      <c r="G2620" s="18" t="s">
        <v>8565</v>
      </c>
      <c r="H2620" s="18" t="s">
        <v>49</v>
      </c>
      <c r="I2620" s="18" t="s">
        <v>8556</v>
      </c>
      <c r="J2620" s="16">
        <v>2021</v>
      </c>
      <c r="K2620" s="18" t="s">
        <v>8566</v>
      </c>
      <c r="L2620" s="16">
        <v>9785961438529</v>
      </c>
      <c r="M2620" s="18" t="s">
        <v>8567</v>
      </c>
      <c r="N2620" s="16">
        <v>26</v>
      </c>
      <c r="O2620" s="19">
        <v>0.17</v>
      </c>
      <c r="P2620" s="16">
        <v>170</v>
      </c>
      <c r="Q2620" s="16">
        <v>221</v>
      </c>
      <c r="R2620" s="16">
        <v>20</v>
      </c>
      <c r="S2620" s="18" t="s">
        <v>52</v>
      </c>
      <c r="T2620" s="18" t="s">
        <v>8559</v>
      </c>
      <c r="U2620" s="17">
        <v>2000</v>
      </c>
      <c r="V2620" s="18" t="s">
        <v>77</v>
      </c>
      <c r="W2620" s="18" t="s">
        <v>55</v>
      </c>
      <c r="X2620" s="16">
        <v>10</v>
      </c>
      <c r="Y2620" s="18" t="s">
        <v>8568</v>
      </c>
      <c r="Z2620" s="18"/>
      <c r="AS2620" s="1">
        <f>IF($A2620&lt;&gt;0,1,0)</f>
        <v>0</v>
      </c>
      <c r="AT2620" s="1">
        <f>$A2620*$B2620</f>
        <v>0</v>
      </c>
      <c r="AU2620" s="1">
        <f>$A2620*$O2620</f>
        <v>0</v>
      </c>
      <c r="AV2620" s="1">
        <f>IF($R2620=0,0,INT($A2620/$R2620))</f>
        <v>0</v>
      </c>
      <c r="AW2620" s="1">
        <f>$A2620-$AV2620*$R2620</f>
        <v>0</v>
      </c>
    </row>
    <row r="2621" ht="24.95" customHeight="1" outlineLevel="3" s="1" customFormat="1">
      <c r="A2621" s="15"/>
      <c r="B2621" s="16">
        <v>350</v>
      </c>
      <c r="C2621" s="16">
        <v>560</v>
      </c>
      <c r="D2621" s="16">
        <v>19132</v>
      </c>
      <c r="E2621" s="18"/>
      <c r="F2621" s="18" t="s">
        <v>8554</v>
      </c>
      <c r="G2621" s="18" t="s">
        <v>8569</v>
      </c>
      <c r="H2621" s="18" t="s">
        <v>49</v>
      </c>
      <c r="I2621" s="18" t="s">
        <v>8556</v>
      </c>
      <c r="J2621" s="16">
        <v>2021</v>
      </c>
      <c r="K2621" s="18" t="s">
        <v>8570</v>
      </c>
      <c r="L2621" s="16">
        <v>9785961438567</v>
      </c>
      <c r="M2621" s="18" t="s">
        <v>8571</v>
      </c>
      <c r="N2621" s="16">
        <v>26</v>
      </c>
      <c r="O2621" s="19">
        <v>0.24</v>
      </c>
      <c r="P2621" s="16">
        <v>170</v>
      </c>
      <c r="Q2621" s="16">
        <v>221</v>
      </c>
      <c r="R2621" s="16">
        <v>20</v>
      </c>
      <c r="S2621" s="18" t="s">
        <v>52</v>
      </c>
      <c r="T2621" s="18" t="s">
        <v>8559</v>
      </c>
      <c r="U2621" s="17">
        <v>2000</v>
      </c>
      <c r="V2621" s="18" t="s">
        <v>77</v>
      </c>
      <c r="W2621" s="18" t="s">
        <v>55</v>
      </c>
      <c r="X2621" s="16">
        <v>10</v>
      </c>
      <c r="Y2621" s="18" t="s">
        <v>8560</v>
      </c>
      <c r="Z2621" s="18"/>
      <c r="AS2621" s="1">
        <f>IF($A2621&lt;&gt;0,1,0)</f>
        <v>0</v>
      </c>
      <c r="AT2621" s="1">
        <f>$A2621*$B2621</f>
        <v>0</v>
      </c>
      <c r="AU2621" s="1">
        <f>$A2621*$O2621</f>
        <v>0</v>
      </c>
      <c r="AV2621" s="1">
        <f>IF($R2621=0,0,INT($A2621/$R2621))</f>
        <v>0</v>
      </c>
      <c r="AW2621" s="1">
        <f>$A2621-$AV2621*$R2621</f>
        <v>0</v>
      </c>
    </row>
    <row r="2622" ht="24.95" customHeight="1" outlineLevel="3" s="1" customFormat="1">
      <c r="A2622" s="15"/>
      <c r="B2622" s="16">
        <v>490</v>
      </c>
      <c r="C2622" s="16">
        <v>760</v>
      </c>
      <c r="D2622" s="16">
        <v>19103</v>
      </c>
      <c r="E2622" s="18"/>
      <c r="F2622" s="18" t="s">
        <v>8572</v>
      </c>
      <c r="G2622" s="18" t="s">
        <v>8573</v>
      </c>
      <c r="H2622" s="18" t="s">
        <v>49</v>
      </c>
      <c r="I2622" s="18"/>
      <c r="J2622" s="16">
        <v>2020</v>
      </c>
      <c r="K2622" s="18" t="s">
        <v>8574</v>
      </c>
      <c r="L2622" s="16">
        <v>9785961438505</v>
      </c>
      <c r="M2622" s="18" t="s">
        <v>8575</v>
      </c>
      <c r="N2622" s="16">
        <v>120</v>
      </c>
      <c r="O2622" s="19">
        <v>0.5</v>
      </c>
      <c r="P2622" s="16">
        <v>201</v>
      </c>
      <c r="Q2622" s="16">
        <v>242</v>
      </c>
      <c r="R2622" s="16">
        <v>10</v>
      </c>
      <c r="S2622" s="18" t="s">
        <v>328</v>
      </c>
      <c r="T2622" s="18"/>
      <c r="U2622" s="17">
        <v>3000</v>
      </c>
      <c r="V2622" s="18" t="s">
        <v>77</v>
      </c>
      <c r="W2622" s="18" t="s">
        <v>55</v>
      </c>
      <c r="X2622" s="16">
        <v>10</v>
      </c>
      <c r="Y2622" s="18" t="s">
        <v>8576</v>
      </c>
      <c r="Z2622" s="18"/>
      <c r="AS2622" s="1">
        <f>IF($A2622&lt;&gt;0,1,0)</f>
        <v>0</v>
      </c>
      <c r="AT2622" s="1">
        <f>$A2622*$B2622</f>
        <v>0</v>
      </c>
      <c r="AU2622" s="1">
        <f>$A2622*$O2622</f>
        <v>0</v>
      </c>
      <c r="AV2622" s="1">
        <f>IF($R2622=0,0,INT($A2622/$R2622))</f>
        <v>0</v>
      </c>
      <c r="AW2622" s="1">
        <f>$A2622-$AV2622*$R2622</f>
        <v>0</v>
      </c>
    </row>
    <row r="2623" ht="24.95" customHeight="1" outlineLevel="3" s="1" customFormat="1">
      <c r="A2623" s="15"/>
      <c r="B2623" s="16">
        <v>490</v>
      </c>
      <c r="C2623" s="16">
        <v>760</v>
      </c>
      <c r="D2623" s="16">
        <v>29901</v>
      </c>
      <c r="E2623" s="18"/>
      <c r="F2623" s="18" t="s">
        <v>8463</v>
      </c>
      <c r="G2623" s="18" t="s">
        <v>8577</v>
      </c>
      <c r="H2623" s="18" t="s">
        <v>49</v>
      </c>
      <c r="I2623" s="18"/>
      <c r="J2623" s="16">
        <v>2024</v>
      </c>
      <c r="K2623" s="18" t="s">
        <v>8578</v>
      </c>
      <c r="L2623" s="16">
        <v>9785961494365</v>
      </c>
      <c r="M2623" s="18" t="s">
        <v>8579</v>
      </c>
      <c r="N2623" s="16">
        <v>56</v>
      </c>
      <c r="O2623" s="19">
        <v>0.23</v>
      </c>
      <c r="P2623" s="16">
        <v>170</v>
      </c>
      <c r="Q2623" s="16">
        <v>220</v>
      </c>
      <c r="R2623" s="16">
        <v>15</v>
      </c>
      <c r="S2623" s="18" t="s">
        <v>52</v>
      </c>
      <c r="T2623" s="18" t="s">
        <v>8456</v>
      </c>
      <c r="U2623" s="17">
        <v>2000</v>
      </c>
      <c r="V2623" s="18" t="s">
        <v>77</v>
      </c>
      <c r="W2623" s="18" t="s">
        <v>55</v>
      </c>
      <c r="X2623" s="16">
        <v>10</v>
      </c>
      <c r="Y2623" s="18" t="s">
        <v>7967</v>
      </c>
      <c r="Z2623" s="18"/>
      <c r="AS2623" s="1">
        <f>IF($A2623&lt;&gt;0,1,0)</f>
        <v>0</v>
      </c>
      <c r="AT2623" s="1">
        <f>$A2623*$B2623</f>
        <v>0</v>
      </c>
      <c r="AU2623" s="1">
        <f>$A2623*$O2623</f>
        <v>0</v>
      </c>
      <c r="AV2623" s="1">
        <f>IF($R2623=0,0,INT($A2623/$R2623))</f>
        <v>0</v>
      </c>
      <c r="AW2623" s="1">
        <f>$A2623-$AV2623*$R2623</f>
        <v>0</v>
      </c>
    </row>
    <row r="2624" ht="24.95" customHeight="1" outlineLevel="3" s="1" customFormat="1">
      <c r="A2624" s="15"/>
      <c r="B2624" s="16">
        <v>690</v>
      </c>
      <c r="C2624" s="17">
        <v>1035</v>
      </c>
      <c r="D2624" s="16">
        <v>28419</v>
      </c>
      <c r="E2624" s="18"/>
      <c r="F2624" s="18" t="s">
        <v>8580</v>
      </c>
      <c r="G2624" s="18" t="s">
        <v>8581</v>
      </c>
      <c r="H2624" s="18" t="s">
        <v>8445</v>
      </c>
      <c r="I2624" s="18"/>
      <c r="J2624" s="16">
        <v>2026</v>
      </c>
      <c r="K2624" s="18" t="s">
        <v>8582</v>
      </c>
      <c r="L2624" s="16">
        <v>9785961488876</v>
      </c>
      <c r="M2624" s="18" t="s">
        <v>8583</v>
      </c>
      <c r="N2624" s="16">
        <v>96</v>
      </c>
      <c r="O2624" s="19">
        <v>0.24</v>
      </c>
      <c r="P2624" s="16">
        <v>150</v>
      </c>
      <c r="Q2624" s="16">
        <v>210</v>
      </c>
      <c r="R2624" s="16">
        <v>24</v>
      </c>
      <c r="S2624" s="18" t="s">
        <v>43</v>
      </c>
      <c r="T2624" s="18" t="s">
        <v>8448</v>
      </c>
      <c r="U2624" s="17">
        <v>1500</v>
      </c>
      <c r="V2624" s="18" t="s">
        <v>77</v>
      </c>
      <c r="W2624" s="18" t="s">
        <v>55</v>
      </c>
      <c r="X2624" s="16">
        <v>10</v>
      </c>
      <c r="Y2624" s="43" t="str">
        <f>HYPERLINK("https://api-enni.alpina.ru/FilePrivilegesApproval/283","https://api-enni.alpina.ru/FilePrivilegesApproval/283")</f>
        <v>https://api-enni.alpina.ru/FilePrivilegesApproval/283</v>
      </c>
      <c r="Z2624" s="18"/>
      <c r="AS2624" s="1">
        <f>IF($A2624&lt;&gt;0,1,0)</f>
        <v>0</v>
      </c>
      <c r="AT2624" s="1">
        <f>$A2624*$B2624</f>
        <v>0</v>
      </c>
      <c r="AU2624" s="1">
        <f>$A2624*$O2624</f>
        <v>0</v>
      </c>
      <c r="AV2624" s="1">
        <f>IF($R2624=0,0,INT($A2624/$R2624))</f>
        <v>0</v>
      </c>
      <c r="AW2624" s="1">
        <f>$A2624-$AV2624*$R2624</f>
        <v>0</v>
      </c>
    </row>
    <row r="2625" ht="24.95" customHeight="1" outlineLevel="3" s="1" customFormat="1">
      <c r="A2625" s="15"/>
      <c r="B2625" s="16">
        <v>590</v>
      </c>
      <c r="C2625" s="16">
        <v>885</v>
      </c>
      <c r="D2625" s="16">
        <v>28923</v>
      </c>
      <c r="E2625" s="18"/>
      <c r="F2625" s="18" t="s">
        <v>8475</v>
      </c>
      <c r="G2625" s="18" t="s">
        <v>8584</v>
      </c>
      <c r="H2625" s="18" t="s">
        <v>8445</v>
      </c>
      <c r="I2625" s="18"/>
      <c r="J2625" s="16">
        <v>2024</v>
      </c>
      <c r="K2625" s="18" t="s">
        <v>8585</v>
      </c>
      <c r="L2625" s="16">
        <v>9785961490732</v>
      </c>
      <c r="M2625" s="18" t="s">
        <v>8586</v>
      </c>
      <c r="N2625" s="16">
        <v>128</v>
      </c>
      <c r="O2625" s="19">
        <v>0.29</v>
      </c>
      <c r="P2625" s="16">
        <v>150</v>
      </c>
      <c r="Q2625" s="16">
        <v>210</v>
      </c>
      <c r="R2625" s="16">
        <v>22</v>
      </c>
      <c r="S2625" s="18" t="s">
        <v>43</v>
      </c>
      <c r="T2625" s="18" t="s">
        <v>8448</v>
      </c>
      <c r="U2625" s="17">
        <v>3000</v>
      </c>
      <c r="V2625" s="18" t="s">
        <v>77</v>
      </c>
      <c r="W2625" s="18" t="s">
        <v>55</v>
      </c>
      <c r="X2625" s="16">
        <v>10</v>
      </c>
      <c r="Y2625" s="43" t="str">
        <f>HYPERLINK("https://api-enni.alpina.ru/FilePrivilegesApproval/385","https://api-enni.alpina.ru/FilePrivilegesApproval/385")</f>
        <v>https://api-enni.alpina.ru/FilePrivilegesApproval/385</v>
      </c>
      <c r="Z2625" s="18"/>
      <c r="AS2625" s="1">
        <f>IF($A2625&lt;&gt;0,1,0)</f>
        <v>0</v>
      </c>
      <c r="AT2625" s="1">
        <f>$A2625*$B2625</f>
        <v>0</v>
      </c>
      <c r="AU2625" s="1">
        <f>$A2625*$O2625</f>
        <v>0</v>
      </c>
      <c r="AV2625" s="1">
        <f>IF($R2625=0,0,INT($A2625/$R2625))</f>
        <v>0</v>
      </c>
      <c r="AW2625" s="1">
        <f>$A2625-$AV2625*$R2625</f>
        <v>0</v>
      </c>
    </row>
    <row r="2626" ht="24.95" customHeight="1" outlineLevel="3" s="1" customFormat="1">
      <c r="A2626" s="15"/>
      <c r="B2626" s="16">
        <v>590</v>
      </c>
      <c r="C2626" s="16">
        <v>885</v>
      </c>
      <c r="D2626" s="16">
        <v>33876</v>
      </c>
      <c r="E2626" s="18"/>
      <c r="F2626" s="18" t="s">
        <v>8587</v>
      </c>
      <c r="G2626" s="18" t="s">
        <v>8588</v>
      </c>
      <c r="H2626" s="18" t="s">
        <v>8445</v>
      </c>
      <c r="I2626" s="18"/>
      <c r="J2626" s="16">
        <v>2025</v>
      </c>
      <c r="K2626" s="18" t="s">
        <v>8589</v>
      </c>
      <c r="L2626" s="16">
        <v>9785006305922</v>
      </c>
      <c r="M2626" s="18" t="s">
        <v>8590</v>
      </c>
      <c r="N2626" s="16">
        <v>80</v>
      </c>
      <c r="O2626" s="19">
        <v>0.22</v>
      </c>
      <c r="P2626" s="16">
        <v>150</v>
      </c>
      <c r="Q2626" s="16">
        <v>210</v>
      </c>
      <c r="R2626" s="16">
        <v>24</v>
      </c>
      <c r="S2626" s="18" t="s">
        <v>43</v>
      </c>
      <c r="T2626" s="18" t="s">
        <v>8448</v>
      </c>
      <c r="U2626" s="17">
        <v>2000</v>
      </c>
      <c r="V2626" s="18" t="s">
        <v>77</v>
      </c>
      <c r="W2626" s="18" t="s">
        <v>91</v>
      </c>
      <c r="X2626" s="16">
        <v>10</v>
      </c>
      <c r="Y2626" s="43" t="str">
        <f>HYPERLINK("https://api-enni.alpina.ru/FilePrivilegesApproval/944","https://api-enni.alpina.ru/FilePrivilegesApproval/944")</f>
        <v>https://api-enni.alpina.ru/FilePrivilegesApproval/944</v>
      </c>
      <c r="Z2626" s="18"/>
      <c r="AS2626" s="1">
        <f>IF($A2626&lt;&gt;0,1,0)</f>
        <v>0</v>
      </c>
      <c r="AT2626" s="1">
        <f>$A2626*$B2626</f>
        <v>0</v>
      </c>
      <c r="AU2626" s="1">
        <f>$A2626*$O2626</f>
        <v>0</v>
      </c>
      <c r="AV2626" s="1">
        <f>IF($R2626=0,0,INT($A2626/$R2626))</f>
        <v>0</v>
      </c>
      <c r="AW2626" s="1">
        <f>$A2626-$AV2626*$R2626</f>
        <v>0</v>
      </c>
    </row>
    <row r="2627" ht="24.95" customHeight="1" outlineLevel="3" s="1" customFormat="1">
      <c r="A2627" s="15"/>
      <c r="B2627" s="16">
        <v>590</v>
      </c>
      <c r="C2627" s="16">
        <v>885</v>
      </c>
      <c r="D2627" s="16">
        <v>33870</v>
      </c>
      <c r="E2627" s="18"/>
      <c r="F2627" s="18" t="s">
        <v>8591</v>
      </c>
      <c r="G2627" s="18" t="s">
        <v>8592</v>
      </c>
      <c r="H2627" s="18" t="s">
        <v>8445</v>
      </c>
      <c r="I2627" s="18"/>
      <c r="J2627" s="16">
        <v>2025</v>
      </c>
      <c r="K2627" s="18" t="s">
        <v>8593</v>
      </c>
      <c r="L2627" s="16">
        <v>9785006305861</v>
      </c>
      <c r="M2627" s="18" t="s">
        <v>8594</v>
      </c>
      <c r="N2627" s="16">
        <v>152</v>
      </c>
      <c r="O2627" s="19">
        <v>0.33</v>
      </c>
      <c r="P2627" s="16">
        <v>150</v>
      </c>
      <c r="Q2627" s="16">
        <v>220</v>
      </c>
      <c r="R2627" s="16">
        <v>20</v>
      </c>
      <c r="S2627" s="18" t="s">
        <v>43</v>
      </c>
      <c r="T2627" s="18" t="s">
        <v>8448</v>
      </c>
      <c r="U2627" s="17">
        <v>2000</v>
      </c>
      <c r="V2627" s="18" t="s">
        <v>77</v>
      </c>
      <c r="W2627" s="18" t="s">
        <v>55</v>
      </c>
      <c r="X2627" s="16">
        <v>10</v>
      </c>
      <c r="Y2627" s="43" t="str">
        <f>HYPERLINK("https://api-enni.alpina.ru/FilePrivilegesApproval/903","https://api-enni.alpina.ru/FilePrivilegesApproval/903")</f>
        <v>https://api-enni.alpina.ru/FilePrivilegesApproval/903</v>
      </c>
      <c r="Z2627" s="18"/>
      <c r="AS2627" s="1">
        <f>IF($A2627&lt;&gt;0,1,0)</f>
        <v>0</v>
      </c>
      <c r="AT2627" s="1">
        <f>$A2627*$B2627</f>
        <v>0</v>
      </c>
      <c r="AU2627" s="1">
        <f>$A2627*$O2627</f>
        <v>0</v>
      </c>
      <c r="AV2627" s="1">
        <f>IF($R2627=0,0,INT($A2627/$R2627))</f>
        <v>0</v>
      </c>
      <c r="AW2627" s="1">
        <f>$A2627-$AV2627*$R2627</f>
        <v>0</v>
      </c>
    </row>
    <row r="2628" ht="24.95" customHeight="1" outlineLevel="3" s="1" customFormat="1">
      <c r="A2628" s="15"/>
      <c r="B2628" s="16">
        <v>490</v>
      </c>
      <c r="C2628" s="16">
        <v>760</v>
      </c>
      <c r="D2628" s="16">
        <v>30699</v>
      </c>
      <c r="E2628" s="18"/>
      <c r="F2628" s="18" t="s">
        <v>8463</v>
      </c>
      <c r="G2628" s="18" t="s">
        <v>8595</v>
      </c>
      <c r="H2628" s="18" t="s">
        <v>49</v>
      </c>
      <c r="I2628" s="18"/>
      <c r="J2628" s="16">
        <v>2024</v>
      </c>
      <c r="K2628" s="18" t="s">
        <v>8596</v>
      </c>
      <c r="L2628" s="16">
        <v>9785961496192</v>
      </c>
      <c r="M2628" s="18" t="s">
        <v>8597</v>
      </c>
      <c r="N2628" s="16">
        <v>64</v>
      </c>
      <c r="O2628" s="19">
        <v>0.25</v>
      </c>
      <c r="P2628" s="16">
        <v>170</v>
      </c>
      <c r="Q2628" s="16">
        <v>220</v>
      </c>
      <c r="R2628" s="16">
        <v>15</v>
      </c>
      <c r="S2628" s="18" t="s">
        <v>52</v>
      </c>
      <c r="T2628" s="18" t="s">
        <v>8456</v>
      </c>
      <c r="U2628" s="17">
        <v>2000</v>
      </c>
      <c r="V2628" s="18" t="s">
        <v>77</v>
      </c>
      <c r="W2628" s="18" t="s">
        <v>55</v>
      </c>
      <c r="X2628" s="16">
        <v>10</v>
      </c>
      <c r="Y2628" s="18" t="s">
        <v>7967</v>
      </c>
      <c r="Z2628" s="18"/>
      <c r="AS2628" s="1">
        <f>IF($A2628&lt;&gt;0,1,0)</f>
        <v>0</v>
      </c>
      <c r="AT2628" s="1">
        <f>$A2628*$B2628</f>
        <v>0</v>
      </c>
      <c r="AU2628" s="1">
        <f>$A2628*$O2628</f>
        <v>0</v>
      </c>
      <c r="AV2628" s="1">
        <f>IF($R2628=0,0,INT($A2628/$R2628))</f>
        <v>0</v>
      </c>
      <c r="AW2628" s="1">
        <f>$A2628-$AV2628*$R2628</f>
        <v>0</v>
      </c>
    </row>
    <row r="2629" ht="24.95" customHeight="1" outlineLevel="3" s="1" customFormat="1">
      <c r="A2629" s="15"/>
      <c r="B2629" s="16">
        <v>490</v>
      </c>
      <c r="C2629" s="16">
        <v>760</v>
      </c>
      <c r="D2629" s="16">
        <v>33423</v>
      </c>
      <c r="E2629" s="18"/>
      <c r="F2629" s="18" t="s">
        <v>8482</v>
      </c>
      <c r="G2629" s="18" t="s">
        <v>8598</v>
      </c>
      <c r="H2629" s="18" t="s">
        <v>49</v>
      </c>
      <c r="I2629" s="18"/>
      <c r="J2629" s="16">
        <v>2025</v>
      </c>
      <c r="K2629" s="18" t="s">
        <v>8599</v>
      </c>
      <c r="L2629" s="16">
        <v>9785006304758</v>
      </c>
      <c r="M2629" s="18" t="s">
        <v>8600</v>
      </c>
      <c r="N2629" s="16">
        <v>32</v>
      </c>
      <c r="O2629" s="19">
        <v>0.18</v>
      </c>
      <c r="P2629" s="16">
        <v>170</v>
      </c>
      <c r="Q2629" s="16">
        <v>220</v>
      </c>
      <c r="R2629" s="16">
        <v>20</v>
      </c>
      <c r="S2629" s="18" t="s">
        <v>52</v>
      </c>
      <c r="T2629" s="18" t="s">
        <v>8456</v>
      </c>
      <c r="U2629" s="17">
        <v>2000</v>
      </c>
      <c r="V2629" s="18" t="s">
        <v>77</v>
      </c>
      <c r="W2629" s="18" t="s">
        <v>184</v>
      </c>
      <c r="X2629" s="16">
        <v>10</v>
      </c>
      <c r="Y2629" s="18" t="s">
        <v>8500</v>
      </c>
      <c r="Z2629" s="18"/>
      <c r="AS2629" s="1">
        <f>IF($A2629&lt;&gt;0,1,0)</f>
        <v>0</v>
      </c>
      <c r="AT2629" s="1">
        <f>$A2629*$B2629</f>
        <v>0</v>
      </c>
      <c r="AU2629" s="1">
        <f>$A2629*$O2629</f>
        <v>0</v>
      </c>
      <c r="AV2629" s="1">
        <f>IF($R2629=0,0,INT($A2629/$R2629))</f>
        <v>0</v>
      </c>
      <c r="AW2629" s="1">
        <f>$A2629-$AV2629*$R2629</f>
        <v>0</v>
      </c>
    </row>
    <row r="2630" ht="24.95" customHeight="1" outlineLevel="3" s="1" customFormat="1">
      <c r="A2630" s="15"/>
      <c r="B2630" s="16">
        <v>590</v>
      </c>
      <c r="C2630" s="16">
        <v>885</v>
      </c>
      <c r="D2630" s="16">
        <v>29013</v>
      </c>
      <c r="E2630" s="18"/>
      <c r="F2630" s="18" t="s">
        <v>8591</v>
      </c>
      <c r="G2630" s="18" t="s">
        <v>8601</v>
      </c>
      <c r="H2630" s="18" t="s">
        <v>8445</v>
      </c>
      <c r="I2630" s="18"/>
      <c r="J2630" s="16">
        <v>2026</v>
      </c>
      <c r="K2630" s="18" t="s">
        <v>8602</v>
      </c>
      <c r="L2630" s="16">
        <v>9785961491050</v>
      </c>
      <c r="M2630" s="18" t="s">
        <v>8603</v>
      </c>
      <c r="N2630" s="16">
        <v>160</v>
      </c>
      <c r="O2630" s="19">
        <v>0.34</v>
      </c>
      <c r="P2630" s="16">
        <v>150</v>
      </c>
      <c r="Q2630" s="16">
        <v>210</v>
      </c>
      <c r="R2630" s="16">
        <v>20</v>
      </c>
      <c r="S2630" s="18" t="s">
        <v>43</v>
      </c>
      <c r="T2630" s="18" t="s">
        <v>8448</v>
      </c>
      <c r="U2630" s="17">
        <v>3000</v>
      </c>
      <c r="V2630" s="18" t="s">
        <v>77</v>
      </c>
      <c r="W2630" s="18" t="s">
        <v>55</v>
      </c>
      <c r="X2630" s="16">
        <v>10</v>
      </c>
      <c r="Y2630" s="43" t="str">
        <f>HYPERLINK("https://api-enni.alpina.ru/FilePrivilegesApproval/329","https://api-enni.alpina.ru/FilePrivilegesApproval/329")</f>
        <v>https://api-enni.alpina.ru/FilePrivilegesApproval/329</v>
      </c>
      <c r="Z2630" s="18"/>
      <c r="AS2630" s="1">
        <f>IF($A2630&lt;&gt;0,1,0)</f>
        <v>0</v>
      </c>
      <c r="AT2630" s="1">
        <f>$A2630*$B2630</f>
        <v>0</v>
      </c>
      <c r="AU2630" s="1">
        <f>$A2630*$O2630</f>
        <v>0</v>
      </c>
      <c r="AV2630" s="1">
        <f>IF($R2630=0,0,INT($A2630/$R2630))</f>
        <v>0</v>
      </c>
      <c r="AW2630" s="1">
        <f>$A2630-$AV2630*$R2630</f>
        <v>0</v>
      </c>
    </row>
    <row r="2631" ht="24.95" customHeight="1" outlineLevel="3" s="1" customFormat="1">
      <c r="A2631" s="15"/>
      <c r="B2631" s="16">
        <v>690</v>
      </c>
      <c r="C2631" s="17">
        <v>1035</v>
      </c>
      <c r="D2631" s="16">
        <v>28417</v>
      </c>
      <c r="E2631" s="18"/>
      <c r="F2631" s="18" t="s">
        <v>8475</v>
      </c>
      <c r="G2631" s="18" t="s">
        <v>8604</v>
      </c>
      <c r="H2631" s="18" t="s">
        <v>8445</v>
      </c>
      <c r="I2631" s="18"/>
      <c r="J2631" s="16">
        <v>2024</v>
      </c>
      <c r="K2631" s="18" t="s">
        <v>8605</v>
      </c>
      <c r="L2631" s="16">
        <v>9785961488852</v>
      </c>
      <c r="M2631" s="18" t="s">
        <v>8606</v>
      </c>
      <c r="N2631" s="16">
        <v>256</v>
      </c>
      <c r="O2631" s="19">
        <v>0.47</v>
      </c>
      <c r="P2631" s="16">
        <v>150</v>
      </c>
      <c r="Q2631" s="16">
        <v>210</v>
      </c>
      <c r="R2631" s="16">
        <v>12</v>
      </c>
      <c r="S2631" s="18" t="s">
        <v>43</v>
      </c>
      <c r="T2631" s="18" t="s">
        <v>8448</v>
      </c>
      <c r="U2631" s="17">
        <v>3000</v>
      </c>
      <c r="V2631" s="18" t="s">
        <v>77</v>
      </c>
      <c r="W2631" s="18" t="s">
        <v>55</v>
      </c>
      <c r="X2631" s="16">
        <v>10</v>
      </c>
      <c r="Y2631" s="43" t="str">
        <f>HYPERLINK("https://api-enni.alpina.ru/FilePrivilegesApproval/283","https://api-enni.alpina.ru/FilePrivilegesApproval/283")</f>
        <v>https://api-enni.alpina.ru/FilePrivilegesApproval/283</v>
      </c>
      <c r="Z2631" s="18"/>
      <c r="AS2631" s="1">
        <f>IF($A2631&lt;&gt;0,1,0)</f>
        <v>0</v>
      </c>
      <c r="AT2631" s="1">
        <f>$A2631*$B2631</f>
        <v>0</v>
      </c>
      <c r="AU2631" s="1">
        <f>$A2631*$O2631</f>
        <v>0</v>
      </c>
      <c r="AV2631" s="1">
        <f>IF($R2631=0,0,INT($A2631/$R2631))</f>
        <v>0</v>
      </c>
      <c r="AW2631" s="1">
        <f>$A2631-$AV2631*$R2631</f>
        <v>0</v>
      </c>
    </row>
    <row r="2632" ht="24.95" customHeight="1" outlineLevel="3" s="1" customFormat="1">
      <c r="A2632" s="15"/>
      <c r="B2632" s="16">
        <v>690</v>
      </c>
      <c r="C2632" s="17">
        <v>1035</v>
      </c>
      <c r="D2632" s="16">
        <v>29489</v>
      </c>
      <c r="E2632" s="18"/>
      <c r="F2632" s="18" t="s">
        <v>6950</v>
      </c>
      <c r="G2632" s="18" t="s">
        <v>8607</v>
      </c>
      <c r="H2632" s="18" t="s">
        <v>8445</v>
      </c>
      <c r="I2632" s="18"/>
      <c r="J2632" s="16">
        <v>2024</v>
      </c>
      <c r="K2632" s="18" t="s">
        <v>8608</v>
      </c>
      <c r="L2632" s="16">
        <v>9785961492804</v>
      </c>
      <c r="M2632" s="18" t="s">
        <v>8609</v>
      </c>
      <c r="N2632" s="16">
        <v>336</v>
      </c>
      <c r="O2632" s="19">
        <v>0.59</v>
      </c>
      <c r="P2632" s="16">
        <v>150</v>
      </c>
      <c r="Q2632" s="16">
        <v>210</v>
      </c>
      <c r="R2632" s="16">
        <v>10</v>
      </c>
      <c r="S2632" s="18" t="s">
        <v>43</v>
      </c>
      <c r="T2632" s="18" t="s">
        <v>8448</v>
      </c>
      <c r="U2632" s="17">
        <v>3000</v>
      </c>
      <c r="V2632" s="18" t="s">
        <v>77</v>
      </c>
      <c r="W2632" s="18" t="s">
        <v>91</v>
      </c>
      <c r="X2632" s="16">
        <v>10</v>
      </c>
      <c r="Y2632" s="43" t="str">
        <f>HYPERLINK("https://api-enni.alpina.ru/FilePrivilegesApproval/345","https://api-enni.alpina.ru/FilePrivilegesApproval/345")</f>
        <v>https://api-enni.alpina.ru/FilePrivilegesApproval/345</v>
      </c>
      <c r="Z2632" s="18"/>
      <c r="AS2632" s="1">
        <f>IF($A2632&lt;&gt;0,1,0)</f>
        <v>0</v>
      </c>
      <c r="AT2632" s="1">
        <f>$A2632*$B2632</f>
        <v>0</v>
      </c>
      <c r="AU2632" s="1">
        <f>$A2632*$O2632</f>
        <v>0</v>
      </c>
      <c r="AV2632" s="1">
        <f>IF($R2632=0,0,INT($A2632/$R2632))</f>
        <v>0</v>
      </c>
      <c r="AW2632" s="1">
        <f>$A2632-$AV2632*$R2632</f>
        <v>0</v>
      </c>
    </row>
    <row r="2633" ht="24.95" customHeight="1" outlineLevel="3" s="1" customFormat="1">
      <c r="A2633" s="15"/>
      <c r="B2633" s="16">
        <v>490</v>
      </c>
      <c r="C2633" s="16">
        <v>760</v>
      </c>
      <c r="D2633" s="16">
        <v>29899</v>
      </c>
      <c r="E2633" s="18"/>
      <c r="F2633" s="18" t="s">
        <v>8463</v>
      </c>
      <c r="G2633" s="18" t="s">
        <v>8610</v>
      </c>
      <c r="H2633" s="18" t="s">
        <v>49</v>
      </c>
      <c r="I2633" s="18"/>
      <c r="J2633" s="16">
        <v>2024</v>
      </c>
      <c r="K2633" s="18" t="s">
        <v>8611</v>
      </c>
      <c r="L2633" s="16">
        <v>9785961494358</v>
      </c>
      <c r="M2633" s="18" t="s">
        <v>8612</v>
      </c>
      <c r="N2633" s="16">
        <v>48</v>
      </c>
      <c r="O2633" s="19">
        <v>0.22</v>
      </c>
      <c r="P2633" s="16">
        <v>170</v>
      </c>
      <c r="Q2633" s="16">
        <v>220</v>
      </c>
      <c r="R2633" s="16">
        <v>18</v>
      </c>
      <c r="S2633" s="18" t="s">
        <v>52</v>
      </c>
      <c r="T2633" s="18" t="s">
        <v>8456</v>
      </c>
      <c r="U2633" s="17">
        <v>2000</v>
      </c>
      <c r="V2633" s="18" t="s">
        <v>77</v>
      </c>
      <c r="W2633" s="18" t="s">
        <v>55</v>
      </c>
      <c r="X2633" s="16">
        <v>10</v>
      </c>
      <c r="Y2633" s="18" t="s">
        <v>7967</v>
      </c>
      <c r="Z2633" s="18"/>
      <c r="AS2633" s="1">
        <f>IF($A2633&lt;&gt;0,1,0)</f>
        <v>0</v>
      </c>
      <c r="AT2633" s="1">
        <f>$A2633*$B2633</f>
        <v>0</v>
      </c>
      <c r="AU2633" s="1">
        <f>$A2633*$O2633</f>
        <v>0</v>
      </c>
      <c r="AV2633" s="1">
        <f>IF($R2633=0,0,INT($A2633/$R2633))</f>
        <v>0</v>
      </c>
      <c r="AW2633" s="1">
        <f>$A2633-$AV2633*$R2633</f>
        <v>0</v>
      </c>
    </row>
    <row r="2634" ht="11.1" customHeight="1" outlineLevel="2">
      <c r="A2634" s="41" t="s">
        <v>8613</v>
      </c>
      <c r="B2634" s="41"/>
      <c r="C2634" s="41"/>
      <c r="D2634" s="41"/>
      <c r="E2634" s="41"/>
      <c r="F2634" s="41"/>
      <c r="G2634" s="41"/>
      <c r="H2634" s="41"/>
      <c r="I2634" s="41"/>
      <c r="J2634" s="41"/>
      <c r="K2634" s="41"/>
      <c r="L2634" s="41"/>
      <c r="M2634" s="41"/>
      <c r="N2634" s="41"/>
      <c r="O2634" s="41"/>
      <c r="P2634" s="41"/>
      <c r="Q2634" s="41"/>
      <c r="R2634" s="41"/>
      <c r="S2634" s="41"/>
      <c r="T2634" s="41"/>
      <c r="U2634" s="41"/>
      <c r="V2634" s="41"/>
      <c r="W2634" s="41"/>
      <c r="X2634" s="41"/>
      <c r="Y2634" s="41"/>
      <c r="Z2634" s="24"/>
    </row>
    <row r="2635" ht="24.95" customHeight="1" outlineLevel="3" s="1" customFormat="1">
      <c r="A2635" s="15"/>
      <c r="B2635" s="16">
        <v>840</v>
      </c>
      <c r="C2635" s="17">
        <v>1218</v>
      </c>
      <c r="D2635" s="16">
        <v>31191</v>
      </c>
      <c r="E2635" s="18"/>
      <c r="F2635" s="18" t="s">
        <v>57</v>
      </c>
      <c r="G2635" s="18" t="s">
        <v>8614</v>
      </c>
      <c r="H2635" s="18" t="s">
        <v>49</v>
      </c>
      <c r="I2635" s="18"/>
      <c r="J2635" s="16">
        <v>2024</v>
      </c>
      <c r="K2635" s="18" t="s">
        <v>8615</v>
      </c>
      <c r="L2635" s="16">
        <v>9785961497854</v>
      </c>
      <c r="M2635" s="18" t="s">
        <v>8616</v>
      </c>
      <c r="N2635" s="16">
        <v>14</v>
      </c>
      <c r="O2635" s="19">
        <v>0.53</v>
      </c>
      <c r="P2635" s="16">
        <v>220</v>
      </c>
      <c r="Q2635" s="16">
        <v>240</v>
      </c>
      <c r="R2635" s="16">
        <v>6</v>
      </c>
      <c r="S2635" s="18" t="s">
        <v>328</v>
      </c>
      <c r="T2635" s="18"/>
      <c r="U2635" s="17">
        <v>3000</v>
      </c>
      <c r="V2635" s="18" t="s">
        <v>44</v>
      </c>
      <c r="W2635" s="18" t="s">
        <v>184</v>
      </c>
      <c r="X2635" s="16">
        <v>10</v>
      </c>
      <c r="Y2635" s="18" t="s">
        <v>7951</v>
      </c>
      <c r="Z2635" s="18"/>
      <c r="AS2635" s="1">
        <f>IF($A2635&lt;&gt;0,1,0)</f>
        <v>0</v>
      </c>
      <c r="AT2635" s="1">
        <f>$A2635*$B2635</f>
        <v>0</v>
      </c>
      <c r="AU2635" s="1">
        <f>$A2635*$O2635</f>
        <v>0</v>
      </c>
      <c r="AV2635" s="1">
        <f>IF($R2635=0,0,INT($A2635/$R2635))</f>
        <v>0</v>
      </c>
      <c r="AW2635" s="1">
        <f>$A2635-$AV2635*$R2635</f>
        <v>0</v>
      </c>
    </row>
    <row r="2636" ht="24.95" customHeight="1" outlineLevel="3" s="1" customFormat="1">
      <c r="A2636" s="15"/>
      <c r="B2636" s="16">
        <v>440</v>
      </c>
      <c r="C2636" s="16">
        <v>682</v>
      </c>
      <c r="D2636" s="16">
        <v>31372</v>
      </c>
      <c r="E2636" s="18"/>
      <c r="F2636" s="18" t="s">
        <v>215</v>
      </c>
      <c r="G2636" s="18" t="s">
        <v>216</v>
      </c>
      <c r="H2636" s="18" t="s">
        <v>49</v>
      </c>
      <c r="I2636" s="18" t="s">
        <v>160</v>
      </c>
      <c r="J2636" s="16">
        <v>2026</v>
      </c>
      <c r="K2636" s="18" t="s">
        <v>217</v>
      </c>
      <c r="L2636" s="16">
        <v>9785961498387</v>
      </c>
      <c r="M2636" s="18" t="s">
        <v>218</v>
      </c>
      <c r="N2636" s="16">
        <v>16</v>
      </c>
      <c r="O2636" s="19">
        <v>0.11</v>
      </c>
      <c r="P2636" s="16">
        <v>140</v>
      </c>
      <c r="Q2636" s="16">
        <v>140</v>
      </c>
      <c r="R2636" s="16">
        <v>126</v>
      </c>
      <c r="S2636" s="18" t="s">
        <v>43</v>
      </c>
      <c r="T2636" s="18" t="s">
        <v>219</v>
      </c>
      <c r="U2636" s="17">
        <v>2000</v>
      </c>
      <c r="V2636" s="18" t="s">
        <v>44</v>
      </c>
      <c r="W2636" s="18" t="s">
        <v>184</v>
      </c>
      <c r="X2636" s="16">
        <v>10</v>
      </c>
      <c r="Y2636" s="18" t="s">
        <v>220</v>
      </c>
      <c r="Z2636" s="18"/>
      <c r="AS2636" s="1">
        <f>IF($A2636&lt;&gt;0,1,0)</f>
        <v>0</v>
      </c>
      <c r="AT2636" s="1">
        <f>$A2636*$B2636</f>
        <v>0</v>
      </c>
      <c r="AU2636" s="1">
        <f>$A2636*$O2636</f>
        <v>0</v>
      </c>
      <c r="AV2636" s="1">
        <f>IF($R2636=0,0,INT($A2636/$R2636))</f>
        <v>0</v>
      </c>
      <c r="AW2636" s="1">
        <f>$A2636-$AV2636*$R2636</f>
        <v>0</v>
      </c>
    </row>
    <row r="2637" ht="24.95" customHeight="1" outlineLevel="3" s="1" customFormat="1">
      <c r="A2637" s="15"/>
      <c r="B2637" s="16">
        <v>440</v>
      </c>
      <c r="C2637" s="16">
        <v>682</v>
      </c>
      <c r="D2637" s="16">
        <v>30768</v>
      </c>
      <c r="E2637" s="18"/>
      <c r="F2637" s="18" t="s">
        <v>215</v>
      </c>
      <c r="G2637" s="18" t="s">
        <v>8617</v>
      </c>
      <c r="H2637" s="18" t="s">
        <v>49</v>
      </c>
      <c r="I2637" s="18" t="s">
        <v>160</v>
      </c>
      <c r="J2637" s="16">
        <v>2025</v>
      </c>
      <c r="K2637" s="18" t="s">
        <v>8618</v>
      </c>
      <c r="L2637" s="16">
        <v>9785961496475</v>
      </c>
      <c r="M2637" s="18" t="s">
        <v>8619</v>
      </c>
      <c r="N2637" s="16">
        <v>16</v>
      </c>
      <c r="O2637" s="19">
        <v>0.11</v>
      </c>
      <c r="P2637" s="16">
        <v>140</v>
      </c>
      <c r="Q2637" s="16">
        <v>140</v>
      </c>
      <c r="R2637" s="16">
        <v>10</v>
      </c>
      <c r="S2637" s="18" t="s">
        <v>43</v>
      </c>
      <c r="T2637" s="18" t="s">
        <v>219</v>
      </c>
      <c r="U2637" s="17">
        <v>2000</v>
      </c>
      <c r="V2637" s="18" t="s">
        <v>44</v>
      </c>
      <c r="W2637" s="18" t="s">
        <v>184</v>
      </c>
      <c r="X2637" s="16">
        <v>10</v>
      </c>
      <c r="Y2637" s="18" t="s">
        <v>7988</v>
      </c>
      <c r="Z2637" s="18"/>
      <c r="AS2637" s="1">
        <f>IF($A2637&lt;&gt;0,1,0)</f>
        <v>0</v>
      </c>
      <c r="AT2637" s="1">
        <f>$A2637*$B2637</f>
        <v>0</v>
      </c>
      <c r="AU2637" s="1">
        <f>$A2637*$O2637</f>
        <v>0</v>
      </c>
      <c r="AV2637" s="1">
        <f>IF($R2637=0,0,INT($A2637/$R2637))</f>
        <v>0</v>
      </c>
      <c r="AW2637" s="1">
        <f>$A2637-$AV2637*$R2637</f>
        <v>0</v>
      </c>
    </row>
    <row r="2638" ht="24.95" customHeight="1" outlineLevel="3" s="1" customFormat="1">
      <c r="A2638" s="15"/>
      <c r="B2638" s="16">
        <v>440</v>
      </c>
      <c r="C2638" s="16">
        <v>682</v>
      </c>
      <c r="D2638" s="16">
        <v>30863</v>
      </c>
      <c r="E2638" s="18"/>
      <c r="F2638" s="18" t="s">
        <v>215</v>
      </c>
      <c r="G2638" s="18" t="s">
        <v>221</v>
      </c>
      <c r="H2638" s="18" t="s">
        <v>49</v>
      </c>
      <c r="I2638" s="18" t="s">
        <v>160</v>
      </c>
      <c r="J2638" s="16">
        <v>2026</v>
      </c>
      <c r="K2638" s="18" t="s">
        <v>222</v>
      </c>
      <c r="L2638" s="16">
        <v>9785961496857</v>
      </c>
      <c r="M2638" s="18" t="s">
        <v>223</v>
      </c>
      <c r="N2638" s="16">
        <v>16</v>
      </c>
      <c r="O2638" s="19">
        <v>0.11</v>
      </c>
      <c r="P2638" s="16">
        <v>140</v>
      </c>
      <c r="Q2638" s="16">
        <v>140</v>
      </c>
      <c r="R2638" s="16">
        <v>126</v>
      </c>
      <c r="S2638" s="18" t="s">
        <v>43</v>
      </c>
      <c r="T2638" s="18" t="s">
        <v>219</v>
      </c>
      <c r="U2638" s="17">
        <v>2000</v>
      </c>
      <c r="V2638" s="18" t="s">
        <v>44</v>
      </c>
      <c r="W2638" s="18" t="s">
        <v>184</v>
      </c>
      <c r="X2638" s="16">
        <v>10</v>
      </c>
      <c r="Y2638" s="18" t="s">
        <v>220</v>
      </c>
      <c r="Z2638" s="18"/>
      <c r="AS2638" s="1">
        <f>IF($A2638&lt;&gt;0,1,0)</f>
        <v>0</v>
      </c>
      <c r="AT2638" s="1">
        <f>$A2638*$B2638</f>
        <v>0</v>
      </c>
      <c r="AU2638" s="1">
        <f>$A2638*$O2638</f>
        <v>0</v>
      </c>
      <c r="AV2638" s="1">
        <f>IF($R2638=0,0,INT($A2638/$R2638))</f>
        <v>0</v>
      </c>
      <c r="AW2638" s="1">
        <f>$A2638-$AV2638*$R2638</f>
        <v>0</v>
      </c>
    </row>
    <row r="2639" ht="24.95" customHeight="1" outlineLevel="3" s="1" customFormat="1">
      <c r="A2639" s="15"/>
      <c r="B2639" s="16">
        <v>440</v>
      </c>
      <c r="C2639" s="16">
        <v>682</v>
      </c>
      <c r="D2639" s="16">
        <v>30769</v>
      </c>
      <c r="E2639" s="18"/>
      <c r="F2639" s="18" t="s">
        <v>8620</v>
      </c>
      <c r="G2639" s="18" t="s">
        <v>8621</v>
      </c>
      <c r="H2639" s="18" t="s">
        <v>49</v>
      </c>
      <c r="I2639" s="18" t="s">
        <v>160</v>
      </c>
      <c r="J2639" s="16">
        <v>2024</v>
      </c>
      <c r="K2639" s="18" t="s">
        <v>8622</v>
      </c>
      <c r="L2639" s="16">
        <v>9785961496482</v>
      </c>
      <c r="M2639" s="18" t="s">
        <v>8623</v>
      </c>
      <c r="N2639" s="16">
        <v>16</v>
      </c>
      <c r="O2639" s="19">
        <v>0.11</v>
      </c>
      <c r="P2639" s="16">
        <v>140</v>
      </c>
      <c r="Q2639" s="16">
        <v>140</v>
      </c>
      <c r="R2639" s="16">
        <v>10</v>
      </c>
      <c r="S2639" s="18" t="s">
        <v>43</v>
      </c>
      <c r="T2639" s="18" t="s">
        <v>219</v>
      </c>
      <c r="U2639" s="17">
        <v>2000</v>
      </c>
      <c r="V2639" s="18" t="s">
        <v>44</v>
      </c>
      <c r="W2639" s="18" t="s">
        <v>184</v>
      </c>
      <c r="X2639" s="16">
        <v>10</v>
      </c>
      <c r="Y2639" s="18" t="s">
        <v>7988</v>
      </c>
      <c r="Z2639" s="18"/>
      <c r="AS2639" s="1">
        <f>IF($A2639&lt;&gt;0,1,0)</f>
        <v>0</v>
      </c>
      <c r="AT2639" s="1">
        <f>$A2639*$B2639</f>
        <v>0</v>
      </c>
      <c r="AU2639" s="1">
        <f>$A2639*$O2639</f>
        <v>0</v>
      </c>
      <c r="AV2639" s="1">
        <f>IF($R2639=0,0,INT($A2639/$R2639))</f>
        <v>0</v>
      </c>
      <c r="AW2639" s="1">
        <f>$A2639-$AV2639*$R2639</f>
        <v>0</v>
      </c>
    </row>
    <row r="2640" ht="24.95" customHeight="1" outlineLevel="3" s="1" customFormat="1">
      <c r="A2640" s="15"/>
      <c r="B2640" s="16">
        <v>440</v>
      </c>
      <c r="C2640" s="16">
        <v>682</v>
      </c>
      <c r="D2640" s="16">
        <v>31373</v>
      </c>
      <c r="E2640" s="18"/>
      <c r="F2640" s="18" t="s">
        <v>215</v>
      </c>
      <c r="G2640" s="18" t="s">
        <v>224</v>
      </c>
      <c r="H2640" s="18" t="s">
        <v>49</v>
      </c>
      <c r="I2640" s="18" t="s">
        <v>160</v>
      </c>
      <c r="J2640" s="16">
        <v>2026</v>
      </c>
      <c r="K2640" s="18" t="s">
        <v>225</v>
      </c>
      <c r="L2640" s="16">
        <v>9785961498394</v>
      </c>
      <c r="M2640" s="18" t="s">
        <v>226</v>
      </c>
      <c r="N2640" s="16">
        <v>16</v>
      </c>
      <c r="O2640" s="19">
        <v>0.11</v>
      </c>
      <c r="P2640" s="16">
        <v>140</v>
      </c>
      <c r="Q2640" s="16">
        <v>140</v>
      </c>
      <c r="R2640" s="16">
        <v>126</v>
      </c>
      <c r="S2640" s="18" t="s">
        <v>43</v>
      </c>
      <c r="T2640" s="18" t="s">
        <v>219</v>
      </c>
      <c r="U2640" s="17">
        <v>2000</v>
      </c>
      <c r="V2640" s="18" t="s">
        <v>44</v>
      </c>
      <c r="W2640" s="18" t="s">
        <v>184</v>
      </c>
      <c r="X2640" s="16">
        <v>10</v>
      </c>
      <c r="Y2640" s="18" t="s">
        <v>220</v>
      </c>
      <c r="Z2640" s="18"/>
      <c r="AS2640" s="1">
        <f>IF($A2640&lt;&gt;0,1,0)</f>
        <v>0</v>
      </c>
      <c r="AT2640" s="1">
        <f>$A2640*$B2640</f>
        <v>0</v>
      </c>
      <c r="AU2640" s="1">
        <f>$A2640*$O2640</f>
        <v>0</v>
      </c>
      <c r="AV2640" s="1">
        <f>IF($R2640=0,0,INT($A2640/$R2640))</f>
        <v>0</v>
      </c>
      <c r="AW2640" s="1">
        <f>$A2640-$AV2640*$R2640</f>
        <v>0</v>
      </c>
    </row>
    <row r="2641" ht="24.95" customHeight="1" outlineLevel="3" s="1" customFormat="1">
      <c r="A2641" s="15"/>
      <c r="B2641" s="16">
        <v>440</v>
      </c>
      <c r="C2641" s="16">
        <v>682</v>
      </c>
      <c r="D2641" s="16">
        <v>30932</v>
      </c>
      <c r="E2641" s="18"/>
      <c r="F2641" s="18" t="s">
        <v>8624</v>
      </c>
      <c r="G2641" s="18" t="s">
        <v>8625</v>
      </c>
      <c r="H2641" s="18" t="s">
        <v>49</v>
      </c>
      <c r="I2641" s="18" t="s">
        <v>160</v>
      </c>
      <c r="J2641" s="16">
        <v>2024</v>
      </c>
      <c r="K2641" s="18" t="s">
        <v>8626</v>
      </c>
      <c r="L2641" s="16">
        <v>9785961496970</v>
      </c>
      <c r="M2641" s="18" t="s">
        <v>8627</v>
      </c>
      <c r="N2641" s="16">
        <v>16</v>
      </c>
      <c r="O2641" s="19">
        <v>0.11</v>
      </c>
      <c r="P2641" s="16">
        <v>140</v>
      </c>
      <c r="Q2641" s="16">
        <v>140</v>
      </c>
      <c r="R2641" s="16">
        <v>10</v>
      </c>
      <c r="S2641" s="18" t="s">
        <v>43</v>
      </c>
      <c r="T2641" s="18" t="s">
        <v>219</v>
      </c>
      <c r="U2641" s="17">
        <v>2000</v>
      </c>
      <c r="V2641" s="18" t="s">
        <v>44</v>
      </c>
      <c r="W2641" s="18" t="s">
        <v>184</v>
      </c>
      <c r="X2641" s="16">
        <v>10</v>
      </c>
      <c r="Y2641" s="18" t="s">
        <v>7988</v>
      </c>
      <c r="Z2641" s="18"/>
      <c r="AS2641" s="1">
        <f>IF($A2641&lt;&gt;0,1,0)</f>
        <v>0</v>
      </c>
      <c r="AT2641" s="1">
        <f>$A2641*$B2641</f>
        <v>0</v>
      </c>
      <c r="AU2641" s="1">
        <f>$A2641*$O2641</f>
        <v>0</v>
      </c>
      <c r="AV2641" s="1">
        <f>IF($R2641=0,0,INT($A2641/$R2641))</f>
        <v>0</v>
      </c>
      <c r="AW2641" s="1">
        <f>$A2641-$AV2641*$R2641</f>
        <v>0</v>
      </c>
    </row>
    <row r="2642" ht="24.95" customHeight="1" outlineLevel="3" s="1" customFormat="1">
      <c r="A2642" s="15"/>
      <c r="B2642" s="16">
        <v>440</v>
      </c>
      <c r="C2642" s="16">
        <v>682</v>
      </c>
      <c r="D2642" s="16">
        <v>30933</v>
      </c>
      <c r="E2642" s="18"/>
      <c r="F2642" s="18" t="s">
        <v>8628</v>
      </c>
      <c r="G2642" s="18" t="s">
        <v>8629</v>
      </c>
      <c r="H2642" s="18" t="s">
        <v>49</v>
      </c>
      <c r="I2642" s="18" t="s">
        <v>160</v>
      </c>
      <c r="J2642" s="16">
        <v>2024</v>
      </c>
      <c r="K2642" s="18" t="s">
        <v>8630</v>
      </c>
      <c r="L2642" s="16">
        <v>9785961496987</v>
      </c>
      <c r="M2642" s="18" t="s">
        <v>8631</v>
      </c>
      <c r="N2642" s="16">
        <v>16</v>
      </c>
      <c r="O2642" s="19">
        <v>0.11</v>
      </c>
      <c r="P2642" s="16">
        <v>140</v>
      </c>
      <c r="Q2642" s="16">
        <v>140</v>
      </c>
      <c r="R2642" s="16">
        <v>10</v>
      </c>
      <c r="S2642" s="18" t="s">
        <v>43</v>
      </c>
      <c r="T2642" s="18" t="s">
        <v>219</v>
      </c>
      <c r="U2642" s="17">
        <v>2000</v>
      </c>
      <c r="V2642" s="18" t="s">
        <v>44</v>
      </c>
      <c r="W2642" s="18" t="s">
        <v>184</v>
      </c>
      <c r="X2642" s="16">
        <v>10</v>
      </c>
      <c r="Y2642" s="18" t="s">
        <v>7988</v>
      </c>
      <c r="Z2642" s="18"/>
      <c r="AS2642" s="1">
        <f>IF($A2642&lt;&gt;0,1,0)</f>
        <v>0</v>
      </c>
      <c r="AT2642" s="1">
        <f>$A2642*$B2642</f>
        <v>0</v>
      </c>
      <c r="AU2642" s="1">
        <f>$A2642*$O2642</f>
        <v>0</v>
      </c>
      <c r="AV2642" s="1">
        <f>IF($R2642=0,0,INT($A2642/$R2642))</f>
        <v>0</v>
      </c>
      <c r="AW2642" s="1">
        <f>$A2642-$AV2642*$R2642</f>
        <v>0</v>
      </c>
    </row>
    <row r="2643" ht="24.95" customHeight="1" outlineLevel="3" s="1" customFormat="1">
      <c r="A2643" s="15"/>
      <c r="B2643" s="16">
        <v>390</v>
      </c>
      <c r="C2643" s="16">
        <v>624</v>
      </c>
      <c r="D2643" s="16">
        <v>28889</v>
      </c>
      <c r="E2643" s="18"/>
      <c r="F2643" s="18" t="s">
        <v>8632</v>
      </c>
      <c r="G2643" s="18" t="s">
        <v>8633</v>
      </c>
      <c r="H2643" s="18" t="s">
        <v>49</v>
      </c>
      <c r="I2643" s="18" t="s">
        <v>87</v>
      </c>
      <c r="J2643" s="16">
        <v>2024</v>
      </c>
      <c r="K2643" s="18" t="s">
        <v>8634</v>
      </c>
      <c r="L2643" s="16">
        <v>9785961490497</v>
      </c>
      <c r="M2643" s="18" t="s">
        <v>8635</v>
      </c>
      <c r="N2643" s="16">
        <v>20</v>
      </c>
      <c r="O2643" s="19">
        <v>0.22</v>
      </c>
      <c r="P2643" s="16">
        <v>180</v>
      </c>
      <c r="Q2643" s="16">
        <v>180</v>
      </c>
      <c r="R2643" s="16">
        <v>21</v>
      </c>
      <c r="S2643" s="18" t="s">
        <v>83</v>
      </c>
      <c r="T2643" s="18" t="s">
        <v>8636</v>
      </c>
      <c r="U2643" s="17">
        <v>5000</v>
      </c>
      <c r="V2643" s="18" t="s">
        <v>44</v>
      </c>
      <c r="W2643" s="18" t="s">
        <v>184</v>
      </c>
      <c r="X2643" s="16">
        <v>10</v>
      </c>
      <c r="Y2643" s="18" t="s">
        <v>8637</v>
      </c>
      <c r="Z2643" s="18"/>
      <c r="AS2643" s="1">
        <f>IF($A2643&lt;&gt;0,1,0)</f>
        <v>0</v>
      </c>
      <c r="AT2643" s="1">
        <f>$A2643*$B2643</f>
        <v>0</v>
      </c>
      <c r="AU2643" s="1">
        <f>$A2643*$O2643</f>
        <v>0</v>
      </c>
      <c r="AV2643" s="1">
        <f>IF($R2643=0,0,INT($A2643/$R2643))</f>
        <v>0</v>
      </c>
      <c r="AW2643" s="1">
        <f>$A2643-$AV2643*$R2643</f>
        <v>0</v>
      </c>
    </row>
    <row r="2644" ht="24.95" customHeight="1" outlineLevel="3" s="1" customFormat="1">
      <c r="A2644" s="15"/>
      <c r="B2644" s="16">
        <v>390</v>
      </c>
      <c r="C2644" s="16">
        <v>624</v>
      </c>
      <c r="D2644" s="16">
        <v>28893</v>
      </c>
      <c r="E2644" s="18"/>
      <c r="F2644" s="18" t="s">
        <v>8632</v>
      </c>
      <c r="G2644" s="18" t="s">
        <v>8638</v>
      </c>
      <c r="H2644" s="18" t="s">
        <v>49</v>
      </c>
      <c r="I2644" s="18" t="s">
        <v>87</v>
      </c>
      <c r="J2644" s="16">
        <v>2024</v>
      </c>
      <c r="K2644" s="18" t="s">
        <v>8639</v>
      </c>
      <c r="L2644" s="16">
        <v>9785961490534</v>
      </c>
      <c r="M2644" s="18" t="s">
        <v>8640</v>
      </c>
      <c r="N2644" s="16">
        <v>20</v>
      </c>
      <c r="O2644" s="19">
        <v>0.21</v>
      </c>
      <c r="P2644" s="16">
        <v>180</v>
      </c>
      <c r="Q2644" s="16">
        <v>180</v>
      </c>
      <c r="R2644" s="16">
        <v>21</v>
      </c>
      <c r="S2644" s="18" t="s">
        <v>83</v>
      </c>
      <c r="T2644" s="18" t="s">
        <v>8636</v>
      </c>
      <c r="U2644" s="17">
        <v>5000</v>
      </c>
      <c r="V2644" s="18" t="s">
        <v>44</v>
      </c>
      <c r="W2644" s="18" t="s">
        <v>184</v>
      </c>
      <c r="X2644" s="16">
        <v>10</v>
      </c>
      <c r="Y2644" s="18" t="s">
        <v>8637</v>
      </c>
      <c r="Z2644" s="18"/>
      <c r="AS2644" s="1">
        <f>IF($A2644&lt;&gt;0,1,0)</f>
        <v>0</v>
      </c>
      <c r="AT2644" s="1">
        <f>$A2644*$B2644</f>
        <v>0</v>
      </c>
      <c r="AU2644" s="1">
        <f>$A2644*$O2644</f>
        <v>0</v>
      </c>
      <c r="AV2644" s="1">
        <f>IF($R2644=0,0,INT($A2644/$R2644))</f>
        <v>0</v>
      </c>
      <c r="AW2644" s="1">
        <f>$A2644-$AV2644*$R2644</f>
        <v>0</v>
      </c>
    </row>
    <row r="2645" ht="24.95" customHeight="1" outlineLevel="3" s="1" customFormat="1">
      <c r="A2645" s="15"/>
      <c r="B2645" s="16">
        <v>390</v>
      </c>
      <c r="C2645" s="16">
        <v>624</v>
      </c>
      <c r="D2645" s="16">
        <v>28892</v>
      </c>
      <c r="E2645" s="18"/>
      <c r="F2645" s="18" t="s">
        <v>8632</v>
      </c>
      <c r="G2645" s="18" t="s">
        <v>8641</v>
      </c>
      <c r="H2645" s="18" t="s">
        <v>49</v>
      </c>
      <c r="I2645" s="18" t="s">
        <v>87</v>
      </c>
      <c r="J2645" s="16">
        <v>2024</v>
      </c>
      <c r="K2645" s="18" t="s">
        <v>8642</v>
      </c>
      <c r="L2645" s="16">
        <v>9785961490527</v>
      </c>
      <c r="M2645" s="18" t="s">
        <v>8643</v>
      </c>
      <c r="N2645" s="16">
        <v>20</v>
      </c>
      <c r="O2645" s="19">
        <v>0.22</v>
      </c>
      <c r="P2645" s="16">
        <v>180</v>
      </c>
      <c r="Q2645" s="16">
        <v>180</v>
      </c>
      <c r="R2645" s="16">
        <v>21</v>
      </c>
      <c r="S2645" s="18" t="s">
        <v>83</v>
      </c>
      <c r="T2645" s="18" t="s">
        <v>8636</v>
      </c>
      <c r="U2645" s="17">
        <v>5000</v>
      </c>
      <c r="V2645" s="18" t="s">
        <v>44</v>
      </c>
      <c r="W2645" s="18" t="s">
        <v>184</v>
      </c>
      <c r="X2645" s="16">
        <v>10</v>
      </c>
      <c r="Y2645" s="18" t="s">
        <v>8637</v>
      </c>
      <c r="Z2645" s="18"/>
      <c r="AS2645" s="1">
        <f>IF($A2645&lt;&gt;0,1,0)</f>
        <v>0</v>
      </c>
      <c r="AT2645" s="1">
        <f>$A2645*$B2645</f>
        <v>0</v>
      </c>
      <c r="AU2645" s="1">
        <f>$A2645*$O2645</f>
        <v>0</v>
      </c>
      <c r="AV2645" s="1">
        <f>IF($R2645=0,0,INT($A2645/$R2645))</f>
        <v>0</v>
      </c>
      <c r="AW2645" s="1">
        <f>$A2645-$AV2645*$R2645</f>
        <v>0</v>
      </c>
    </row>
    <row r="2646" ht="24.95" customHeight="1" outlineLevel="3" s="1" customFormat="1">
      <c r="A2646" s="15"/>
      <c r="B2646" s="16">
        <v>390</v>
      </c>
      <c r="C2646" s="16">
        <v>624</v>
      </c>
      <c r="D2646" s="16">
        <v>28891</v>
      </c>
      <c r="E2646" s="18"/>
      <c r="F2646" s="18" t="s">
        <v>8632</v>
      </c>
      <c r="G2646" s="18" t="s">
        <v>8644</v>
      </c>
      <c r="H2646" s="18" t="s">
        <v>49</v>
      </c>
      <c r="I2646" s="18" t="s">
        <v>87</v>
      </c>
      <c r="J2646" s="16">
        <v>2024</v>
      </c>
      <c r="K2646" s="18" t="s">
        <v>8645</v>
      </c>
      <c r="L2646" s="16">
        <v>9785961490510</v>
      </c>
      <c r="M2646" s="18" t="s">
        <v>8646</v>
      </c>
      <c r="N2646" s="16">
        <v>20</v>
      </c>
      <c r="O2646" s="19">
        <v>0.22</v>
      </c>
      <c r="P2646" s="16">
        <v>180</v>
      </c>
      <c r="Q2646" s="16">
        <v>180</v>
      </c>
      <c r="R2646" s="16">
        <v>21</v>
      </c>
      <c r="S2646" s="18" t="s">
        <v>83</v>
      </c>
      <c r="T2646" s="18" t="s">
        <v>8636</v>
      </c>
      <c r="U2646" s="17">
        <v>5000</v>
      </c>
      <c r="V2646" s="18" t="s">
        <v>44</v>
      </c>
      <c r="W2646" s="18" t="s">
        <v>184</v>
      </c>
      <c r="X2646" s="16">
        <v>10</v>
      </c>
      <c r="Y2646" s="18" t="s">
        <v>8637</v>
      </c>
      <c r="Z2646" s="18"/>
      <c r="AS2646" s="1">
        <f>IF($A2646&lt;&gt;0,1,0)</f>
        <v>0</v>
      </c>
      <c r="AT2646" s="1">
        <f>$A2646*$B2646</f>
        <v>0</v>
      </c>
      <c r="AU2646" s="1">
        <f>$A2646*$O2646</f>
        <v>0</v>
      </c>
      <c r="AV2646" s="1">
        <f>IF($R2646=0,0,INT($A2646/$R2646))</f>
        <v>0</v>
      </c>
      <c r="AW2646" s="1">
        <f>$A2646-$AV2646*$R2646</f>
        <v>0</v>
      </c>
    </row>
    <row r="2647" ht="24.95" customHeight="1" outlineLevel="3" s="1" customFormat="1">
      <c r="A2647" s="15"/>
      <c r="B2647" s="16">
        <v>790</v>
      </c>
      <c r="C2647" s="17">
        <v>1146</v>
      </c>
      <c r="D2647" s="16">
        <v>25830</v>
      </c>
      <c r="E2647" s="18"/>
      <c r="F2647" s="18" t="s">
        <v>994</v>
      </c>
      <c r="G2647" s="18" t="s">
        <v>8647</v>
      </c>
      <c r="H2647" s="18" t="s">
        <v>49</v>
      </c>
      <c r="I2647" s="18"/>
      <c r="J2647" s="16">
        <v>2022</v>
      </c>
      <c r="K2647" s="18" t="s">
        <v>8648</v>
      </c>
      <c r="L2647" s="16">
        <v>9785961478655</v>
      </c>
      <c r="M2647" s="18" t="s">
        <v>8649</v>
      </c>
      <c r="N2647" s="16">
        <v>14</v>
      </c>
      <c r="O2647" s="19">
        <v>0.6</v>
      </c>
      <c r="P2647" s="16">
        <v>242</v>
      </c>
      <c r="Q2647" s="16">
        <v>297</v>
      </c>
      <c r="R2647" s="16">
        <v>16</v>
      </c>
      <c r="S2647" s="18" t="s">
        <v>83</v>
      </c>
      <c r="T2647" s="18" t="s">
        <v>998</v>
      </c>
      <c r="U2647" s="17">
        <v>2000</v>
      </c>
      <c r="V2647" s="18" t="s">
        <v>44</v>
      </c>
      <c r="W2647" s="18" t="s">
        <v>55</v>
      </c>
      <c r="X2647" s="16">
        <v>10</v>
      </c>
      <c r="Y2647" s="18" t="s">
        <v>999</v>
      </c>
      <c r="Z2647" s="18"/>
      <c r="AS2647" s="1">
        <f>IF($A2647&lt;&gt;0,1,0)</f>
        <v>0</v>
      </c>
      <c r="AT2647" s="1">
        <f>$A2647*$B2647</f>
        <v>0</v>
      </c>
      <c r="AU2647" s="1">
        <f>$A2647*$O2647</f>
        <v>0</v>
      </c>
      <c r="AV2647" s="1">
        <f>IF($R2647=0,0,INT($A2647/$R2647))</f>
        <v>0</v>
      </c>
      <c r="AW2647" s="1">
        <f>$A2647-$AV2647*$R2647</f>
        <v>0</v>
      </c>
    </row>
    <row r="2648" ht="24.95" customHeight="1" outlineLevel="3" s="1" customFormat="1">
      <c r="A2648" s="15"/>
      <c r="B2648" s="16">
        <v>990</v>
      </c>
      <c r="C2648" s="17">
        <v>1386</v>
      </c>
      <c r="D2648" s="16">
        <v>28727</v>
      </c>
      <c r="E2648" s="18"/>
      <c r="F2648" s="18" t="s">
        <v>994</v>
      </c>
      <c r="G2648" s="18" t="s">
        <v>995</v>
      </c>
      <c r="H2648" s="18" t="s">
        <v>49</v>
      </c>
      <c r="I2648" s="18"/>
      <c r="J2648" s="16">
        <v>2026</v>
      </c>
      <c r="K2648" s="18" t="s">
        <v>996</v>
      </c>
      <c r="L2648" s="16">
        <v>9785961489866</v>
      </c>
      <c r="M2648" s="18" t="s">
        <v>997</v>
      </c>
      <c r="N2648" s="16">
        <v>14</v>
      </c>
      <c r="O2648" s="19">
        <v>0.63</v>
      </c>
      <c r="P2648" s="16">
        <v>250</v>
      </c>
      <c r="Q2648" s="16">
        <v>300</v>
      </c>
      <c r="R2648" s="16">
        <v>20</v>
      </c>
      <c r="S2648" s="18" t="s">
        <v>83</v>
      </c>
      <c r="T2648" s="18" t="s">
        <v>998</v>
      </c>
      <c r="U2648" s="17">
        <v>1000</v>
      </c>
      <c r="V2648" s="18" t="s">
        <v>44</v>
      </c>
      <c r="W2648" s="18" t="s">
        <v>184</v>
      </c>
      <c r="X2648" s="16">
        <v>10</v>
      </c>
      <c r="Y2648" s="18" t="s">
        <v>999</v>
      </c>
      <c r="Z2648" s="18"/>
      <c r="AS2648" s="1">
        <f>IF($A2648&lt;&gt;0,1,0)</f>
        <v>0</v>
      </c>
      <c r="AT2648" s="1">
        <f>$A2648*$B2648</f>
        <v>0</v>
      </c>
      <c r="AU2648" s="1">
        <f>$A2648*$O2648</f>
        <v>0</v>
      </c>
      <c r="AV2648" s="1">
        <f>IF($R2648=0,0,INT($A2648/$R2648))</f>
        <v>0</v>
      </c>
      <c r="AW2648" s="1">
        <f>$A2648-$AV2648*$R2648</f>
        <v>0</v>
      </c>
    </row>
    <row r="2649" ht="24.95" customHeight="1" outlineLevel="3" s="1" customFormat="1">
      <c r="A2649" s="15"/>
      <c r="B2649" s="16">
        <v>990</v>
      </c>
      <c r="C2649" s="17">
        <v>1386</v>
      </c>
      <c r="D2649" s="16">
        <v>25831</v>
      </c>
      <c r="E2649" s="18"/>
      <c r="F2649" s="18" t="s">
        <v>994</v>
      </c>
      <c r="G2649" s="18" t="s">
        <v>8650</v>
      </c>
      <c r="H2649" s="18" t="s">
        <v>49</v>
      </c>
      <c r="I2649" s="18"/>
      <c r="J2649" s="16">
        <v>2025</v>
      </c>
      <c r="K2649" s="18" t="s">
        <v>8651</v>
      </c>
      <c r="L2649" s="16">
        <v>9785961478679</v>
      </c>
      <c r="M2649" s="18" t="s">
        <v>8652</v>
      </c>
      <c r="N2649" s="16">
        <v>14</v>
      </c>
      <c r="O2649" s="19">
        <v>0.62</v>
      </c>
      <c r="P2649" s="16">
        <v>250</v>
      </c>
      <c r="Q2649" s="16">
        <v>300</v>
      </c>
      <c r="R2649" s="16">
        <v>6</v>
      </c>
      <c r="S2649" s="18" t="s">
        <v>83</v>
      </c>
      <c r="T2649" s="18" t="s">
        <v>998</v>
      </c>
      <c r="U2649" s="17">
        <v>2000</v>
      </c>
      <c r="V2649" s="18" t="s">
        <v>44</v>
      </c>
      <c r="W2649" s="18" t="s">
        <v>55</v>
      </c>
      <c r="X2649" s="16">
        <v>10</v>
      </c>
      <c r="Y2649" s="18" t="s">
        <v>540</v>
      </c>
      <c r="Z2649" s="18"/>
      <c r="AS2649" s="1">
        <f>IF($A2649&lt;&gt;0,1,0)</f>
        <v>0</v>
      </c>
      <c r="AT2649" s="1">
        <f>$A2649*$B2649</f>
        <v>0</v>
      </c>
      <c r="AU2649" s="1">
        <f>$A2649*$O2649</f>
        <v>0</v>
      </c>
      <c r="AV2649" s="1">
        <f>IF($R2649=0,0,INT($A2649/$R2649))</f>
        <v>0</v>
      </c>
      <c r="AW2649" s="1">
        <f>$A2649-$AV2649*$R2649</f>
        <v>0</v>
      </c>
    </row>
    <row r="2650" ht="11.1" customHeight="1" outlineLevel="2">
      <c r="A2650" s="41" t="s">
        <v>8653</v>
      </c>
      <c r="B2650" s="41"/>
      <c r="C2650" s="41"/>
      <c r="D2650" s="41"/>
      <c r="E2650" s="41"/>
      <c r="F2650" s="41"/>
      <c r="G2650" s="41"/>
      <c r="H2650" s="41"/>
      <c r="I2650" s="41"/>
      <c r="J2650" s="41"/>
      <c r="K2650" s="41"/>
      <c r="L2650" s="41"/>
      <c r="M2650" s="41"/>
      <c r="N2650" s="41"/>
      <c r="O2650" s="41"/>
      <c r="P2650" s="41"/>
      <c r="Q2650" s="41"/>
      <c r="R2650" s="41"/>
      <c r="S2650" s="41"/>
      <c r="T2650" s="41"/>
      <c r="U2650" s="41"/>
      <c r="V2650" s="41"/>
      <c r="W2650" s="41"/>
      <c r="X2650" s="41"/>
      <c r="Y2650" s="41"/>
      <c r="Z2650" s="24"/>
    </row>
    <row r="2651" ht="24.95" customHeight="1" outlineLevel="3" s="1" customFormat="1">
      <c r="A2651" s="15"/>
      <c r="B2651" s="17">
        <v>1728</v>
      </c>
      <c r="C2651" s="17">
        <v>2246</v>
      </c>
      <c r="D2651" s="16">
        <v>22275</v>
      </c>
      <c r="E2651" s="18"/>
      <c r="F2651" s="18" t="s">
        <v>8654</v>
      </c>
      <c r="G2651" s="18" t="s">
        <v>8655</v>
      </c>
      <c r="H2651" s="18" t="s">
        <v>49</v>
      </c>
      <c r="I2651" s="18" t="s">
        <v>74</v>
      </c>
      <c r="J2651" s="16">
        <v>2021</v>
      </c>
      <c r="K2651" s="18" t="s">
        <v>8656</v>
      </c>
      <c r="L2651" s="16">
        <v>9785961445756</v>
      </c>
      <c r="M2651" s="18" t="s">
        <v>8657</v>
      </c>
      <c r="N2651" s="16">
        <v>32</v>
      </c>
      <c r="O2651" s="19">
        <v>0.9</v>
      </c>
      <c r="P2651" s="16">
        <v>210</v>
      </c>
      <c r="Q2651" s="16">
        <v>290</v>
      </c>
      <c r="R2651" s="16">
        <v>15</v>
      </c>
      <c r="S2651" s="18" t="s">
        <v>328</v>
      </c>
      <c r="T2651" s="18" t="s">
        <v>8658</v>
      </c>
      <c r="U2651" s="17">
        <v>3000</v>
      </c>
      <c r="V2651" s="18" t="s">
        <v>44</v>
      </c>
      <c r="W2651" s="18" t="s">
        <v>55</v>
      </c>
      <c r="X2651" s="16">
        <v>22</v>
      </c>
      <c r="Y2651" s="18" t="s">
        <v>8659</v>
      </c>
      <c r="Z2651" s="18"/>
      <c r="AS2651" s="1">
        <f>IF($A2651&lt;&gt;0,1,0)</f>
        <v>0</v>
      </c>
      <c r="AT2651" s="1">
        <f>$A2651*$B2651</f>
        <v>0</v>
      </c>
      <c r="AU2651" s="1">
        <f>$A2651*$O2651</f>
        <v>0</v>
      </c>
      <c r="AV2651" s="1">
        <f>IF($R2651=0,0,INT($A2651/$R2651))</f>
        <v>0</v>
      </c>
      <c r="AW2651" s="1">
        <f>$A2651-$AV2651*$R2651</f>
        <v>0</v>
      </c>
    </row>
    <row r="2652" ht="24.95" customHeight="1" outlineLevel="3" s="1" customFormat="1">
      <c r="A2652" s="15"/>
      <c r="B2652" s="16">
        <v>590</v>
      </c>
      <c r="C2652" s="16">
        <v>885</v>
      </c>
      <c r="D2652" s="16">
        <v>26615</v>
      </c>
      <c r="E2652" s="18"/>
      <c r="F2652" s="18" t="s">
        <v>1165</v>
      </c>
      <c r="G2652" s="18" t="s">
        <v>8660</v>
      </c>
      <c r="H2652" s="18" t="s">
        <v>49</v>
      </c>
      <c r="I2652" s="18"/>
      <c r="J2652" s="16">
        <v>2024</v>
      </c>
      <c r="K2652" s="18" t="s">
        <v>8661</v>
      </c>
      <c r="L2652" s="16">
        <v>9785961482416</v>
      </c>
      <c r="M2652" s="18" t="s">
        <v>8662</v>
      </c>
      <c r="N2652" s="16">
        <v>80</v>
      </c>
      <c r="O2652" s="19">
        <v>0.33</v>
      </c>
      <c r="P2652" s="16">
        <v>180</v>
      </c>
      <c r="Q2652" s="16">
        <v>250</v>
      </c>
      <c r="R2652" s="16">
        <v>10</v>
      </c>
      <c r="S2652" s="18" t="s">
        <v>123</v>
      </c>
      <c r="T2652" s="18"/>
      <c r="U2652" s="17">
        <v>3000</v>
      </c>
      <c r="V2652" s="18" t="s">
        <v>77</v>
      </c>
      <c r="W2652" s="18" t="s">
        <v>184</v>
      </c>
      <c r="X2652" s="16">
        <v>10</v>
      </c>
      <c r="Y2652" s="18" t="s">
        <v>8663</v>
      </c>
      <c r="Z2652" s="18"/>
      <c r="AS2652" s="1">
        <f>IF($A2652&lt;&gt;0,1,0)</f>
        <v>0</v>
      </c>
      <c r="AT2652" s="1">
        <f>$A2652*$B2652</f>
        <v>0</v>
      </c>
      <c r="AU2652" s="1">
        <f>$A2652*$O2652</f>
        <v>0</v>
      </c>
      <c r="AV2652" s="1">
        <f>IF($R2652=0,0,INT($A2652/$R2652))</f>
        <v>0</v>
      </c>
      <c r="AW2652" s="1">
        <f>$A2652-$AV2652*$R2652</f>
        <v>0</v>
      </c>
    </row>
    <row r="2653" ht="21.95" customHeight="1" outlineLevel="3" s="1" customFormat="1">
      <c r="A2653" s="15"/>
      <c r="B2653" s="16">
        <v>790</v>
      </c>
      <c r="C2653" s="17">
        <v>1146</v>
      </c>
      <c r="D2653" s="16">
        <v>27835</v>
      </c>
      <c r="E2653" s="18"/>
      <c r="F2653" s="18" t="s">
        <v>1165</v>
      </c>
      <c r="G2653" s="18" t="s">
        <v>8664</v>
      </c>
      <c r="H2653" s="18" t="s">
        <v>49</v>
      </c>
      <c r="I2653" s="18"/>
      <c r="J2653" s="16">
        <v>2024</v>
      </c>
      <c r="K2653" s="18" t="s">
        <v>8665</v>
      </c>
      <c r="L2653" s="16">
        <v>9785961491203</v>
      </c>
      <c r="M2653" s="18" t="s">
        <v>8666</v>
      </c>
      <c r="N2653" s="16">
        <v>80</v>
      </c>
      <c r="O2653" s="19">
        <v>0.33</v>
      </c>
      <c r="P2653" s="16">
        <v>170</v>
      </c>
      <c r="Q2653" s="16">
        <v>240</v>
      </c>
      <c r="R2653" s="16">
        <v>10</v>
      </c>
      <c r="S2653" s="18" t="s">
        <v>123</v>
      </c>
      <c r="T2653" s="18"/>
      <c r="U2653" s="17">
        <v>3000</v>
      </c>
      <c r="V2653" s="18" t="s">
        <v>77</v>
      </c>
      <c r="W2653" s="18" t="s">
        <v>184</v>
      </c>
      <c r="X2653" s="16">
        <v>10</v>
      </c>
      <c r="Y2653" s="43" t="str">
        <f>HYPERLINK("","")</f>
      </c>
      <c r="Z2653" s="18"/>
      <c r="AS2653" s="1">
        <f>IF($A2653&lt;&gt;0,1,0)</f>
        <v>0</v>
      </c>
      <c r="AT2653" s="1">
        <f>$A2653*$B2653</f>
        <v>0</v>
      </c>
      <c r="AU2653" s="1">
        <f>$A2653*$O2653</f>
        <v>0</v>
      </c>
      <c r="AV2653" s="1">
        <f>IF($R2653=0,0,INT($A2653/$R2653))</f>
        <v>0</v>
      </c>
      <c r="AW2653" s="1">
        <f>$A2653-$AV2653*$R2653</f>
        <v>0</v>
      </c>
    </row>
    <row r="2654" ht="24.95" customHeight="1" outlineLevel="3" s="1" customFormat="1">
      <c r="A2654" s="15"/>
      <c r="B2654" s="16">
        <v>400</v>
      </c>
      <c r="C2654" s="16">
        <v>640</v>
      </c>
      <c r="D2654" s="16">
        <v>30063</v>
      </c>
      <c r="E2654" s="18"/>
      <c r="F2654" s="18" t="s">
        <v>8667</v>
      </c>
      <c r="G2654" s="18" t="s">
        <v>8668</v>
      </c>
      <c r="H2654" s="18" t="s">
        <v>49</v>
      </c>
      <c r="I2654" s="18" t="s">
        <v>74</v>
      </c>
      <c r="J2654" s="16">
        <v>2026</v>
      </c>
      <c r="K2654" s="18" t="s">
        <v>8669</v>
      </c>
      <c r="L2654" s="16">
        <v>9785961494709</v>
      </c>
      <c r="M2654" s="18" t="s">
        <v>8670</v>
      </c>
      <c r="N2654" s="16">
        <v>56</v>
      </c>
      <c r="O2654" s="19">
        <v>0.24</v>
      </c>
      <c r="P2654" s="16">
        <v>210</v>
      </c>
      <c r="Q2654" s="16">
        <v>300</v>
      </c>
      <c r="R2654" s="16">
        <v>20</v>
      </c>
      <c r="S2654" s="18" t="s">
        <v>328</v>
      </c>
      <c r="T2654" s="18" t="s">
        <v>8671</v>
      </c>
      <c r="U2654" s="17">
        <v>3000</v>
      </c>
      <c r="V2654" s="18" t="s">
        <v>44</v>
      </c>
      <c r="W2654" s="18" t="s">
        <v>184</v>
      </c>
      <c r="X2654" s="16">
        <v>10</v>
      </c>
      <c r="Y2654" s="18" t="s">
        <v>8672</v>
      </c>
      <c r="Z2654" s="18"/>
      <c r="AS2654" s="1">
        <f>IF($A2654&lt;&gt;0,1,0)</f>
        <v>0</v>
      </c>
      <c r="AT2654" s="1">
        <f>$A2654*$B2654</f>
        <v>0</v>
      </c>
      <c r="AU2654" s="1">
        <f>$A2654*$O2654</f>
        <v>0</v>
      </c>
      <c r="AV2654" s="1">
        <f>IF($R2654=0,0,INT($A2654/$R2654))</f>
        <v>0</v>
      </c>
      <c r="AW2654" s="1">
        <f>$A2654-$AV2654*$R2654</f>
        <v>0</v>
      </c>
    </row>
    <row r="2655" ht="24.95" customHeight="1" outlineLevel="3" s="1" customFormat="1">
      <c r="A2655" s="15"/>
      <c r="B2655" s="16">
        <v>400</v>
      </c>
      <c r="C2655" s="16">
        <v>640</v>
      </c>
      <c r="D2655" s="16">
        <v>29824</v>
      </c>
      <c r="E2655" s="18"/>
      <c r="F2655" s="18" t="s">
        <v>8673</v>
      </c>
      <c r="G2655" s="18" t="s">
        <v>8674</v>
      </c>
      <c r="H2655" s="18" t="s">
        <v>49</v>
      </c>
      <c r="I2655" s="18" t="s">
        <v>74</v>
      </c>
      <c r="J2655" s="16">
        <v>2026</v>
      </c>
      <c r="K2655" s="18" t="s">
        <v>8675</v>
      </c>
      <c r="L2655" s="16">
        <v>9785961494020</v>
      </c>
      <c r="M2655" s="18" t="s">
        <v>8676</v>
      </c>
      <c r="N2655" s="16">
        <v>56</v>
      </c>
      <c r="O2655" s="19">
        <v>0.24</v>
      </c>
      <c r="P2655" s="16">
        <v>210</v>
      </c>
      <c r="Q2655" s="16">
        <v>300</v>
      </c>
      <c r="R2655" s="16">
        <v>20</v>
      </c>
      <c r="S2655" s="18" t="s">
        <v>83</v>
      </c>
      <c r="T2655" s="18" t="s">
        <v>8671</v>
      </c>
      <c r="U2655" s="17">
        <v>3000</v>
      </c>
      <c r="V2655" s="18" t="s">
        <v>44</v>
      </c>
      <c r="W2655" s="18" t="s">
        <v>184</v>
      </c>
      <c r="X2655" s="16">
        <v>10</v>
      </c>
      <c r="Y2655" s="18" t="s">
        <v>8672</v>
      </c>
      <c r="Z2655" s="18"/>
      <c r="AS2655" s="1">
        <f>IF($A2655&lt;&gt;0,1,0)</f>
        <v>0</v>
      </c>
      <c r="AT2655" s="1">
        <f>$A2655*$B2655</f>
        <v>0</v>
      </c>
      <c r="AU2655" s="1">
        <f>$A2655*$O2655</f>
        <v>0</v>
      </c>
      <c r="AV2655" s="1">
        <f>IF($R2655=0,0,INT($A2655/$R2655))</f>
        <v>0</v>
      </c>
      <c r="AW2655" s="1">
        <f>$A2655-$AV2655*$R2655</f>
        <v>0</v>
      </c>
    </row>
    <row r="2656" ht="24.95" customHeight="1" outlineLevel="3" s="1" customFormat="1">
      <c r="A2656" s="15"/>
      <c r="B2656" s="16">
        <v>540</v>
      </c>
      <c r="C2656" s="16">
        <v>837</v>
      </c>
      <c r="D2656" s="16">
        <v>30739</v>
      </c>
      <c r="E2656" s="18"/>
      <c r="F2656" s="18" t="s">
        <v>8463</v>
      </c>
      <c r="G2656" s="18" t="s">
        <v>8677</v>
      </c>
      <c r="H2656" s="18" t="s">
        <v>49</v>
      </c>
      <c r="I2656" s="18"/>
      <c r="J2656" s="16">
        <v>2024</v>
      </c>
      <c r="K2656" s="18" t="s">
        <v>8678</v>
      </c>
      <c r="L2656" s="16">
        <v>9785961496376</v>
      </c>
      <c r="M2656" s="18" t="s">
        <v>8679</v>
      </c>
      <c r="N2656" s="16">
        <v>88</v>
      </c>
      <c r="O2656" s="19">
        <v>0.29</v>
      </c>
      <c r="P2656" s="16">
        <v>200</v>
      </c>
      <c r="Q2656" s="16">
        <v>250</v>
      </c>
      <c r="R2656" s="16">
        <v>16</v>
      </c>
      <c r="S2656" s="18" t="s">
        <v>328</v>
      </c>
      <c r="T2656" s="18" t="s">
        <v>8680</v>
      </c>
      <c r="U2656" s="17">
        <v>2000</v>
      </c>
      <c r="V2656" s="18" t="s">
        <v>44</v>
      </c>
      <c r="W2656" s="18" t="s">
        <v>55</v>
      </c>
      <c r="X2656" s="16">
        <v>10</v>
      </c>
      <c r="Y2656" s="18" t="s">
        <v>8681</v>
      </c>
      <c r="Z2656" s="18"/>
      <c r="AS2656" s="1">
        <f>IF($A2656&lt;&gt;0,1,0)</f>
        <v>0</v>
      </c>
      <c r="AT2656" s="1">
        <f>$A2656*$B2656</f>
        <v>0</v>
      </c>
      <c r="AU2656" s="1">
        <f>$A2656*$O2656</f>
        <v>0</v>
      </c>
      <c r="AV2656" s="1">
        <f>IF($R2656=0,0,INT($A2656/$R2656))</f>
        <v>0</v>
      </c>
      <c r="AW2656" s="1">
        <f>$A2656-$AV2656*$R2656</f>
        <v>0</v>
      </c>
    </row>
    <row r="2657" ht="21.95" customHeight="1" outlineLevel="3" s="1" customFormat="1">
      <c r="A2657" s="15"/>
      <c r="B2657" s="16">
        <v>690</v>
      </c>
      <c r="C2657" s="17">
        <v>1035</v>
      </c>
      <c r="D2657" s="16">
        <v>29163</v>
      </c>
      <c r="E2657" s="18"/>
      <c r="F2657" s="18" t="s">
        <v>8682</v>
      </c>
      <c r="G2657" s="18" t="s">
        <v>8683</v>
      </c>
      <c r="H2657" s="18" t="s">
        <v>49</v>
      </c>
      <c r="I2657" s="18"/>
      <c r="J2657" s="16">
        <v>2026</v>
      </c>
      <c r="K2657" s="18" t="s">
        <v>8684</v>
      </c>
      <c r="L2657" s="16">
        <v>9785961491692</v>
      </c>
      <c r="M2657" s="18" t="s">
        <v>8685</v>
      </c>
      <c r="N2657" s="16">
        <v>56</v>
      </c>
      <c r="O2657" s="19">
        <v>0.3</v>
      </c>
      <c r="P2657" s="16">
        <v>170</v>
      </c>
      <c r="Q2657" s="16">
        <v>240</v>
      </c>
      <c r="R2657" s="16">
        <v>16</v>
      </c>
      <c r="S2657" s="18" t="s">
        <v>123</v>
      </c>
      <c r="T2657" s="18"/>
      <c r="U2657" s="17">
        <v>2000</v>
      </c>
      <c r="V2657" s="18" t="s">
        <v>77</v>
      </c>
      <c r="W2657" s="18" t="s">
        <v>55</v>
      </c>
      <c r="X2657" s="16">
        <v>10</v>
      </c>
      <c r="Y2657" s="43" t="str">
        <f>HYPERLINK("","")</f>
      </c>
      <c r="Z2657" s="18"/>
      <c r="AS2657" s="1">
        <f>IF($A2657&lt;&gt;0,1,0)</f>
        <v>0</v>
      </c>
      <c r="AT2657" s="1">
        <f>$A2657*$B2657</f>
        <v>0</v>
      </c>
      <c r="AU2657" s="1">
        <f>$A2657*$O2657</f>
        <v>0</v>
      </c>
      <c r="AV2657" s="1">
        <f>IF($R2657=0,0,INT($A2657/$R2657))</f>
        <v>0</v>
      </c>
      <c r="AW2657" s="1">
        <f>$A2657-$AV2657*$R2657</f>
        <v>0</v>
      </c>
    </row>
    <row r="2658" ht="24.95" customHeight="1" outlineLevel="3" s="1" customFormat="1">
      <c r="A2658" s="15"/>
      <c r="B2658" s="16">
        <v>400</v>
      </c>
      <c r="C2658" s="16">
        <v>640</v>
      </c>
      <c r="D2658" s="16">
        <v>30061</v>
      </c>
      <c r="E2658" s="18"/>
      <c r="F2658" s="18" t="s">
        <v>8667</v>
      </c>
      <c r="G2658" s="18" t="s">
        <v>8686</v>
      </c>
      <c r="H2658" s="18" t="s">
        <v>49</v>
      </c>
      <c r="I2658" s="18" t="s">
        <v>74</v>
      </c>
      <c r="J2658" s="16">
        <v>2026</v>
      </c>
      <c r="K2658" s="18" t="s">
        <v>8687</v>
      </c>
      <c r="L2658" s="16">
        <v>9785961494686</v>
      </c>
      <c r="M2658" s="18" t="s">
        <v>8688</v>
      </c>
      <c r="N2658" s="16">
        <v>56</v>
      </c>
      <c r="O2658" s="19">
        <v>0.24</v>
      </c>
      <c r="P2658" s="16">
        <v>210</v>
      </c>
      <c r="Q2658" s="16">
        <v>300</v>
      </c>
      <c r="R2658" s="16">
        <v>20</v>
      </c>
      <c r="S2658" s="18" t="s">
        <v>328</v>
      </c>
      <c r="T2658" s="18" t="s">
        <v>8671</v>
      </c>
      <c r="U2658" s="17">
        <v>3000</v>
      </c>
      <c r="V2658" s="18" t="s">
        <v>44</v>
      </c>
      <c r="W2658" s="18" t="s">
        <v>184</v>
      </c>
      <c r="X2658" s="16">
        <v>10</v>
      </c>
      <c r="Y2658" s="18" t="s">
        <v>8672</v>
      </c>
      <c r="Z2658" s="18"/>
      <c r="AS2658" s="1">
        <f>IF($A2658&lt;&gt;0,1,0)</f>
        <v>0</v>
      </c>
      <c r="AT2658" s="1">
        <f>$A2658*$B2658</f>
        <v>0</v>
      </c>
      <c r="AU2658" s="1">
        <f>$A2658*$O2658</f>
        <v>0</v>
      </c>
      <c r="AV2658" s="1">
        <f>IF($R2658=0,0,INT($A2658/$R2658))</f>
        <v>0</v>
      </c>
      <c r="AW2658" s="1">
        <f>$A2658-$AV2658*$R2658</f>
        <v>0</v>
      </c>
    </row>
    <row r="2659" ht="24.95" customHeight="1" outlineLevel="3" s="1" customFormat="1">
      <c r="A2659" s="15"/>
      <c r="B2659" s="16">
        <v>540</v>
      </c>
      <c r="C2659" s="16">
        <v>837</v>
      </c>
      <c r="D2659" s="16">
        <v>29503</v>
      </c>
      <c r="E2659" s="18"/>
      <c r="F2659" s="18" t="s">
        <v>8463</v>
      </c>
      <c r="G2659" s="18" t="s">
        <v>8689</v>
      </c>
      <c r="H2659" s="18" t="s">
        <v>49</v>
      </c>
      <c r="I2659" s="18"/>
      <c r="J2659" s="16">
        <v>2024</v>
      </c>
      <c r="K2659" s="18" t="s">
        <v>8690</v>
      </c>
      <c r="L2659" s="16">
        <v>9785961492873</v>
      </c>
      <c r="M2659" s="18" t="s">
        <v>8691</v>
      </c>
      <c r="N2659" s="16">
        <v>96</v>
      </c>
      <c r="O2659" s="19">
        <v>0.27</v>
      </c>
      <c r="P2659" s="16">
        <v>200</v>
      </c>
      <c r="Q2659" s="16">
        <v>260</v>
      </c>
      <c r="R2659" s="16">
        <v>20</v>
      </c>
      <c r="S2659" s="18" t="s">
        <v>328</v>
      </c>
      <c r="T2659" s="18" t="s">
        <v>8680</v>
      </c>
      <c r="U2659" s="17">
        <v>2000</v>
      </c>
      <c r="V2659" s="18" t="s">
        <v>44</v>
      </c>
      <c r="W2659" s="18" t="s">
        <v>55</v>
      </c>
      <c r="X2659" s="16">
        <v>10</v>
      </c>
      <c r="Y2659" s="18" t="s">
        <v>8681</v>
      </c>
      <c r="Z2659" s="18"/>
      <c r="AS2659" s="1">
        <f>IF($A2659&lt;&gt;0,1,0)</f>
        <v>0</v>
      </c>
      <c r="AT2659" s="1">
        <f>$A2659*$B2659</f>
        <v>0</v>
      </c>
      <c r="AU2659" s="1">
        <f>$A2659*$O2659</f>
        <v>0</v>
      </c>
      <c r="AV2659" s="1">
        <f>IF($R2659=0,0,INT($A2659/$R2659))</f>
        <v>0</v>
      </c>
      <c r="AW2659" s="1">
        <f>$A2659-$AV2659*$R2659</f>
        <v>0</v>
      </c>
    </row>
    <row r="2660" ht="24.95" customHeight="1" outlineLevel="3" s="1" customFormat="1">
      <c r="A2660" s="15"/>
      <c r="B2660" s="16">
        <v>640</v>
      </c>
      <c r="C2660" s="16">
        <v>960</v>
      </c>
      <c r="D2660" s="16">
        <v>29023</v>
      </c>
      <c r="E2660" s="18"/>
      <c r="F2660" s="18" t="s">
        <v>8682</v>
      </c>
      <c r="G2660" s="18" t="s">
        <v>8692</v>
      </c>
      <c r="H2660" s="18" t="s">
        <v>49</v>
      </c>
      <c r="I2660" s="18"/>
      <c r="J2660" s="16">
        <v>2026</v>
      </c>
      <c r="K2660" s="18" t="s">
        <v>8693</v>
      </c>
      <c r="L2660" s="16">
        <v>9785961491081</v>
      </c>
      <c r="M2660" s="18" t="s">
        <v>8694</v>
      </c>
      <c r="N2660" s="16">
        <v>56</v>
      </c>
      <c r="O2660" s="19">
        <v>0.3</v>
      </c>
      <c r="P2660" s="16">
        <v>170</v>
      </c>
      <c r="Q2660" s="16">
        <v>240</v>
      </c>
      <c r="R2660" s="16">
        <v>16</v>
      </c>
      <c r="S2660" s="18" t="s">
        <v>123</v>
      </c>
      <c r="T2660" s="18"/>
      <c r="U2660" s="17">
        <v>2000</v>
      </c>
      <c r="V2660" s="18" t="s">
        <v>77</v>
      </c>
      <c r="W2660" s="18" t="s">
        <v>55</v>
      </c>
      <c r="X2660" s="16">
        <v>10</v>
      </c>
      <c r="Y2660" s="18" t="s">
        <v>8695</v>
      </c>
      <c r="Z2660" s="18" t="s">
        <v>744</v>
      </c>
      <c r="AS2660" s="1">
        <f>IF($A2660&lt;&gt;0,1,0)</f>
        <v>0</v>
      </c>
      <c r="AT2660" s="1">
        <f>$A2660*$B2660</f>
        <v>0</v>
      </c>
      <c r="AU2660" s="1">
        <f>$A2660*$O2660</f>
        <v>0</v>
      </c>
      <c r="AV2660" s="1">
        <f>IF($R2660=0,0,INT($A2660/$R2660))</f>
        <v>0</v>
      </c>
      <c r="AW2660" s="1">
        <f>$A2660-$AV2660*$R2660</f>
        <v>0</v>
      </c>
    </row>
    <row r="2661" ht="24.95" customHeight="1" outlineLevel="3" s="1" customFormat="1">
      <c r="A2661" s="15"/>
      <c r="B2661" s="16">
        <v>370</v>
      </c>
      <c r="C2661" s="16">
        <v>592</v>
      </c>
      <c r="D2661" s="16">
        <v>28619</v>
      </c>
      <c r="E2661" s="18"/>
      <c r="F2661" s="18" t="s">
        <v>8463</v>
      </c>
      <c r="G2661" s="18" t="s">
        <v>8696</v>
      </c>
      <c r="H2661" s="18" t="s">
        <v>49</v>
      </c>
      <c r="I2661" s="18"/>
      <c r="J2661" s="16">
        <v>2024</v>
      </c>
      <c r="K2661" s="18" t="s">
        <v>8697</v>
      </c>
      <c r="L2661" s="16">
        <v>9785961489514</v>
      </c>
      <c r="M2661" s="18" t="s">
        <v>8698</v>
      </c>
      <c r="N2661" s="16">
        <v>56</v>
      </c>
      <c r="O2661" s="19">
        <v>0.19</v>
      </c>
      <c r="P2661" s="16">
        <v>200</v>
      </c>
      <c r="Q2661" s="16">
        <v>260</v>
      </c>
      <c r="R2661" s="16">
        <v>20</v>
      </c>
      <c r="S2661" s="18" t="s">
        <v>83</v>
      </c>
      <c r="T2661" s="18" t="s">
        <v>8680</v>
      </c>
      <c r="U2661" s="17">
        <v>3000</v>
      </c>
      <c r="V2661" s="18" t="s">
        <v>44</v>
      </c>
      <c r="W2661" s="18" t="s">
        <v>55</v>
      </c>
      <c r="X2661" s="16">
        <v>10</v>
      </c>
      <c r="Y2661" s="18" t="s">
        <v>8681</v>
      </c>
      <c r="Z2661" s="18"/>
      <c r="AS2661" s="1">
        <f>IF($A2661&lt;&gt;0,1,0)</f>
        <v>0</v>
      </c>
      <c r="AT2661" s="1">
        <f>$A2661*$B2661</f>
        <v>0</v>
      </c>
      <c r="AU2661" s="1">
        <f>$A2661*$O2661</f>
        <v>0</v>
      </c>
      <c r="AV2661" s="1">
        <f>IF($R2661=0,0,INT($A2661/$R2661))</f>
        <v>0</v>
      </c>
      <c r="AW2661" s="1">
        <f>$A2661-$AV2661*$R2661</f>
        <v>0</v>
      </c>
    </row>
    <row r="2662" ht="24.95" customHeight="1" outlineLevel="3" s="1" customFormat="1">
      <c r="A2662" s="15"/>
      <c r="B2662" s="16">
        <v>550</v>
      </c>
      <c r="C2662" s="16">
        <v>852</v>
      </c>
      <c r="D2662" s="16">
        <v>29248</v>
      </c>
      <c r="E2662" s="18"/>
      <c r="F2662" s="18" t="s">
        <v>8699</v>
      </c>
      <c r="G2662" s="18" t="s">
        <v>8700</v>
      </c>
      <c r="H2662" s="18" t="s">
        <v>49</v>
      </c>
      <c r="I2662" s="18"/>
      <c r="J2662" s="16">
        <v>2023</v>
      </c>
      <c r="K2662" s="18" t="s">
        <v>8701</v>
      </c>
      <c r="L2662" s="16">
        <v>9785961491883</v>
      </c>
      <c r="M2662" s="18" t="s">
        <v>8702</v>
      </c>
      <c r="N2662" s="16">
        <v>176</v>
      </c>
      <c r="O2662" s="19">
        <v>0.34</v>
      </c>
      <c r="P2662" s="16">
        <v>170</v>
      </c>
      <c r="Q2662" s="16">
        <v>220</v>
      </c>
      <c r="R2662" s="16">
        <v>12</v>
      </c>
      <c r="S2662" s="18" t="s">
        <v>52</v>
      </c>
      <c r="T2662" s="18" t="s">
        <v>8703</v>
      </c>
      <c r="U2662" s="17">
        <v>2000</v>
      </c>
      <c r="V2662" s="18" t="s">
        <v>44</v>
      </c>
      <c r="W2662" s="18" t="s">
        <v>91</v>
      </c>
      <c r="X2662" s="16">
        <v>10</v>
      </c>
      <c r="Y2662" s="18" t="s">
        <v>528</v>
      </c>
      <c r="Z2662" s="18"/>
      <c r="AS2662" s="1">
        <f>IF($A2662&lt;&gt;0,1,0)</f>
        <v>0</v>
      </c>
      <c r="AT2662" s="1">
        <f>$A2662*$B2662</f>
        <v>0</v>
      </c>
      <c r="AU2662" s="1">
        <f>$A2662*$O2662</f>
        <v>0</v>
      </c>
      <c r="AV2662" s="1">
        <f>IF($R2662=0,0,INT($A2662/$R2662))</f>
        <v>0</v>
      </c>
      <c r="AW2662" s="1">
        <f>$A2662-$AV2662*$R2662</f>
        <v>0</v>
      </c>
    </row>
    <row r="2663" ht="24.95" customHeight="1" outlineLevel="3" s="1" customFormat="1">
      <c r="A2663" s="15"/>
      <c r="B2663" s="16">
        <v>750</v>
      </c>
      <c r="C2663" s="17">
        <v>1088</v>
      </c>
      <c r="D2663" s="16">
        <v>30427</v>
      </c>
      <c r="E2663" s="18"/>
      <c r="F2663" s="18" t="s">
        <v>8699</v>
      </c>
      <c r="G2663" s="18" t="s">
        <v>8700</v>
      </c>
      <c r="H2663" s="18" t="s">
        <v>49</v>
      </c>
      <c r="I2663" s="18"/>
      <c r="J2663" s="16">
        <v>2024</v>
      </c>
      <c r="K2663" s="18" t="s">
        <v>8704</v>
      </c>
      <c r="L2663" s="16">
        <v>9785961495461</v>
      </c>
      <c r="M2663" s="18" t="s">
        <v>8705</v>
      </c>
      <c r="N2663" s="16">
        <v>176</v>
      </c>
      <c r="O2663" s="19">
        <v>0.33</v>
      </c>
      <c r="P2663" s="16">
        <v>160</v>
      </c>
      <c r="Q2663" s="16">
        <v>220</v>
      </c>
      <c r="R2663" s="16">
        <v>12</v>
      </c>
      <c r="S2663" s="18" t="s">
        <v>52</v>
      </c>
      <c r="T2663" s="18" t="s">
        <v>8703</v>
      </c>
      <c r="U2663" s="17">
        <v>2000</v>
      </c>
      <c r="V2663" s="18" t="s">
        <v>44</v>
      </c>
      <c r="W2663" s="18" t="s">
        <v>91</v>
      </c>
      <c r="X2663" s="16">
        <v>10</v>
      </c>
      <c r="Y2663" s="18" t="s">
        <v>528</v>
      </c>
      <c r="Z2663" s="18"/>
      <c r="AS2663" s="1">
        <f>IF($A2663&lt;&gt;0,1,0)</f>
        <v>0</v>
      </c>
      <c r="AT2663" s="1">
        <f>$A2663*$B2663</f>
        <v>0</v>
      </c>
      <c r="AU2663" s="1">
        <f>$A2663*$O2663</f>
        <v>0</v>
      </c>
      <c r="AV2663" s="1">
        <f>IF($R2663=0,0,INT($A2663/$R2663))</f>
        <v>0</v>
      </c>
      <c r="AW2663" s="1">
        <f>$A2663-$AV2663*$R2663</f>
        <v>0</v>
      </c>
    </row>
    <row r="2664" ht="24.95" customHeight="1" outlineLevel="3" s="1" customFormat="1">
      <c r="A2664" s="15"/>
      <c r="B2664" s="16">
        <v>790</v>
      </c>
      <c r="C2664" s="17">
        <v>1146</v>
      </c>
      <c r="D2664" s="16">
        <v>26329</v>
      </c>
      <c r="E2664" s="18"/>
      <c r="F2664" s="18" t="s">
        <v>8706</v>
      </c>
      <c r="G2664" s="18" t="s">
        <v>8707</v>
      </c>
      <c r="H2664" s="18" t="s">
        <v>49</v>
      </c>
      <c r="I2664" s="18"/>
      <c r="J2664" s="16">
        <v>2026</v>
      </c>
      <c r="K2664" s="18" t="s">
        <v>8708</v>
      </c>
      <c r="L2664" s="16">
        <v>9785961481259</v>
      </c>
      <c r="M2664" s="18" t="s">
        <v>8709</v>
      </c>
      <c r="N2664" s="16">
        <v>152</v>
      </c>
      <c r="O2664" s="19">
        <v>0.29</v>
      </c>
      <c r="P2664" s="16">
        <v>170</v>
      </c>
      <c r="Q2664" s="16">
        <v>220</v>
      </c>
      <c r="R2664" s="16">
        <v>14</v>
      </c>
      <c r="S2664" s="18" t="s">
        <v>52</v>
      </c>
      <c r="T2664" s="18" t="s">
        <v>8703</v>
      </c>
      <c r="U2664" s="17">
        <v>3000</v>
      </c>
      <c r="V2664" s="18" t="s">
        <v>44</v>
      </c>
      <c r="W2664" s="18" t="s">
        <v>91</v>
      </c>
      <c r="X2664" s="16">
        <v>10</v>
      </c>
      <c r="Y2664" s="18" t="s">
        <v>528</v>
      </c>
      <c r="Z2664" s="18"/>
      <c r="AS2664" s="1">
        <f>IF($A2664&lt;&gt;0,1,0)</f>
        <v>0</v>
      </c>
      <c r="AT2664" s="1">
        <f>$A2664*$B2664</f>
        <v>0</v>
      </c>
      <c r="AU2664" s="1">
        <f>$A2664*$O2664</f>
        <v>0</v>
      </c>
      <c r="AV2664" s="1">
        <f>IF($R2664=0,0,INT($A2664/$R2664))</f>
        <v>0</v>
      </c>
      <c r="AW2664" s="1">
        <f>$A2664-$AV2664*$R2664</f>
        <v>0</v>
      </c>
    </row>
    <row r="2665" ht="24.95" customHeight="1" outlineLevel="3" s="1" customFormat="1">
      <c r="A2665" s="15"/>
      <c r="B2665" s="16">
        <v>790</v>
      </c>
      <c r="C2665" s="17">
        <v>1146</v>
      </c>
      <c r="D2665" s="16">
        <v>27741</v>
      </c>
      <c r="E2665" s="18"/>
      <c r="F2665" s="18" t="s">
        <v>8710</v>
      </c>
      <c r="G2665" s="18" t="s">
        <v>8711</v>
      </c>
      <c r="H2665" s="18" t="s">
        <v>49</v>
      </c>
      <c r="I2665" s="18"/>
      <c r="J2665" s="16">
        <v>2026</v>
      </c>
      <c r="K2665" s="18" t="s">
        <v>8712</v>
      </c>
      <c r="L2665" s="16">
        <v>9785961486209</v>
      </c>
      <c r="M2665" s="18" t="s">
        <v>8713</v>
      </c>
      <c r="N2665" s="16">
        <v>216</v>
      </c>
      <c r="O2665" s="19">
        <v>0.41</v>
      </c>
      <c r="P2665" s="16">
        <v>170</v>
      </c>
      <c r="Q2665" s="16">
        <v>220</v>
      </c>
      <c r="R2665" s="16">
        <v>10</v>
      </c>
      <c r="S2665" s="18" t="s">
        <v>52</v>
      </c>
      <c r="T2665" s="18" t="s">
        <v>8703</v>
      </c>
      <c r="U2665" s="17">
        <v>2000</v>
      </c>
      <c r="V2665" s="18" t="s">
        <v>44</v>
      </c>
      <c r="W2665" s="18" t="s">
        <v>91</v>
      </c>
      <c r="X2665" s="16">
        <v>10</v>
      </c>
      <c r="Y2665" s="18" t="s">
        <v>528</v>
      </c>
      <c r="Z2665" s="18"/>
      <c r="AS2665" s="1">
        <f>IF($A2665&lt;&gt;0,1,0)</f>
        <v>0</v>
      </c>
      <c r="AT2665" s="1">
        <f>$A2665*$B2665</f>
        <v>0</v>
      </c>
      <c r="AU2665" s="1">
        <f>$A2665*$O2665</f>
        <v>0</v>
      </c>
      <c r="AV2665" s="1">
        <f>IF($R2665=0,0,INT($A2665/$R2665))</f>
        <v>0</v>
      </c>
      <c r="AW2665" s="1">
        <f>$A2665-$AV2665*$R2665</f>
        <v>0</v>
      </c>
    </row>
    <row r="2666" ht="24.95" customHeight="1" outlineLevel="3" s="1" customFormat="1">
      <c r="A2666" s="15"/>
      <c r="B2666" s="16">
        <v>790</v>
      </c>
      <c r="C2666" s="17">
        <v>1146</v>
      </c>
      <c r="D2666" s="16">
        <v>26508</v>
      </c>
      <c r="E2666" s="18"/>
      <c r="F2666" s="18" t="s">
        <v>8714</v>
      </c>
      <c r="G2666" s="18" t="s">
        <v>8715</v>
      </c>
      <c r="H2666" s="18" t="s">
        <v>49</v>
      </c>
      <c r="I2666" s="18"/>
      <c r="J2666" s="16">
        <v>2026</v>
      </c>
      <c r="K2666" s="18" t="s">
        <v>8716</v>
      </c>
      <c r="L2666" s="16">
        <v>9785961481334</v>
      </c>
      <c r="M2666" s="18" t="s">
        <v>8717</v>
      </c>
      <c r="N2666" s="16">
        <v>192</v>
      </c>
      <c r="O2666" s="19">
        <v>0.36</v>
      </c>
      <c r="P2666" s="16">
        <v>170</v>
      </c>
      <c r="Q2666" s="16">
        <v>220</v>
      </c>
      <c r="R2666" s="16">
        <v>10</v>
      </c>
      <c r="S2666" s="18" t="s">
        <v>52</v>
      </c>
      <c r="T2666" s="18" t="s">
        <v>8703</v>
      </c>
      <c r="U2666" s="17">
        <v>3000</v>
      </c>
      <c r="V2666" s="18" t="s">
        <v>44</v>
      </c>
      <c r="W2666" s="18" t="s">
        <v>91</v>
      </c>
      <c r="X2666" s="16">
        <v>10</v>
      </c>
      <c r="Y2666" s="18" t="s">
        <v>528</v>
      </c>
      <c r="Z2666" s="18"/>
      <c r="AS2666" s="1">
        <f>IF($A2666&lt;&gt;0,1,0)</f>
        <v>0</v>
      </c>
      <c r="AT2666" s="1">
        <f>$A2666*$B2666</f>
        <v>0</v>
      </c>
      <c r="AU2666" s="1">
        <f>$A2666*$O2666</f>
        <v>0</v>
      </c>
      <c r="AV2666" s="1">
        <f>IF($R2666=0,0,INT($A2666/$R2666))</f>
        <v>0</v>
      </c>
      <c r="AW2666" s="1">
        <f>$A2666-$AV2666*$R2666</f>
        <v>0</v>
      </c>
    </row>
    <row r="2667" ht="24.95" customHeight="1" outlineLevel="3" s="1" customFormat="1">
      <c r="A2667" s="15"/>
      <c r="B2667" s="16">
        <v>540</v>
      </c>
      <c r="C2667" s="16">
        <v>837</v>
      </c>
      <c r="D2667" s="16">
        <v>24040</v>
      </c>
      <c r="E2667" s="18"/>
      <c r="F2667" s="18" t="s">
        <v>8718</v>
      </c>
      <c r="G2667" s="18" t="s">
        <v>8719</v>
      </c>
      <c r="H2667" s="18" t="s">
        <v>49</v>
      </c>
      <c r="I2667" s="18"/>
      <c r="J2667" s="16">
        <v>2022</v>
      </c>
      <c r="K2667" s="18" t="s">
        <v>8720</v>
      </c>
      <c r="L2667" s="16">
        <v>9785961442656</v>
      </c>
      <c r="M2667" s="18" t="s">
        <v>8721</v>
      </c>
      <c r="N2667" s="16">
        <v>32</v>
      </c>
      <c r="O2667" s="19">
        <v>0.32</v>
      </c>
      <c r="P2667" s="16">
        <v>195</v>
      </c>
      <c r="Q2667" s="16">
        <v>270</v>
      </c>
      <c r="R2667" s="16">
        <v>20</v>
      </c>
      <c r="S2667" s="18" t="s">
        <v>328</v>
      </c>
      <c r="T2667" s="18" t="s">
        <v>8722</v>
      </c>
      <c r="U2667" s="17">
        <v>3000</v>
      </c>
      <c r="V2667" s="18" t="s">
        <v>77</v>
      </c>
      <c r="W2667" s="18" t="s">
        <v>184</v>
      </c>
      <c r="X2667" s="16">
        <v>10</v>
      </c>
      <c r="Y2667" s="18" t="s">
        <v>8009</v>
      </c>
      <c r="Z2667" s="18"/>
      <c r="AS2667" s="1">
        <f>IF($A2667&lt;&gt;0,1,0)</f>
        <v>0</v>
      </c>
      <c r="AT2667" s="1">
        <f>$A2667*$B2667</f>
        <v>0</v>
      </c>
      <c r="AU2667" s="1">
        <f>$A2667*$O2667</f>
        <v>0</v>
      </c>
      <c r="AV2667" s="1">
        <f>IF($R2667=0,0,INT($A2667/$R2667))</f>
        <v>0</v>
      </c>
      <c r="AW2667" s="1">
        <f>$A2667-$AV2667*$R2667</f>
        <v>0</v>
      </c>
    </row>
    <row r="2668" ht="24.95" customHeight="1" outlineLevel="3" s="1" customFormat="1">
      <c r="A2668" s="15"/>
      <c r="B2668" s="16">
        <v>540</v>
      </c>
      <c r="C2668" s="16">
        <v>837</v>
      </c>
      <c r="D2668" s="16">
        <v>24039</v>
      </c>
      <c r="E2668" s="18"/>
      <c r="F2668" s="18" t="s">
        <v>8718</v>
      </c>
      <c r="G2668" s="18" t="s">
        <v>8723</v>
      </c>
      <c r="H2668" s="18" t="s">
        <v>49</v>
      </c>
      <c r="I2668" s="18"/>
      <c r="J2668" s="16">
        <v>2022</v>
      </c>
      <c r="K2668" s="18" t="s">
        <v>8724</v>
      </c>
      <c r="L2668" s="16">
        <v>9785961475333</v>
      </c>
      <c r="M2668" s="18" t="s">
        <v>8725</v>
      </c>
      <c r="N2668" s="16">
        <v>32</v>
      </c>
      <c r="O2668" s="19">
        <v>0.32</v>
      </c>
      <c r="P2668" s="16">
        <v>195</v>
      </c>
      <c r="Q2668" s="16">
        <v>270</v>
      </c>
      <c r="R2668" s="16">
        <v>18</v>
      </c>
      <c r="S2668" s="18" t="s">
        <v>328</v>
      </c>
      <c r="T2668" s="18" t="s">
        <v>8722</v>
      </c>
      <c r="U2668" s="17">
        <v>3000</v>
      </c>
      <c r="V2668" s="18" t="s">
        <v>77</v>
      </c>
      <c r="W2668" s="18" t="s">
        <v>184</v>
      </c>
      <c r="X2668" s="16">
        <v>10</v>
      </c>
      <c r="Y2668" s="18" t="s">
        <v>8009</v>
      </c>
      <c r="Z2668" s="18"/>
      <c r="AS2668" s="1">
        <f>IF($A2668&lt;&gt;0,1,0)</f>
        <v>0</v>
      </c>
      <c r="AT2668" s="1">
        <f>$A2668*$B2668</f>
        <v>0</v>
      </c>
      <c r="AU2668" s="1">
        <f>$A2668*$O2668</f>
        <v>0</v>
      </c>
      <c r="AV2668" s="1">
        <f>IF($R2668=0,0,INT($A2668/$R2668))</f>
        <v>0</v>
      </c>
      <c r="AW2668" s="1">
        <f>$A2668-$AV2668*$R2668</f>
        <v>0</v>
      </c>
    </row>
    <row r="2669" ht="24.95" customHeight="1" outlineLevel="3" s="1" customFormat="1">
      <c r="A2669" s="15"/>
      <c r="B2669" s="16">
        <v>540</v>
      </c>
      <c r="C2669" s="16">
        <v>837</v>
      </c>
      <c r="D2669" s="16">
        <v>24038</v>
      </c>
      <c r="E2669" s="18"/>
      <c r="F2669" s="18" t="s">
        <v>8718</v>
      </c>
      <c r="G2669" s="18" t="s">
        <v>8726</v>
      </c>
      <c r="H2669" s="18" t="s">
        <v>49</v>
      </c>
      <c r="I2669" s="18"/>
      <c r="J2669" s="16">
        <v>2022</v>
      </c>
      <c r="K2669" s="18" t="s">
        <v>8727</v>
      </c>
      <c r="L2669" s="16">
        <v>9785961474626</v>
      </c>
      <c r="M2669" s="18" t="s">
        <v>8728</v>
      </c>
      <c r="N2669" s="16">
        <v>32</v>
      </c>
      <c r="O2669" s="19">
        <v>0.28</v>
      </c>
      <c r="P2669" s="16">
        <v>195</v>
      </c>
      <c r="Q2669" s="16">
        <v>270</v>
      </c>
      <c r="R2669" s="16">
        <v>20</v>
      </c>
      <c r="S2669" s="18" t="s">
        <v>328</v>
      </c>
      <c r="T2669" s="18" t="s">
        <v>8722</v>
      </c>
      <c r="U2669" s="17">
        <v>3000</v>
      </c>
      <c r="V2669" s="18" t="s">
        <v>77</v>
      </c>
      <c r="W2669" s="18" t="s">
        <v>184</v>
      </c>
      <c r="X2669" s="16">
        <v>10</v>
      </c>
      <c r="Y2669" s="18" t="s">
        <v>8009</v>
      </c>
      <c r="Z2669" s="18"/>
      <c r="AS2669" s="1">
        <f>IF($A2669&lt;&gt;0,1,0)</f>
        <v>0</v>
      </c>
      <c r="AT2669" s="1">
        <f>$A2669*$B2669</f>
        <v>0</v>
      </c>
      <c r="AU2669" s="1">
        <f>$A2669*$O2669</f>
        <v>0</v>
      </c>
      <c r="AV2669" s="1">
        <f>IF($R2669=0,0,INT($A2669/$R2669))</f>
        <v>0</v>
      </c>
      <c r="AW2669" s="1">
        <f>$A2669-$AV2669*$R2669</f>
        <v>0</v>
      </c>
    </row>
    <row r="2670" ht="24.95" customHeight="1" outlineLevel="3" s="1" customFormat="1">
      <c r="A2670" s="15"/>
      <c r="B2670" s="16">
        <v>540</v>
      </c>
      <c r="C2670" s="16">
        <v>837</v>
      </c>
      <c r="D2670" s="16">
        <v>33076</v>
      </c>
      <c r="E2670" s="18"/>
      <c r="F2670" s="18" t="s">
        <v>8729</v>
      </c>
      <c r="G2670" s="18" t="s">
        <v>8730</v>
      </c>
      <c r="H2670" s="18" t="s">
        <v>49</v>
      </c>
      <c r="I2670" s="18"/>
      <c r="J2670" s="16">
        <v>2026</v>
      </c>
      <c r="K2670" s="18" t="s">
        <v>8731</v>
      </c>
      <c r="L2670" s="16">
        <v>9785006303737</v>
      </c>
      <c r="M2670" s="18" t="s">
        <v>8732</v>
      </c>
      <c r="N2670" s="16">
        <v>80</v>
      </c>
      <c r="O2670" s="19">
        <v>0.43</v>
      </c>
      <c r="P2670" s="16">
        <v>210</v>
      </c>
      <c r="Q2670" s="16">
        <v>260</v>
      </c>
      <c r="R2670" s="16">
        <v>10</v>
      </c>
      <c r="S2670" s="18" t="s">
        <v>328</v>
      </c>
      <c r="T2670" s="18"/>
      <c r="U2670" s="17">
        <v>1200</v>
      </c>
      <c r="V2670" s="18" t="s">
        <v>77</v>
      </c>
      <c r="W2670" s="18" t="s">
        <v>184</v>
      </c>
      <c r="X2670" s="16">
        <v>10</v>
      </c>
      <c r="Y2670" s="18" t="s">
        <v>8733</v>
      </c>
      <c r="Z2670" s="18"/>
      <c r="AS2670" s="1">
        <f>IF($A2670&lt;&gt;0,1,0)</f>
        <v>0</v>
      </c>
      <c r="AT2670" s="1">
        <f>$A2670*$B2670</f>
        <v>0</v>
      </c>
      <c r="AU2670" s="1">
        <f>$A2670*$O2670</f>
        <v>0</v>
      </c>
      <c r="AV2670" s="1">
        <f>IF($R2670=0,0,INT($A2670/$R2670))</f>
        <v>0</v>
      </c>
      <c r="AW2670" s="1">
        <f>$A2670-$AV2670*$R2670</f>
        <v>0</v>
      </c>
    </row>
    <row r="2671" ht="24.95" customHeight="1" outlineLevel="3" s="1" customFormat="1">
      <c r="A2671" s="15"/>
      <c r="B2671" s="16">
        <v>650</v>
      </c>
      <c r="C2671" s="16">
        <v>975</v>
      </c>
      <c r="D2671" s="16">
        <v>32584</v>
      </c>
      <c r="E2671" s="18"/>
      <c r="F2671" s="18" t="s">
        <v>8734</v>
      </c>
      <c r="G2671" s="18" t="s">
        <v>8735</v>
      </c>
      <c r="H2671" s="18" t="s">
        <v>49</v>
      </c>
      <c r="I2671" s="18"/>
      <c r="J2671" s="16">
        <v>2025</v>
      </c>
      <c r="K2671" s="18" t="s">
        <v>8736</v>
      </c>
      <c r="L2671" s="16">
        <v>9785006302525</v>
      </c>
      <c r="M2671" s="18" t="s">
        <v>8737</v>
      </c>
      <c r="N2671" s="16">
        <v>96</v>
      </c>
      <c r="O2671" s="19">
        <v>0.38</v>
      </c>
      <c r="P2671" s="16">
        <v>170</v>
      </c>
      <c r="Q2671" s="16">
        <v>250</v>
      </c>
      <c r="R2671" s="16">
        <v>10</v>
      </c>
      <c r="S2671" s="18" t="s">
        <v>123</v>
      </c>
      <c r="T2671" s="18"/>
      <c r="U2671" s="17">
        <v>1200</v>
      </c>
      <c r="V2671" s="18" t="s">
        <v>77</v>
      </c>
      <c r="W2671" s="18" t="s">
        <v>184</v>
      </c>
      <c r="X2671" s="16">
        <v>10</v>
      </c>
      <c r="Y2671" s="18" t="s">
        <v>8738</v>
      </c>
      <c r="Z2671" s="18"/>
      <c r="AS2671" s="1">
        <f>IF($A2671&lt;&gt;0,1,0)</f>
        <v>0</v>
      </c>
      <c r="AT2671" s="1">
        <f>$A2671*$B2671</f>
        <v>0</v>
      </c>
      <c r="AU2671" s="1">
        <f>$A2671*$O2671</f>
        <v>0</v>
      </c>
      <c r="AV2671" s="1">
        <f>IF($R2671=0,0,INT($A2671/$R2671))</f>
        <v>0</v>
      </c>
      <c r="AW2671" s="1">
        <f>$A2671-$AV2671*$R2671</f>
        <v>0</v>
      </c>
    </row>
    <row r="2672" ht="24.95" customHeight="1" outlineLevel="3" s="1" customFormat="1">
      <c r="A2672" s="15"/>
      <c r="B2672" s="16">
        <v>300</v>
      </c>
      <c r="C2672" s="16">
        <v>480</v>
      </c>
      <c r="D2672" s="16">
        <v>33499</v>
      </c>
      <c r="E2672" s="18"/>
      <c r="F2672" s="18" t="s">
        <v>8739</v>
      </c>
      <c r="G2672" s="18" t="s">
        <v>8740</v>
      </c>
      <c r="H2672" s="18" t="s">
        <v>49</v>
      </c>
      <c r="I2672" s="18"/>
      <c r="J2672" s="16">
        <v>2026</v>
      </c>
      <c r="K2672" s="18" t="s">
        <v>8741</v>
      </c>
      <c r="L2672" s="16">
        <v>9785006304994</v>
      </c>
      <c r="M2672" s="18" t="s">
        <v>8742</v>
      </c>
      <c r="N2672" s="16">
        <v>48</v>
      </c>
      <c r="O2672" s="19">
        <v>0.16</v>
      </c>
      <c r="P2672" s="16">
        <v>210</v>
      </c>
      <c r="Q2672" s="16">
        <v>270</v>
      </c>
      <c r="R2672" s="16">
        <v>20</v>
      </c>
      <c r="S2672" s="18" t="s">
        <v>83</v>
      </c>
      <c r="T2672" s="18" t="s">
        <v>8743</v>
      </c>
      <c r="U2672" s="17">
        <v>3000</v>
      </c>
      <c r="V2672" s="18" t="s">
        <v>44</v>
      </c>
      <c r="W2672" s="18" t="s">
        <v>184</v>
      </c>
      <c r="X2672" s="16">
        <v>10</v>
      </c>
      <c r="Y2672" s="18" t="s">
        <v>8744</v>
      </c>
      <c r="Z2672" s="18"/>
      <c r="AS2672" s="1">
        <f>IF($A2672&lt;&gt;0,1,0)</f>
        <v>0</v>
      </c>
      <c r="AT2672" s="1">
        <f>$A2672*$B2672</f>
        <v>0</v>
      </c>
      <c r="AU2672" s="1">
        <f>$A2672*$O2672</f>
        <v>0</v>
      </c>
      <c r="AV2672" s="1">
        <f>IF($R2672=0,0,INT($A2672/$R2672))</f>
        <v>0</v>
      </c>
      <c r="AW2672" s="1">
        <f>$A2672-$AV2672*$R2672</f>
        <v>0</v>
      </c>
    </row>
    <row r="2673" ht="24.95" customHeight="1" outlineLevel="3" s="1" customFormat="1">
      <c r="A2673" s="15"/>
      <c r="B2673" s="16">
        <v>300</v>
      </c>
      <c r="C2673" s="16">
        <v>480</v>
      </c>
      <c r="D2673" s="16">
        <v>33497</v>
      </c>
      <c r="E2673" s="18"/>
      <c r="F2673" s="18" t="s">
        <v>8739</v>
      </c>
      <c r="G2673" s="18" t="s">
        <v>8745</v>
      </c>
      <c r="H2673" s="18" t="s">
        <v>49</v>
      </c>
      <c r="I2673" s="18"/>
      <c r="J2673" s="16">
        <v>2026</v>
      </c>
      <c r="K2673" s="18" t="s">
        <v>8746</v>
      </c>
      <c r="L2673" s="16">
        <v>9785006304970</v>
      </c>
      <c r="M2673" s="18" t="s">
        <v>8747</v>
      </c>
      <c r="N2673" s="16">
        <v>48</v>
      </c>
      <c r="O2673" s="19">
        <v>0.16</v>
      </c>
      <c r="P2673" s="16">
        <v>210</v>
      </c>
      <c r="Q2673" s="16">
        <v>270</v>
      </c>
      <c r="R2673" s="16">
        <v>20</v>
      </c>
      <c r="S2673" s="18" t="s">
        <v>83</v>
      </c>
      <c r="T2673" s="18" t="s">
        <v>8743</v>
      </c>
      <c r="U2673" s="17">
        <v>3000</v>
      </c>
      <c r="V2673" s="18" t="s">
        <v>44</v>
      </c>
      <c r="W2673" s="18" t="s">
        <v>184</v>
      </c>
      <c r="X2673" s="16">
        <v>10</v>
      </c>
      <c r="Y2673" s="18" t="s">
        <v>8744</v>
      </c>
      <c r="Z2673" s="18"/>
      <c r="AS2673" s="1">
        <f>IF($A2673&lt;&gt;0,1,0)</f>
        <v>0</v>
      </c>
      <c r="AT2673" s="1">
        <f>$A2673*$B2673</f>
        <v>0</v>
      </c>
      <c r="AU2673" s="1">
        <f>$A2673*$O2673</f>
        <v>0</v>
      </c>
      <c r="AV2673" s="1">
        <f>IF($R2673=0,0,INT($A2673/$R2673))</f>
        <v>0</v>
      </c>
      <c r="AW2673" s="1">
        <f>$A2673-$AV2673*$R2673</f>
        <v>0</v>
      </c>
    </row>
    <row r="2674" ht="24.95" customHeight="1" outlineLevel="3" s="1" customFormat="1">
      <c r="A2674" s="15"/>
      <c r="B2674" s="16">
        <v>300</v>
      </c>
      <c r="C2674" s="16">
        <v>480</v>
      </c>
      <c r="D2674" s="16">
        <v>33500</v>
      </c>
      <c r="E2674" s="18"/>
      <c r="F2674" s="18" t="s">
        <v>8739</v>
      </c>
      <c r="G2674" s="18" t="s">
        <v>8748</v>
      </c>
      <c r="H2674" s="18" t="s">
        <v>49</v>
      </c>
      <c r="I2674" s="18"/>
      <c r="J2674" s="16">
        <v>2026</v>
      </c>
      <c r="K2674" s="18" t="s">
        <v>8749</v>
      </c>
      <c r="L2674" s="16">
        <v>9785006305007</v>
      </c>
      <c r="M2674" s="18" t="s">
        <v>8750</v>
      </c>
      <c r="N2674" s="16">
        <v>48</v>
      </c>
      <c r="O2674" s="19">
        <v>0.16</v>
      </c>
      <c r="P2674" s="16">
        <v>210</v>
      </c>
      <c r="Q2674" s="16">
        <v>270</v>
      </c>
      <c r="R2674" s="16">
        <v>20</v>
      </c>
      <c r="S2674" s="18" t="s">
        <v>83</v>
      </c>
      <c r="T2674" s="18" t="s">
        <v>8743</v>
      </c>
      <c r="U2674" s="17">
        <v>3000</v>
      </c>
      <c r="V2674" s="18" t="s">
        <v>44</v>
      </c>
      <c r="W2674" s="18" t="s">
        <v>184</v>
      </c>
      <c r="X2674" s="16">
        <v>10</v>
      </c>
      <c r="Y2674" s="18" t="s">
        <v>8751</v>
      </c>
      <c r="Z2674" s="18" t="s">
        <v>1869</v>
      </c>
      <c r="AS2674" s="1">
        <f>IF($A2674&lt;&gt;0,1,0)</f>
        <v>0</v>
      </c>
      <c r="AT2674" s="1">
        <f>$A2674*$B2674</f>
        <v>0</v>
      </c>
      <c r="AU2674" s="1">
        <f>$A2674*$O2674</f>
        <v>0</v>
      </c>
      <c r="AV2674" s="1">
        <f>IF($R2674=0,0,INT($A2674/$R2674))</f>
        <v>0</v>
      </c>
      <c r="AW2674" s="1">
        <f>$A2674-$AV2674*$R2674</f>
        <v>0</v>
      </c>
    </row>
    <row r="2675" ht="24.95" customHeight="1" outlineLevel="3" s="1" customFormat="1">
      <c r="A2675" s="15"/>
      <c r="B2675" s="16">
        <v>690</v>
      </c>
      <c r="C2675" s="17">
        <v>1035</v>
      </c>
      <c r="D2675" s="16">
        <v>29624</v>
      </c>
      <c r="E2675" s="18"/>
      <c r="F2675" s="18" t="s">
        <v>8682</v>
      </c>
      <c r="G2675" s="18" t="s">
        <v>8752</v>
      </c>
      <c r="H2675" s="18" t="s">
        <v>49</v>
      </c>
      <c r="I2675" s="18"/>
      <c r="J2675" s="16">
        <v>2026</v>
      </c>
      <c r="K2675" s="18" t="s">
        <v>8753</v>
      </c>
      <c r="L2675" s="16">
        <v>9785961493177</v>
      </c>
      <c r="M2675" s="18" t="s">
        <v>8754</v>
      </c>
      <c r="N2675" s="16">
        <v>56</v>
      </c>
      <c r="O2675" s="19">
        <v>0.33</v>
      </c>
      <c r="P2675" s="16">
        <v>170</v>
      </c>
      <c r="Q2675" s="16">
        <v>240</v>
      </c>
      <c r="R2675" s="16">
        <v>14</v>
      </c>
      <c r="S2675" s="18" t="s">
        <v>123</v>
      </c>
      <c r="T2675" s="18"/>
      <c r="U2675" s="17">
        <v>1500</v>
      </c>
      <c r="V2675" s="18" t="s">
        <v>77</v>
      </c>
      <c r="W2675" s="18" t="s">
        <v>55</v>
      </c>
      <c r="X2675" s="16">
        <v>10</v>
      </c>
      <c r="Y2675" s="18" t="s">
        <v>8755</v>
      </c>
      <c r="Z2675" s="18"/>
      <c r="AS2675" s="1">
        <f>IF($A2675&lt;&gt;0,1,0)</f>
        <v>0</v>
      </c>
      <c r="AT2675" s="1">
        <f>$A2675*$B2675</f>
        <v>0</v>
      </c>
      <c r="AU2675" s="1">
        <f>$A2675*$O2675</f>
        <v>0</v>
      </c>
      <c r="AV2675" s="1">
        <f>IF($R2675=0,0,INT($A2675/$R2675))</f>
        <v>0</v>
      </c>
      <c r="AW2675" s="1">
        <f>$A2675-$AV2675*$R2675</f>
        <v>0</v>
      </c>
    </row>
    <row r="2676" ht="21.95" customHeight="1" outlineLevel="3" s="1" customFormat="1">
      <c r="A2676" s="15"/>
      <c r="B2676" s="16">
        <v>640</v>
      </c>
      <c r="C2676" s="16">
        <v>960</v>
      </c>
      <c r="D2676" s="16">
        <v>29893</v>
      </c>
      <c r="E2676" s="18"/>
      <c r="F2676" s="18" t="s">
        <v>8756</v>
      </c>
      <c r="G2676" s="18" t="s">
        <v>8757</v>
      </c>
      <c r="H2676" s="18" t="s">
        <v>49</v>
      </c>
      <c r="I2676" s="18"/>
      <c r="J2676" s="16">
        <v>2026</v>
      </c>
      <c r="K2676" s="18" t="s">
        <v>8758</v>
      </c>
      <c r="L2676" s="16">
        <v>9785961494327</v>
      </c>
      <c r="M2676" s="18" t="s">
        <v>8759</v>
      </c>
      <c r="N2676" s="16">
        <v>128</v>
      </c>
      <c r="O2676" s="19">
        <v>0.3</v>
      </c>
      <c r="P2676" s="16">
        <v>170</v>
      </c>
      <c r="Q2676" s="16">
        <v>220</v>
      </c>
      <c r="R2676" s="16">
        <v>12</v>
      </c>
      <c r="S2676" s="18" t="s">
        <v>52</v>
      </c>
      <c r="T2676" s="18"/>
      <c r="U2676" s="17">
        <v>1500</v>
      </c>
      <c r="V2676" s="18" t="s">
        <v>44</v>
      </c>
      <c r="W2676" s="18" t="s">
        <v>55</v>
      </c>
      <c r="X2676" s="16">
        <v>10</v>
      </c>
      <c r="Y2676" s="43" t="str">
        <f>HYPERLINK("","")</f>
      </c>
      <c r="Z2676" s="18" t="s">
        <v>1945</v>
      </c>
      <c r="AS2676" s="1">
        <f>IF($A2676&lt;&gt;0,1,0)</f>
        <v>0</v>
      </c>
      <c r="AT2676" s="1">
        <f>$A2676*$B2676</f>
        <v>0</v>
      </c>
      <c r="AU2676" s="1">
        <f>$A2676*$O2676</f>
        <v>0</v>
      </c>
      <c r="AV2676" s="1">
        <f>IF($R2676=0,0,INT($A2676/$R2676))</f>
        <v>0</v>
      </c>
      <c r="AW2676" s="1">
        <f>$A2676-$AV2676*$R2676</f>
        <v>0</v>
      </c>
    </row>
    <row r="2677" ht="24.95" customHeight="1" outlineLevel="3" s="1" customFormat="1">
      <c r="A2677" s="15"/>
      <c r="B2677" s="16">
        <v>640</v>
      </c>
      <c r="C2677" s="16">
        <v>960</v>
      </c>
      <c r="D2677" s="16">
        <v>27381</v>
      </c>
      <c r="E2677" s="18"/>
      <c r="F2677" s="18" t="s">
        <v>8756</v>
      </c>
      <c r="G2677" s="18" t="s">
        <v>8760</v>
      </c>
      <c r="H2677" s="18" t="s">
        <v>49</v>
      </c>
      <c r="I2677" s="18"/>
      <c r="J2677" s="16">
        <v>2026</v>
      </c>
      <c r="K2677" s="18" t="s">
        <v>8761</v>
      </c>
      <c r="L2677" s="16">
        <v>9785961484755</v>
      </c>
      <c r="M2677" s="18" t="s">
        <v>8762</v>
      </c>
      <c r="N2677" s="16">
        <v>128</v>
      </c>
      <c r="O2677" s="19">
        <v>0.29</v>
      </c>
      <c r="P2677" s="16">
        <v>170</v>
      </c>
      <c r="Q2677" s="16">
        <v>220</v>
      </c>
      <c r="R2677" s="16">
        <v>14</v>
      </c>
      <c r="S2677" s="18" t="s">
        <v>52</v>
      </c>
      <c r="T2677" s="18"/>
      <c r="U2677" s="17">
        <v>1500</v>
      </c>
      <c r="V2677" s="18" t="s">
        <v>44</v>
      </c>
      <c r="W2677" s="18" t="s">
        <v>91</v>
      </c>
      <c r="X2677" s="16">
        <v>10</v>
      </c>
      <c r="Y2677" s="18" t="s">
        <v>528</v>
      </c>
      <c r="Z2677" s="18" t="s">
        <v>1945</v>
      </c>
      <c r="AS2677" s="1">
        <f>IF($A2677&lt;&gt;0,1,0)</f>
        <v>0</v>
      </c>
      <c r="AT2677" s="1">
        <f>$A2677*$B2677</f>
        <v>0</v>
      </c>
      <c r="AU2677" s="1">
        <f>$A2677*$O2677</f>
        <v>0</v>
      </c>
      <c r="AV2677" s="1">
        <f>IF($R2677=0,0,INT($A2677/$R2677))</f>
        <v>0</v>
      </c>
      <c r="AW2677" s="1">
        <f>$A2677-$AV2677*$R2677</f>
        <v>0</v>
      </c>
    </row>
    <row r="2678" ht="24.95" customHeight="1" outlineLevel="3" s="1" customFormat="1">
      <c r="A2678" s="15"/>
      <c r="B2678" s="16">
        <v>540</v>
      </c>
      <c r="C2678" s="16">
        <v>837</v>
      </c>
      <c r="D2678" s="16">
        <v>32016</v>
      </c>
      <c r="E2678" s="18"/>
      <c r="F2678" s="18" t="s">
        <v>8463</v>
      </c>
      <c r="G2678" s="18" t="s">
        <v>8763</v>
      </c>
      <c r="H2678" s="18" t="s">
        <v>49</v>
      </c>
      <c r="I2678" s="18"/>
      <c r="J2678" s="16">
        <v>2026</v>
      </c>
      <c r="K2678" s="18" t="s">
        <v>8764</v>
      </c>
      <c r="L2678" s="16">
        <v>9785006300866</v>
      </c>
      <c r="M2678" s="18" t="s">
        <v>8765</v>
      </c>
      <c r="N2678" s="16">
        <v>72</v>
      </c>
      <c r="O2678" s="19">
        <v>0.21</v>
      </c>
      <c r="P2678" s="16">
        <v>200</v>
      </c>
      <c r="Q2678" s="16">
        <v>260</v>
      </c>
      <c r="R2678" s="16">
        <v>16</v>
      </c>
      <c r="S2678" s="18" t="s">
        <v>328</v>
      </c>
      <c r="T2678" s="18" t="s">
        <v>8680</v>
      </c>
      <c r="U2678" s="17">
        <v>1000</v>
      </c>
      <c r="V2678" s="18" t="s">
        <v>44</v>
      </c>
      <c r="W2678" s="18" t="s">
        <v>55</v>
      </c>
      <c r="X2678" s="16">
        <v>10</v>
      </c>
      <c r="Y2678" s="18" t="s">
        <v>8766</v>
      </c>
      <c r="Z2678" s="18" t="s">
        <v>5629</v>
      </c>
      <c r="AS2678" s="1">
        <f>IF($A2678&lt;&gt;0,1,0)</f>
        <v>0</v>
      </c>
      <c r="AT2678" s="1">
        <f>$A2678*$B2678</f>
        <v>0</v>
      </c>
      <c r="AU2678" s="1">
        <f>$A2678*$O2678</f>
        <v>0</v>
      </c>
      <c r="AV2678" s="1">
        <f>IF($R2678=0,0,INT($A2678/$R2678))</f>
        <v>0</v>
      </c>
      <c r="AW2678" s="1">
        <f>$A2678-$AV2678*$R2678</f>
        <v>0</v>
      </c>
    </row>
    <row r="2679" ht="24.95" customHeight="1" outlineLevel="3" s="1" customFormat="1">
      <c r="A2679" s="15"/>
      <c r="B2679" s="16">
        <v>400</v>
      </c>
      <c r="C2679" s="16">
        <v>640</v>
      </c>
      <c r="D2679" s="16">
        <v>29825</v>
      </c>
      <c r="E2679" s="18"/>
      <c r="F2679" s="18" t="s">
        <v>8667</v>
      </c>
      <c r="G2679" s="18" t="s">
        <v>8767</v>
      </c>
      <c r="H2679" s="18" t="s">
        <v>49</v>
      </c>
      <c r="I2679" s="18" t="s">
        <v>74</v>
      </c>
      <c r="J2679" s="16">
        <v>2025</v>
      </c>
      <c r="K2679" s="18" t="s">
        <v>8768</v>
      </c>
      <c r="L2679" s="16">
        <v>9785961494037</v>
      </c>
      <c r="M2679" s="18" t="s">
        <v>8769</v>
      </c>
      <c r="N2679" s="16">
        <v>56</v>
      </c>
      <c r="O2679" s="19">
        <v>0.24</v>
      </c>
      <c r="P2679" s="16">
        <v>210</v>
      </c>
      <c r="Q2679" s="16">
        <v>300</v>
      </c>
      <c r="R2679" s="16">
        <v>20</v>
      </c>
      <c r="S2679" s="18" t="s">
        <v>328</v>
      </c>
      <c r="T2679" s="18" t="s">
        <v>8671</v>
      </c>
      <c r="U2679" s="17">
        <v>3000</v>
      </c>
      <c r="V2679" s="18" t="s">
        <v>44</v>
      </c>
      <c r="W2679" s="18" t="s">
        <v>184</v>
      </c>
      <c r="X2679" s="16">
        <v>10</v>
      </c>
      <c r="Y2679" s="18" t="s">
        <v>8770</v>
      </c>
      <c r="Z2679" s="18"/>
      <c r="AS2679" s="1">
        <f>IF($A2679&lt;&gt;0,1,0)</f>
        <v>0</v>
      </c>
      <c r="AT2679" s="1">
        <f>$A2679*$B2679</f>
        <v>0</v>
      </c>
      <c r="AU2679" s="1">
        <f>$A2679*$O2679</f>
        <v>0</v>
      </c>
      <c r="AV2679" s="1">
        <f>IF($R2679=0,0,INT($A2679/$R2679))</f>
        <v>0</v>
      </c>
      <c r="AW2679" s="1">
        <f>$A2679-$AV2679*$R2679</f>
        <v>0</v>
      </c>
    </row>
    <row r="2680" ht="24.95" customHeight="1" outlineLevel="3" s="1" customFormat="1">
      <c r="A2680" s="15"/>
      <c r="B2680" s="16">
        <v>400</v>
      </c>
      <c r="C2680" s="16">
        <v>640</v>
      </c>
      <c r="D2680" s="16">
        <v>29827</v>
      </c>
      <c r="E2680" s="18"/>
      <c r="F2680" s="18" t="s">
        <v>8673</v>
      </c>
      <c r="G2680" s="18" t="s">
        <v>8771</v>
      </c>
      <c r="H2680" s="18" t="s">
        <v>49</v>
      </c>
      <c r="I2680" s="18" t="s">
        <v>74</v>
      </c>
      <c r="J2680" s="16">
        <v>2025</v>
      </c>
      <c r="K2680" s="18" t="s">
        <v>8772</v>
      </c>
      <c r="L2680" s="16">
        <v>9785961494051</v>
      </c>
      <c r="M2680" s="18" t="s">
        <v>8773</v>
      </c>
      <c r="N2680" s="16">
        <v>56</v>
      </c>
      <c r="O2680" s="19">
        <v>0.24</v>
      </c>
      <c r="P2680" s="16">
        <v>210</v>
      </c>
      <c r="Q2680" s="16">
        <v>300</v>
      </c>
      <c r="R2680" s="16">
        <v>20</v>
      </c>
      <c r="S2680" s="18" t="s">
        <v>328</v>
      </c>
      <c r="T2680" s="18" t="s">
        <v>8671</v>
      </c>
      <c r="U2680" s="17">
        <v>3000</v>
      </c>
      <c r="V2680" s="18" t="s">
        <v>44</v>
      </c>
      <c r="W2680" s="18" t="s">
        <v>184</v>
      </c>
      <c r="X2680" s="16">
        <v>10</v>
      </c>
      <c r="Y2680" s="18" t="s">
        <v>8672</v>
      </c>
      <c r="Z2680" s="18"/>
      <c r="AS2680" s="1">
        <f>IF($A2680&lt;&gt;0,1,0)</f>
        <v>0</v>
      </c>
      <c r="AT2680" s="1">
        <f>$A2680*$B2680</f>
        <v>0</v>
      </c>
      <c r="AU2680" s="1">
        <f>$A2680*$O2680</f>
        <v>0</v>
      </c>
      <c r="AV2680" s="1">
        <f>IF($R2680=0,0,INT($A2680/$R2680))</f>
        <v>0</v>
      </c>
      <c r="AW2680" s="1">
        <f>$A2680-$AV2680*$R2680</f>
        <v>0</v>
      </c>
    </row>
    <row r="2681" ht="24.95" customHeight="1" outlineLevel="3" s="1" customFormat="1">
      <c r="A2681" s="15"/>
      <c r="B2681" s="16">
        <v>400</v>
      </c>
      <c r="C2681" s="16">
        <v>640</v>
      </c>
      <c r="D2681" s="16">
        <v>29823</v>
      </c>
      <c r="E2681" s="18"/>
      <c r="F2681" s="18" t="s">
        <v>8673</v>
      </c>
      <c r="G2681" s="18" t="s">
        <v>8774</v>
      </c>
      <c r="H2681" s="18" t="s">
        <v>49</v>
      </c>
      <c r="I2681" s="18" t="s">
        <v>74</v>
      </c>
      <c r="J2681" s="16">
        <v>2026</v>
      </c>
      <c r="K2681" s="18" t="s">
        <v>8775</v>
      </c>
      <c r="L2681" s="16">
        <v>9785961494013</v>
      </c>
      <c r="M2681" s="18" t="s">
        <v>8776</v>
      </c>
      <c r="N2681" s="16">
        <v>56</v>
      </c>
      <c r="O2681" s="19">
        <v>0.24</v>
      </c>
      <c r="P2681" s="16">
        <v>210</v>
      </c>
      <c r="Q2681" s="16">
        <v>300</v>
      </c>
      <c r="R2681" s="16">
        <v>20</v>
      </c>
      <c r="S2681" s="18" t="s">
        <v>328</v>
      </c>
      <c r="T2681" s="18" t="s">
        <v>8671</v>
      </c>
      <c r="U2681" s="17">
        <v>3000</v>
      </c>
      <c r="V2681" s="18" t="s">
        <v>44</v>
      </c>
      <c r="W2681" s="18" t="s">
        <v>184</v>
      </c>
      <c r="X2681" s="16">
        <v>10</v>
      </c>
      <c r="Y2681" s="18" t="s">
        <v>8672</v>
      </c>
      <c r="Z2681" s="18"/>
      <c r="AS2681" s="1">
        <f>IF($A2681&lt;&gt;0,1,0)</f>
        <v>0</v>
      </c>
      <c r="AT2681" s="1">
        <f>$A2681*$B2681</f>
        <v>0</v>
      </c>
      <c r="AU2681" s="1">
        <f>$A2681*$O2681</f>
        <v>0</v>
      </c>
      <c r="AV2681" s="1">
        <f>IF($R2681=0,0,INT($A2681/$R2681))</f>
        <v>0</v>
      </c>
      <c r="AW2681" s="1">
        <f>$A2681-$AV2681*$R2681</f>
        <v>0</v>
      </c>
    </row>
    <row r="2682" ht="24.95" customHeight="1" outlineLevel="3" s="1" customFormat="1">
      <c r="A2682" s="15"/>
      <c r="B2682" s="16">
        <v>400</v>
      </c>
      <c r="C2682" s="16">
        <v>640</v>
      </c>
      <c r="D2682" s="16">
        <v>30062</v>
      </c>
      <c r="E2682" s="18"/>
      <c r="F2682" s="18" t="s">
        <v>8673</v>
      </c>
      <c r="G2682" s="18" t="s">
        <v>8777</v>
      </c>
      <c r="H2682" s="18" t="s">
        <v>49</v>
      </c>
      <c r="I2682" s="18" t="s">
        <v>74</v>
      </c>
      <c r="J2682" s="16">
        <v>2026</v>
      </c>
      <c r="K2682" s="18" t="s">
        <v>8778</v>
      </c>
      <c r="L2682" s="16">
        <v>9785961494693</v>
      </c>
      <c r="M2682" s="18" t="s">
        <v>8779</v>
      </c>
      <c r="N2682" s="16">
        <v>56</v>
      </c>
      <c r="O2682" s="19">
        <v>0.24</v>
      </c>
      <c r="P2682" s="16">
        <v>210</v>
      </c>
      <c r="Q2682" s="16">
        <v>300</v>
      </c>
      <c r="R2682" s="16">
        <v>20</v>
      </c>
      <c r="S2682" s="18" t="s">
        <v>328</v>
      </c>
      <c r="T2682" s="18" t="s">
        <v>8671</v>
      </c>
      <c r="U2682" s="17">
        <v>3000</v>
      </c>
      <c r="V2682" s="18" t="s">
        <v>44</v>
      </c>
      <c r="W2682" s="18" t="s">
        <v>184</v>
      </c>
      <c r="X2682" s="16">
        <v>10</v>
      </c>
      <c r="Y2682" s="18" t="s">
        <v>8672</v>
      </c>
      <c r="Z2682" s="18"/>
      <c r="AS2682" s="1">
        <f>IF($A2682&lt;&gt;0,1,0)</f>
        <v>0</v>
      </c>
      <c r="AT2682" s="1">
        <f>$A2682*$B2682</f>
        <v>0</v>
      </c>
      <c r="AU2682" s="1">
        <f>$A2682*$O2682</f>
        <v>0</v>
      </c>
      <c r="AV2682" s="1">
        <f>IF($R2682=0,0,INT($A2682/$R2682))</f>
        <v>0</v>
      </c>
      <c r="AW2682" s="1">
        <f>$A2682-$AV2682*$R2682</f>
        <v>0</v>
      </c>
    </row>
    <row r="2683" ht="24.95" customHeight="1" outlineLevel="3" s="1" customFormat="1">
      <c r="A2683" s="15"/>
      <c r="B2683" s="16">
        <v>400</v>
      </c>
      <c r="C2683" s="16">
        <v>640</v>
      </c>
      <c r="D2683" s="16">
        <v>29652</v>
      </c>
      <c r="E2683" s="18"/>
      <c r="F2683" s="18" t="s">
        <v>8667</v>
      </c>
      <c r="G2683" s="18" t="s">
        <v>8780</v>
      </c>
      <c r="H2683" s="18" t="s">
        <v>49</v>
      </c>
      <c r="I2683" s="18" t="s">
        <v>74</v>
      </c>
      <c r="J2683" s="16">
        <v>2025</v>
      </c>
      <c r="K2683" s="18" t="s">
        <v>8781</v>
      </c>
      <c r="L2683" s="16">
        <v>9785961493351</v>
      </c>
      <c r="M2683" s="18" t="s">
        <v>8782</v>
      </c>
      <c r="N2683" s="16">
        <v>56</v>
      </c>
      <c r="O2683" s="19">
        <v>0.24</v>
      </c>
      <c r="P2683" s="16">
        <v>210</v>
      </c>
      <c r="Q2683" s="16">
        <v>300</v>
      </c>
      <c r="R2683" s="16">
        <v>20</v>
      </c>
      <c r="S2683" s="18" t="s">
        <v>328</v>
      </c>
      <c r="T2683" s="18" t="s">
        <v>8671</v>
      </c>
      <c r="U2683" s="17">
        <v>3000</v>
      </c>
      <c r="V2683" s="18" t="s">
        <v>44</v>
      </c>
      <c r="W2683" s="18" t="s">
        <v>184</v>
      </c>
      <c r="X2683" s="16">
        <v>10</v>
      </c>
      <c r="Y2683" s="18" t="s">
        <v>8770</v>
      </c>
      <c r="Z2683" s="18"/>
      <c r="AS2683" s="1">
        <f>IF($A2683&lt;&gt;0,1,0)</f>
        <v>0</v>
      </c>
      <c r="AT2683" s="1">
        <f>$A2683*$B2683</f>
        <v>0</v>
      </c>
      <c r="AU2683" s="1">
        <f>$A2683*$O2683</f>
        <v>0</v>
      </c>
      <c r="AV2683" s="1">
        <f>IF($R2683=0,0,INT($A2683/$R2683))</f>
        <v>0</v>
      </c>
      <c r="AW2683" s="1">
        <f>$A2683-$AV2683*$R2683</f>
        <v>0</v>
      </c>
    </row>
    <row r="2684" ht="24.95" customHeight="1" outlineLevel="3" s="1" customFormat="1">
      <c r="A2684" s="15"/>
      <c r="B2684" s="16">
        <v>340</v>
      </c>
      <c r="C2684" s="16">
        <v>544</v>
      </c>
      <c r="D2684" s="16">
        <v>27779</v>
      </c>
      <c r="E2684" s="18"/>
      <c r="F2684" s="18" t="s">
        <v>8463</v>
      </c>
      <c r="G2684" s="18" t="s">
        <v>8783</v>
      </c>
      <c r="H2684" s="18" t="s">
        <v>49</v>
      </c>
      <c r="I2684" s="18"/>
      <c r="J2684" s="16">
        <v>2023</v>
      </c>
      <c r="K2684" s="18" t="s">
        <v>8784</v>
      </c>
      <c r="L2684" s="16">
        <v>9785961486339</v>
      </c>
      <c r="M2684" s="18" t="s">
        <v>8785</v>
      </c>
      <c r="N2684" s="16">
        <v>48</v>
      </c>
      <c r="O2684" s="19">
        <v>0.22</v>
      </c>
      <c r="P2684" s="16">
        <v>200</v>
      </c>
      <c r="Q2684" s="16">
        <v>260</v>
      </c>
      <c r="R2684" s="16">
        <v>20</v>
      </c>
      <c r="S2684" s="18" t="s">
        <v>328</v>
      </c>
      <c r="T2684" s="18" t="s">
        <v>8680</v>
      </c>
      <c r="U2684" s="17">
        <v>3000</v>
      </c>
      <c r="V2684" s="18" t="s">
        <v>44</v>
      </c>
      <c r="W2684" s="18" t="s">
        <v>55</v>
      </c>
      <c r="X2684" s="16">
        <v>10</v>
      </c>
      <c r="Y2684" s="18" t="s">
        <v>8786</v>
      </c>
      <c r="Z2684" s="18"/>
      <c r="AS2684" s="1">
        <f>IF($A2684&lt;&gt;0,1,0)</f>
        <v>0</v>
      </c>
      <c r="AT2684" s="1">
        <f>$A2684*$B2684</f>
        <v>0</v>
      </c>
      <c r="AU2684" s="1">
        <f>$A2684*$O2684</f>
        <v>0</v>
      </c>
      <c r="AV2684" s="1">
        <f>IF($R2684=0,0,INT($A2684/$R2684))</f>
        <v>0</v>
      </c>
      <c r="AW2684" s="1">
        <f>$A2684-$AV2684*$R2684</f>
        <v>0</v>
      </c>
    </row>
    <row r="2685" ht="24.95" customHeight="1" outlineLevel="3" s="1" customFormat="1">
      <c r="A2685" s="15"/>
      <c r="B2685" s="16">
        <v>490</v>
      </c>
      <c r="C2685" s="16">
        <v>760</v>
      </c>
      <c r="D2685" s="16">
        <v>24147</v>
      </c>
      <c r="E2685" s="18"/>
      <c r="F2685" s="18" t="s">
        <v>8787</v>
      </c>
      <c r="G2685" s="18" t="s">
        <v>8788</v>
      </c>
      <c r="H2685" s="18" t="s">
        <v>49</v>
      </c>
      <c r="I2685" s="18"/>
      <c r="J2685" s="16">
        <v>2022</v>
      </c>
      <c r="K2685" s="18" t="s">
        <v>8789</v>
      </c>
      <c r="L2685" s="16">
        <v>9785961474633</v>
      </c>
      <c r="M2685" s="18" t="s">
        <v>8790</v>
      </c>
      <c r="N2685" s="16">
        <v>32</v>
      </c>
      <c r="O2685" s="19">
        <v>0.27</v>
      </c>
      <c r="P2685" s="16">
        <v>226</v>
      </c>
      <c r="Q2685" s="16">
        <v>226</v>
      </c>
      <c r="R2685" s="16">
        <v>20</v>
      </c>
      <c r="S2685" s="18" t="s">
        <v>328</v>
      </c>
      <c r="T2685" s="18" t="s">
        <v>8791</v>
      </c>
      <c r="U2685" s="17">
        <v>3000</v>
      </c>
      <c r="V2685" s="18" t="s">
        <v>77</v>
      </c>
      <c r="W2685" s="18" t="s">
        <v>55</v>
      </c>
      <c r="X2685" s="16">
        <v>10</v>
      </c>
      <c r="Y2685" s="18" t="s">
        <v>7955</v>
      </c>
      <c r="Z2685" s="18"/>
      <c r="AS2685" s="1">
        <f>IF($A2685&lt;&gt;0,1,0)</f>
        <v>0</v>
      </c>
      <c r="AT2685" s="1">
        <f>$A2685*$B2685</f>
        <v>0</v>
      </c>
      <c r="AU2685" s="1">
        <f>$A2685*$O2685</f>
        <v>0</v>
      </c>
      <c r="AV2685" s="1">
        <f>IF($R2685=0,0,INT($A2685/$R2685))</f>
        <v>0</v>
      </c>
      <c r="AW2685" s="1">
        <f>$A2685-$AV2685*$R2685</f>
        <v>0</v>
      </c>
    </row>
    <row r="2686" ht="24.95" customHeight="1" outlineLevel="3" s="1" customFormat="1">
      <c r="A2686" s="15"/>
      <c r="B2686" s="16">
        <v>490</v>
      </c>
      <c r="C2686" s="16">
        <v>760</v>
      </c>
      <c r="D2686" s="16">
        <v>24149</v>
      </c>
      <c r="E2686" s="18"/>
      <c r="F2686" s="18" t="s">
        <v>8787</v>
      </c>
      <c r="G2686" s="18" t="s">
        <v>8792</v>
      </c>
      <c r="H2686" s="18" t="s">
        <v>49</v>
      </c>
      <c r="I2686" s="18"/>
      <c r="J2686" s="16">
        <v>2022</v>
      </c>
      <c r="K2686" s="18" t="s">
        <v>8793</v>
      </c>
      <c r="L2686" s="16">
        <v>9785961474640</v>
      </c>
      <c r="M2686" s="18" t="s">
        <v>8794</v>
      </c>
      <c r="N2686" s="16">
        <v>32</v>
      </c>
      <c r="O2686" s="19">
        <v>0.3</v>
      </c>
      <c r="P2686" s="16">
        <v>225</v>
      </c>
      <c r="Q2686" s="16">
        <v>226</v>
      </c>
      <c r="R2686" s="16">
        <v>20</v>
      </c>
      <c r="S2686" s="18" t="s">
        <v>328</v>
      </c>
      <c r="T2686" s="18" t="s">
        <v>8791</v>
      </c>
      <c r="U2686" s="17">
        <v>3000</v>
      </c>
      <c r="V2686" s="18" t="s">
        <v>77</v>
      </c>
      <c r="W2686" s="18" t="s">
        <v>55</v>
      </c>
      <c r="X2686" s="16">
        <v>10</v>
      </c>
      <c r="Y2686" s="18" t="s">
        <v>7955</v>
      </c>
      <c r="Z2686" s="18"/>
      <c r="AS2686" s="1">
        <f>IF($A2686&lt;&gt;0,1,0)</f>
        <v>0</v>
      </c>
      <c r="AT2686" s="1">
        <f>$A2686*$B2686</f>
        <v>0</v>
      </c>
      <c r="AU2686" s="1">
        <f>$A2686*$O2686</f>
        <v>0</v>
      </c>
      <c r="AV2686" s="1">
        <f>IF($R2686=0,0,INT($A2686/$R2686))</f>
        <v>0</v>
      </c>
      <c r="AW2686" s="1">
        <f>$A2686-$AV2686*$R2686</f>
        <v>0</v>
      </c>
    </row>
    <row r="2687" ht="24.95" customHeight="1" outlineLevel="3" s="1" customFormat="1">
      <c r="A2687" s="15"/>
      <c r="B2687" s="16">
        <v>490</v>
      </c>
      <c r="C2687" s="16">
        <v>760</v>
      </c>
      <c r="D2687" s="16">
        <v>24157</v>
      </c>
      <c r="E2687" s="18"/>
      <c r="F2687" s="18" t="s">
        <v>8787</v>
      </c>
      <c r="G2687" s="18" t="s">
        <v>8795</v>
      </c>
      <c r="H2687" s="18" t="s">
        <v>49</v>
      </c>
      <c r="I2687" s="18"/>
      <c r="J2687" s="16">
        <v>2022</v>
      </c>
      <c r="K2687" s="18" t="s">
        <v>8796</v>
      </c>
      <c r="L2687" s="16">
        <v>9785961474657</v>
      </c>
      <c r="M2687" s="18" t="s">
        <v>8797</v>
      </c>
      <c r="N2687" s="16">
        <v>32</v>
      </c>
      <c r="O2687" s="19">
        <v>0.3</v>
      </c>
      <c r="P2687" s="16">
        <v>225</v>
      </c>
      <c r="Q2687" s="16">
        <v>226</v>
      </c>
      <c r="R2687" s="16">
        <v>20</v>
      </c>
      <c r="S2687" s="18" t="s">
        <v>328</v>
      </c>
      <c r="T2687" s="18" t="s">
        <v>8791</v>
      </c>
      <c r="U2687" s="17">
        <v>3000</v>
      </c>
      <c r="V2687" s="18" t="s">
        <v>77</v>
      </c>
      <c r="W2687" s="18" t="s">
        <v>55</v>
      </c>
      <c r="X2687" s="16">
        <v>10</v>
      </c>
      <c r="Y2687" s="18" t="s">
        <v>7955</v>
      </c>
      <c r="Z2687" s="18"/>
      <c r="AS2687" s="1">
        <f>IF($A2687&lt;&gt;0,1,0)</f>
        <v>0</v>
      </c>
      <c r="AT2687" s="1">
        <f>$A2687*$B2687</f>
        <v>0</v>
      </c>
      <c r="AU2687" s="1">
        <f>$A2687*$O2687</f>
        <v>0</v>
      </c>
      <c r="AV2687" s="1">
        <f>IF($R2687=0,0,INT($A2687/$R2687))</f>
        <v>0</v>
      </c>
      <c r="AW2687" s="1">
        <f>$A2687-$AV2687*$R2687</f>
        <v>0</v>
      </c>
    </row>
    <row r="2688" ht="11.1" customHeight="1" outlineLevel="2">
      <c r="A2688" s="41" t="s">
        <v>8798</v>
      </c>
      <c r="B2688" s="41"/>
      <c r="C2688" s="41"/>
      <c r="D2688" s="41"/>
      <c r="E2688" s="41"/>
      <c r="F2688" s="41"/>
      <c r="G2688" s="41"/>
      <c r="H2688" s="41"/>
      <c r="I2688" s="41"/>
      <c r="J2688" s="41"/>
      <c r="K2688" s="41"/>
      <c r="L2688" s="41"/>
      <c r="M2688" s="41"/>
      <c r="N2688" s="41"/>
      <c r="O2688" s="41"/>
      <c r="P2688" s="41"/>
      <c r="Q2688" s="41"/>
      <c r="R2688" s="41"/>
      <c r="S2688" s="41"/>
      <c r="T2688" s="41"/>
      <c r="U2688" s="41"/>
      <c r="V2688" s="41"/>
      <c r="W2688" s="41"/>
      <c r="X2688" s="41"/>
      <c r="Y2688" s="41"/>
      <c r="Z2688" s="24"/>
    </row>
    <row r="2689" ht="24.95" customHeight="1" outlineLevel="3" s="1" customFormat="1">
      <c r="A2689" s="15"/>
      <c r="B2689" s="16">
        <v>750</v>
      </c>
      <c r="C2689" s="17">
        <v>1146</v>
      </c>
      <c r="D2689" s="16">
        <v>32963</v>
      </c>
      <c r="E2689" s="18"/>
      <c r="F2689" s="18" t="s">
        <v>8799</v>
      </c>
      <c r="G2689" s="18" t="s">
        <v>8800</v>
      </c>
      <c r="H2689" s="18" t="s">
        <v>49</v>
      </c>
      <c r="I2689" s="18"/>
      <c r="J2689" s="16">
        <v>2026</v>
      </c>
      <c r="K2689" s="18" t="s">
        <v>8801</v>
      </c>
      <c r="L2689" s="16">
        <v>9785006303508</v>
      </c>
      <c r="M2689" s="18" t="s">
        <v>8802</v>
      </c>
      <c r="N2689" s="16">
        <v>64</v>
      </c>
      <c r="O2689" s="19">
        <v>0.49</v>
      </c>
      <c r="P2689" s="16">
        <v>250</v>
      </c>
      <c r="Q2689" s="16">
        <v>300</v>
      </c>
      <c r="R2689" s="16">
        <v>10</v>
      </c>
      <c r="S2689" s="18" t="s">
        <v>123</v>
      </c>
      <c r="T2689" s="18" t="s">
        <v>8803</v>
      </c>
      <c r="U2689" s="17">
        <v>2000</v>
      </c>
      <c r="V2689" s="18" t="s">
        <v>77</v>
      </c>
      <c r="W2689" s="18" t="s">
        <v>55</v>
      </c>
      <c r="X2689" s="16">
        <v>10</v>
      </c>
      <c r="Y2689" s="18" t="s">
        <v>8804</v>
      </c>
      <c r="Z2689" s="18" t="s">
        <v>251</v>
      </c>
      <c r="AS2689" s="1">
        <f>IF($A2689&lt;&gt;0,1,0)</f>
        <v>0</v>
      </c>
      <c r="AT2689" s="1">
        <f>$A2689*$B2689</f>
        <v>0</v>
      </c>
      <c r="AU2689" s="1">
        <f>$A2689*$O2689</f>
        <v>0</v>
      </c>
      <c r="AV2689" s="1">
        <f>IF($R2689=0,0,INT($A2689/$R2689))</f>
        <v>0</v>
      </c>
      <c r="AW2689" s="1">
        <f>$A2689-$AV2689*$R2689</f>
        <v>0</v>
      </c>
    </row>
    <row r="2690" ht="24.95" customHeight="1" outlineLevel="3" s="1" customFormat="1">
      <c r="A2690" s="15"/>
      <c r="B2690" s="16">
        <v>790</v>
      </c>
      <c r="C2690" s="17">
        <v>1146</v>
      </c>
      <c r="D2690" s="16">
        <v>31584</v>
      </c>
      <c r="E2690" s="18"/>
      <c r="F2690" s="18" t="s">
        <v>8805</v>
      </c>
      <c r="G2690" s="18" t="s">
        <v>8806</v>
      </c>
      <c r="H2690" s="18" t="s">
        <v>95</v>
      </c>
      <c r="I2690" s="18"/>
      <c r="J2690" s="16">
        <v>2024</v>
      </c>
      <c r="K2690" s="18" t="s">
        <v>8807</v>
      </c>
      <c r="L2690" s="16">
        <v>9785206003789</v>
      </c>
      <c r="M2690" s="18" t="s">
        <v>8808</v>
      </c>
      <c r="N2690" s="16">
        <v>80</v>
      </c>
      <c r="O2690" s="19">
        <v>0.39</v>
      </c>
      <c r="P2690" s="16">
        <v>220</v>
      </c>
      <c r="Q2690" s="16">
        <v>220</v>
      </c>
      <c r="R2690" s="16">
        <v>13</v>
      </c>
      <c r="S2690" s="18" t="s">
        <v>83</v>
      </c>
      <c r="T2690" s="18"/>
      <c r="U2690" s="17">
        <v>2005</v>
      </c>
      <c r="V2690" s="18" t="s">
        <v>77</v>
      </c>
      <c r="W2690" s="18" t="s">
        <v>55</v>
      </c>
      <c r="X2690" s="16">
        <v>10</v>
      </c>
      <c r="Y2690" s="43" t="str">
        <f>HYPERLINK("https://api-enni.alpina.ru/FilePrivilegesApproval/735","https://api-enni.alpina.ru/FilePrivilegesApproval/735")</f>
        <v>https://api-enni.alpina.ru/FilePrivilegesApproval/735</v>
      </c>
      <c r="Z2690" s="18"/>
      <c r="AS2690" s="1">
        <f>IF($A2690&lt;&gt;0,1,0)</f>
        <v>0</v>
      </c>
      <c r="AT2690" s="1">
        <f>$A2690*$B2690</f>
        <v>0</v>
      </c>
      <c r="AU2690" s="1">
        <f>$A2690*$O2690</f>
        <v>0</v>
      </c>
      <c r="AV2690" s="1">
        <f>IF($R2690=0,0,INT($A2690/$R2690))</f>
        <v>0</v>
      </c>
      <c r="AW2690" s="1">
        <f>$A2690-$AV2690*$R2690</f>
        <v>0</v>
      </c>
    </row>
    <row r="2691" ht="24.95" customHeight="1" outlineLevel="3" s="1" customFormat="1">
      <c r="A2691" s="15"/>
      <c r="B2691" s="17">
        <v>1090</v>
      </c>
      <c r="C2691" s="17">
        <v>1472</v>
      </c>
      <c r="D2691" s="16">
        <v>31835</v>
      </c>
      <c r="E2691" s="18"/>
      <c r="F2691" s="18" t="s">
        <v>8809</v>
      </c>
      <c r="G2691" s="18" t="s">
        <v>8810</v>
      </c>
      <c r="H2691" s="18" t="s">
        <v>49</v>
      </c>
      <c r="I2691" s="18"/>
      <c r="J2691" s="16">
        <v>2026</v>
      </c>
      <c r="K2691" s="18" t="s">
        <v>8811</v>
      </c>
      <c r="L2691" s="16">
        <v>9785006300316</v>
      </c>
      <c r="M2691" s="18" t="s">
        <v>8812</v>
      </c>
      <c r="N2691" s="16">
        <v>112</v>
      </c>
      <c r="O2691" s="19">
        <v>0.85</v>
      </c>
      <c r="P2691" s="16">
        <v>250</v>
      </c>
      <c r="Q2691" s="16">
        <v>310</v>
      </c>
      <c r="R2691" s="16">
        <v>6</v>
      </c>
      <c r="S2691" s="18" t="s">
        <v>8813</v>
      </c>
      <c r="T2691" s="18"/>
      <c r="U2691" s="17">
        <v>3000</v>
      </c>
      <c r="V2691" s="18" t="s">
        <v>77</v>
      </c>
      <c r="W2691" s="18" t="s">
        <v>55</v>
      </c>
      <c r="X2691" s="16">
        <v>10</v>
      </c>
      <c r="Y2691" s="18" t="s">
        <v>8814</v>
      </c>
      <c r="Z2691" s="18" t="s">
        <v>2419</v>
      </c>
      <c r="AS2691" s="1">
        <f>IF($A2691&lt;&gt;0,1,0)</f>
        <v>0</v>
      </c>
      <c r="AT2691" s="1">
        <f>$A2691*$B2691</f>
        <v>0</v>
      </c>
      <c r="AU2691" s="1">
        <f>$A2691*$O2691</f>
        <v>0</v>
      </c>
      <c r="AV2691" s="1">
        <f>IF($R2691=0,0,INT($A2691/$R2691))</f>
        <v>0</v>
      </c>
      <c r="AW2691" s="1">
        <f>$A2691-$AV2691*$R2691</f>
        <v>0</v>
      </c>
    </row>
    <row r="2692" ht="24.95" customHeight="1" outlineLevel="3" s="1" customFormat="1">
      <c r="A2692" s="15"/>
      <c r="B2692" s="16">
        <v>600</v>
      </c>
      <c r="C2692" s="16">
        <v>900</v>
      </c>
      <c r="D2692" s="16">
        <v>31498</v>
      </c>
      <c r="E2692" s="18"/>
      <c r="F2692" s="18" t="s">
        <v>8815</v>
      </c>
      <c r="G2692" s="18" t="s">
        <v>8816</v>
      </c>
      <c r="H2692" s="18" t="s">
        <v>592</v>
      </c>
      <c r="I2692" s="18" t="s">
        <v>8817</v>
      </c>
      <c r="J2692" s="16">
        <v>2024</v>
      </c>
      <c r="K2692" s="18" t="s">
        <v>8818</v>
      </c>
      <c r="L2692" s="16">
        <v>9786018115943</v>
      </c>
      <c r="M2692" s="18" t="s">
        <v>8819</v>
      </c>
      <c r="N2692" s="16">
        <v>224</v>
      </c>
      <c r="O2692" s="19">
        <v>0.19</v>
      </c>
      <c r="P2692" s="16">
        <v>130</v>
      </c>
      <c r="Q2692" s="16">
        <v>200</v>
      </c>
      <c r="R2692" s="16">
        <v>18</v>
      </c>
      <c r="S2692" s="18" t="s">
        <v>90</v>
      </c>
      <c r="T2692" s="18"/>
      <c r="U2692" s="17">
        <v>1500</v>
      </c>
      <c r="V2692" s="18" t="s">
        <v>44</v>
      </c>
      <c r="W2692" s="18" t="s">
        <v>55</v>
      </c>
      <c r="X2692" s="16">
        <v>22</v>
      </c>
      <c r="Y2692" s="43" t="str">
        <f>HYPERLINK("","")</f>
      </c>
      <c r="Z2692" s="18"/>
      <c r="AS2692" s="1">
        <f>IF($A2692&lt;&gt;0,1,0)</f>
        <v>0</v>
      </c>
      <c r="AT2692" s="1">
        <f>$A2692*$B2692</f>
        <v>0</v>
      </c>
      <c r="AU2692" s="1">
        <f>$A2692*$O2692</f>
        <v>0</v>
      </c>
      <c r="AV2692" s="1">
        <f>IF($R2692=0,0,INT($A2692/$R2692))</f>
        <v>0</v>
      </c>
      <c r="AW2692" s="1">
        <f>$A2692-$AV2692*$R2692</f>
        <v>0</v>
      </c>
    </row>
    <row r="2693" ht="24.95" customHeight="1" outlineLevel="3" s="1" customFormat="1">
      <c r="A2693" s="15"/>
      <c r="B2693" s="16">
        <v>990</v>
      </c>
      <c r="C2693" s="17">
        <v>1386</v>
      </c>
      <c r="D2693" s="16">
        <v>29162</v>
      </c>
      <c r="E2693" s="18"/>
      <c r="F2693" s="18" t="s">
        <v>8820</v>
      </c>
      <c r="G2693" s="18" t="s">
        <v>8821</v>
      </c>
      <c r="H2693" s="18" t="s">
        <v>49</v>
      </c>
      <c r="I2693" s="18" t="s">
        <v>1213</v>
      </c>
      <c r="J2693" s="16">
        <v>2024</v>
      </c>
      <c r="K2693" s="18" t="s">
        <v>8822</v>
      </c>
      <c r="L2693" s="16">
        <v>9785961491685</v>
      </c>
      <c r="M2693" s="18" t="s">
        <v>8823</v>
      </c>
      <c r="N2693" s="16">
        <v>160</v>
      </c>
      <c r="O2693" s="19">
        <v>0.6</v>
      </c>
      <c r="P2693" s="16">
        <v>200</v>
      </c>
      <c r="Q2693" s="16">
        <v>250</v>
      </c>
      <c r="R2693" s="16">
        <v>8</v>
      </c>
      <c r="S2693" s="18" t="s">
        <v>328</v>
      </c>
      <c r="T2693" s="18"/>
      <c r="U2693" s="17">
        <v>3000</v>
      </c>
      <c r="V2693" s="18" t="s">
        <v>77</v>
      </c>
      <c r="W2693" s="18" t="s">
        <v>91</v>
      </c>
      <c r="X2693" s="16">
        <v>10</v>
      </c>
      <c r="Y2693" s="18" t="s">
        <v>8824</v>
      </c>
      <c r="Z2693" s="18"/>
      <c r="AS2693" s="1">
        <f>IF($A2693&lt;&gt;0,1,0)</f>
        <v>0</v>
      </c>
      <c r="AT2693" s="1">
        <f>$A2693*$B2693</f>
        <v>0</v>
      </c>
      <c r="AU2693" s="1">
        <f>$A2693*$O2693</f>
        <v>0</v>
      </c>
      <c r="AV2693" s="1">
        <f>IF($R2693=0,0,INT($A2693/$R2693))</f>
        <v>0</v>
      </c>
      <c r="AW2693" s="1">
        <f>$A2693-$AV2693*$R2693</f>
        <v>0</v>
      </c>
    </row>
    <row r="2694" ht="24.95" customHeight="1" outlineLevel="3" s="1" customFormat="1">
      <c r="A2694" s="15"/>
      <c r="B2694" s="17">
        <v>1590</v>
      </c>
      <c r="C2694" s="17">
        <v>2067</v>
      </c>
      <c r="D2694" s="16">
        <v>7931</v>
      </c>
      <c r="E2694" s="18"/>
      <c r="F2694" s="18" t="s">
        <v>8825</v>
      </c>
      <c r="G2694" s="18" t="s">
        <v>8826</v>
      </c>
      <c r="H2694" s="18" t="s">
        <v>49</v>
      </c>
      <c r="I2694" s="18" t="s">
        <v>74</v>
      </c>
      <c r="J2694" s="16">
        <v>2020</v>
      </c>
      <c r="K2694" s="18" t="s">
        <v>8827</v>
      </c>
      <c r="L2694" s="16">
        <v>9785961471274</v>
      </c>
      <c r="M2694" s="18" t="s">
        <v>8828</v>
      </c>
      <c r="N2694" s="16">
        <v>24</v>
      </c>
      <c r="O2694" s="19">
        <v>0.78</v>
      </c>
      <c r="P2694" s="16">
        <v>275</v>
      </c>
      <c r="Q2694" s="16">
        <v>392</v>
      </c>
      <c r="R2694" s="16">
        <v>10</v>
      </c>
      <c r="S2694" s="18" t="s">
        <v>328</v>
      </c>
      <c r="T2694" s="18"/>
      <c r="U2694" s="17">
        <v>2000</v>
      </c>
      <c r="V2694" s="18" t="s">
        <v>77</v>
      </c>
      <c r="W2694" s="18" t="s">
        <v>55</v>
      </c>
      <c r="X2694" s="16">
        <v>10</v>
      </c>
      <c r="Y2694" s="18" t="s">
        <v>8829</v>
      </c>
      <c r="Z2694" s="18"/>
      <c r="AS2694" s="1">
        <f>IF($A2694&lt;&gt;0,1,0)</f>
        <v>0</v>
      </c>
      <c r="AT2694" s="1">
        <f>$A2694*$B2694</f>
        <v>0</v>
      </c>
      <c r="AU2694" s="1">
        <f>$A2694*$O2694</f>
        <v>0</v>
      </c>
      <c r="AV2694" s="1">
        <f>IF($R2694=0,0,INT($A2694/$R2694))</f>
        <v>0</v>
      </c>
      <c r="AW2694" s="1">
        <f>$A2694-$AV2694*$R2694</f>
        <v>0</v>
      </c>
    </row>
    <row r="2695" ht="24.95" customHeight="1" outlineLevel="3" s="1" customFormat="1">
      <c r="A2695" s="15"/>
      <c r="B2695" s="17">
        <v>1090</v>
      </c>
      <c r="C2695" s="17">
        <v>1472</v>
      </c>
      <c r="D2695" s="16">
        <v>22562</v>
      </c>
      <c r="E2695" s="18"/>
      <c r="F2695" s="18" t="s">
        <v>8830</v>
      </c>
      <c r="G2695" s="18" t="s">
        <v>8831</v>
      </c>
      <c r="H2695" s="18" t="s">
        <v>49</v>
      </c>
      <c r="I2695" s="18" t="s">
        <v>74</v>
      </c>
      <c r="J2695" s="16">
        <v>2022</v>
      </c>
      <c r="K2695" s="18" t="s">
        <v>8832</v>
      </c>
      <c r="L2695" s="16">
        <v>9785961480023</v>
      </c>
      <c r="M2695" s="18" t="s">
        <v>8833</v>
      </c>
      <c r="N2695" s="16">
        <v>252</v>
      </c>
      <c r="O2695" s="19">
        <v>0.8</v>
      </c>
      <c r="P2695" s="16">
        <v>205</v>
      </c>
      <c r="Q2695" s="16">
        <v>254</v>
      </c>
      <c r="R2695" s="16">
        <v>5</v>
      </c>
      <c r="S2695" s="18" t="s">
        <v>328</v>
      </c>
      <c r="T2695" s="18"/>
      <c r="U2695" s="17">
        <v>2000</v>
      </c>
      <c r="V2695" s="18" t="s">
        <v>44</v>
      </c>
      <c r="W2695" s="18" t="s">
        <v>91</v>
      </c>
      <c r="X2695" s="16">
        <v>10</v>
      </c>
      <c r="Y2695" s="18" t="s">
        <v>8834</v>
      </c>
      <c r="Z2695" s="18"/>
      <c r="AS2695" s="1">
        <f>IF($A2695&lt;&gt;0,1,0)</f>
        <v>0</v>
      </c>
      <c r="AT2695" s="1">
        <f>$A2695*$B2695</f>
        <v>0</v>
      </c>
      <c r="AU2695" s="1">
        <f>$A2695*$O2695</f>
        <v>0</v>
      </c>
      <c r="AV2695" s="1">
        <f>IF($R2695=0,0,INT($A2695/$R2695))</f>
        <v>0</v>
      </c>
      <c r="AW2695" s="1">
        <f>$A2695-$AV2695*$R2695</f>
        <v>0</v>
      </c>
    </row>
    <row r="2696" ht="24.95" customHeight="1" outlineLevel="3" s="1" customFormat="1">
      <c r="A2696" s="15"/>
      <c r="B2696" s="16">
        <v>890</v>
      </c>
      <c r="C2696" s="17">
        <v>1246</v>
      </c>
      <c r="D2696" s="16">
        <v>29885</v>
      </c>
      <c r="E2696" s="18"/>
      <c r="F2696" s="18" t="s">
        <v>8835</v>
      </c>
      <c r="G2696" s="18" t="s">
        <v>8836</v>
      </c>
      <c r="H2696" s="18" t="s">
        <v>49</v>
      </c>
      <c r="I2696" s="18"/>
      <c r="J2696" s="16">
        <v>2026</v>
      </c>
      <c r="K2696" s="18" t="s">
        <v>8837</v>
      </c>
      <c r="L2696" s="16">
        <v>9785961494273</v>
      </c>
      <c r="M2696" s="18" t="s">
        <v>8838</v>
      </c>
      <c r="N2696" s="16">
        <v>72</v>
      </c>
      <c r="O2696" s="19">
        <v>0.42</v>
      </c>
      <c r="P2696" s="16">
        <v>220</v>
      </c>
      <c r="Q2696" s="16">
        <v>270</v>
      </c>
      <c r="R2696" s="16">
        <v>14</v>
      </c>
      <c r="S2696" s="18" t="s">
        <v>123</v>
      </c>
      <c r="T2696" s="18"/>
      <c r="U2696" s="17">
        <v>1500</v>
      </c>
      <c r="V2696" s="18" t="s">
        <v>77</v>
      </c>
      <c r="W2696" s="18" t="s">
        <v>55</v>
      </c>
      <c r="X2696" s="16">
        <v>10</v>
      </c>
      <c r="Y2696" s="18" t="s">
        <v>8839</v>
      </c>
      <c r="Z2696" s="18"/>
      <c r="AS2696" s="1">
        <f>IF($A2696&lt;&gt;0,1,0)</f>
        <v>0</v>
      </c>
      <c r="AT2696" s="1">
        <f>$A2696*$B2696</f>
        <v>0</v>
      </c>
      <c r="AU2696" s="1">
        <f>$A2696*$O2696</f>
        <v>0</v>
      </c>
      <c r="AV2696" s="1">
        <f>IF($R2696=0,0,INT($A2696/$R2696))</f>
        <v>0</v>
      </c>
      <c r="AW2696" s="1">
        <f>$A2696-$AV2696*$R2696</f>
        <v>0</v>
      </c>
    </row>
    <row r="2697" ht="24.95" customHeight="1" outlineLevel="3" s="1" customFormat="1">
      <c r="A2697" s="15"/>
      <c r="B2697" s="16">
        <v>820</v>
      </c>
      <c r="C2697" s="17">
        <v>1189</v>
      </c>
      <c r="D2697" s="16">
        <v>23595</v>
      </c>
      <c r="E2697" s="18"/>
      <c r="F2697" s="18" t="s">
        <v>8840</v>
      </c>
      <c r="G2697" s="18" t="s">
        <v>8841</v>
      </c>
      <c r="H2697" s="18" t="s">
        <v>49</v>
      </c>
      <c r="I2697" s="18"/>
      <c r="J2697" s="16">
        <v>2022</v>
      </c>
      <c r="K2697" s="18" t="s">
        <v>8842</v>
      </c>
      <c r="L2697" s="16">
        <v>9785961473155</v>
      </c>
      <c r="M2697" s="18" t="s">
        <v>8843</v>
      </c>
      <c r="N2697" s="16">
        <v>28</v>
      </c>
      <c r="O2697" s="19">
        <v>0.43</v>
      </c>
      <c r="P2697" s="16">
        <v>223</v>
      </c>
      <c r="Q2697" s="16">
        <v>287</v>
      </c>
      <c r="R2697" s="16">
        <v>12</v>
      </c>
      <c r="S2697" s="18" t="s">
        <v>83</v>
      </c>
      <c r="T2697" s="18"/>
      <c r="U2697" s="17">
        <v>3000</v>
      </c>
      <c r="V2697" s="18" t="s">
        <v>77</v>
      </c>
      <c r="W2697" s="18" t="s">
        <v>55</v>
      </c>
      <c r="X2697" s="16">
        <v>10</v>
      </c>
      <c r="Y2697" s="18" t="s">
        <v>7955</v>
      </c>
      <c r="Z2697" s="18"/>
      <c r="AS2697" s="1">
        <f>IF($A2697&lt;&gt;0,1,0)</f>
        <v>0</v>
      </c>
      <c r="AT2697" s="1">
        <f>$A2697*$B2697</f>
        <v>0</v>
      </c>
      <c r="AU2697" s="1">
        <f>$A2697*$O2697</f>
        <v>0</v>
      </c>
      <c r="AV2697" s="1">
        <f>IF($R2697=0,0,INT($A2697/$R2697))</f>
        <v>0</v>
      </c>
      <c r="AW2697" s="1">
        <f>$A2697-$AV2697*$R2697</f>
        <v>0</v>
      </c>
    </row>
    <row r="2698" ht="24.95" customHeight="1" outlineLevel="3" s="1" customFormat="1">
      <c r="A2698" s="15"/>
      <c r="B2698" s="16">
        <v>790</v>
      </c>
      <c r="C2698" s="17">
        <v>1146</v>
      </c>
      <c r="D2698" s="16">
        <v>27382</v>
      </c>
      <c r="E2698" s="18"/>
      <c r="F2698" s="18" t="s">
        <v>8844</v>
      </c>
      <c r="G2698" s="18" t="s">
        <v>8845</v>
      </c>
      <c r="H2698" s="18" t="s">
        <v>49</v>
      </c>
      <c r="I2698" s="18"/>
      <c r="J2698" s="16">
        <v>2025</v>
      </c>
      <c r="K2698" s="18" t="s">
        <v>8846</v>
      </c>
      <c r="L2698" s="16">
        <v>9785961484762</v>
      </c>
      <c r="M2698" s="18" t="s">
        <v>8847</v>
      </c>
      <c r="N2698" s="16">
        <v>48</v>
      </c>
      <c r="O2698" s="19">
        <v>0.4</v>
      </c>
      <c r="P2698" s="16">
        <v>220</v>
      </c>
      <c r="Q2698" s="16">
        <v>290</v>
      </c>
      <c r="R2698" s="16">
        <v>10</v>
      </c>
      <c r="S2698" s="18" t="s">
        <v>83</v>
      </c>
      <c r="T2698" s="18"/>
      <c r="U2698" s="17">
        <v>2500</v>
      </c>
      <c r="V2698" s="18" t="s">
        <v>77</v>
      </c>
      <c r="W2698" s="18" t="s">
        <v>55</v>
      </c>
      <c r="X2698" s="16">
        <v>10</v>
      </c>
      <c r="Y2698" s="18" t="s">
        <v>8848</v>
      </c>
      <c r="Z2698" s="18"/>
      <c r="AS2698" s="1">
        <f>IF($A2698&lt;&gt;0,1,0)</f>
        <v>0</v>
      </c>
      <c r="AT2698" s="1">
        <f>$A2698*$B2698</f>
        <v>0</v>
      </c>
      <c r="AU2698" s="1">
        <f>$A2698*$O2698</f>
        <v>0</v>
      </c>
      <c r="AV2698" s="1">
        <f>IF($R2698=0,0,INT($A2698/$R2698))</f>
        <v>0</v>
      </c>
      <c r="AW2698" s="1">
        <f>$A2698-$AV2698*$R2698</f>
        <v>0</v>
      </c>
    </row>
    <row r="2699" ht="24.95" customHeight="1" outlineLevel="3" s="1" customFormat="1">
      <c r="A2699" s="15"/>
      <c r="B2699" s="16">
        <v>790</v>
      </c>
      <c r="C2699" s="17">
        <v>1146</v>
      </c>
      <c r="D2699" s="16">
        <v>27276</v>
      </c>
      <c r="E2699" s="18"/>
      <c r="F2699" s="18" t="s">
        <v>8849</v>
      </c>
      <c r="G2699" s="18" t="s">
        <v>8850</v>
      </c>
      <c r="H2699" s="18" t="s">
        <v>49</v>
      </c>
      <c r="I2699" s="18" t="s">
        <v>74</v>
      </c>
      <c r="J2699" s="16">
        <v>2025</v>
      </c>
      <c r="K2699" s="18" t="s">
        <v>8851</v>
      </c>
      <c r="L2699" s="16">
        <v>9785961484533</v>
      </c>
      <c r="M2699" s="18" t="s">
        <v>8852</v>
      </c>
      <c r="N2699" s="16">
        <v>48</v>
      </c>
      <c r="O2699" s="19">
        <v>0.4</v>
      </c>
      <c r="P2699" s="16">
        <v>230</v>
      </c>
      <c r="Q2699" s="16">
        <v>290</v>
      </c>
      <c r="R2699" s="16">
        <v>12</v>
      </c>
      <c r="S2699" s="18" t="s">
        <v>83</v>
      </c>
      <c r="T2699" s="18"/>
      <c r="U2699" s="17">
        <v>1500</v>
      </c>
      <c r="V2699" s="18" t="s">
        <v>77</v>
      </c>
      <c r="W2699" s="18" t="s">
        <v>55</v>
      </c>
      <c r="X2699" s="16">
        <v>10</v>
      </c>
      <c r="Y2699" s="18" t="s">
        <v>528</v>
      </c>
      <c r="Z2699" s="18"/>
      <c r="AS2699" s="1">
        <f>IF($A2699&lt;&gt;0,1,0)</f>
        <v>0</v>
      </c>
      <c r="AT2699" s="1">
        <f>$A2699*$B2699</f>
        <v>0</v>
      </c>
      <c r="AU2699" s="1">
        <f>$A2699*$O2699</f>
        <v>0</v>
      </c>
      <c r="AV2699" s="1">
        <f>IF($R2699=0,0,INT($A2699/$R2699))</f>
        <v>0</v>
      </c>
      <c r="AW2699" s="1">
        <f>$A2699-$AV2699*$R2699</f>
        <v>0</v>
      </c>
    </row>
    <row r="2700" ht="24.95" customHeight="1" outlineLevel="3" s="1" customFormat="1">
      <c r="A2700" s="15"/>
      <c r="B2700" s="16">
        <v>890</v>
      </c>
      <c r="C2700" s="17">
        <v>1246</v>
      </c>
      <c r="D2700" s="16">
        <v>34835</v>
      </c>
      <c r="E2700" s="18"/>
      <c r="F2700" s="18" t="s">
        <v>79</v>
      </c>
      <c r="G2700" s="18" t="s">
        <v>80</v>
      </c>
      <c r="H2700" s="18" t="s">
        <v>49</v>
      </c>
      <c r="I2700" s="18" t="s">
        <v>74</v>
      </c>
      <c r="J2700" s="16">
        <v>2026</v>
      </c>
      <c r="K2700" s="18" t="s">
        <v>81</v>
      </c>
      <c r="L2700" s="16">
        <v>9785002830008</v>
      </c>
      <c r="M2700" s="18" t="s">
        <v>82</v>
      </c>
      <c r="N2700" s="16">
        <v>88</v>
      </c>
      <c r="O2700" s="19">
        <v>0.52</v>
      </c>
      <c r="P2700" s="16">
        <v>220</v>
      </c>
      <c r="Q2700" s="16">
        <v>280</v>
      </c>
      <c r="R2700" s="16">
        <v>10</v>
      </c>
      <c r="S2700" s="18" t="s">
        <v>83</v>
      </c>
      <c r="T2700" s="18"/>
      <c r="U2700" s="17">
        <v>3000</v>
      </c>
      <c r="V2700" s="18" t="s">
        <v>77</v>
      </c>
      <c r="W2700" s="18" t="s">
        <v>55</v>
      </c>
      <c r="X2700" s="16">
        <v>10</v>
      </c>
      <c r="Y2700" s="43" t="str">
        <f>HYPERLINK("","")</f>
      </c>
      <c r="Z2700" s="18" t="s">
        <v>46</v>
      </c>
      <c r="AS2700" s="1">
        <f>IF($A2700&lt;&gt;0,1,0)</f>
        <v>0</v>
      </c>
      <c r="AT2700" s="1">
        <f>$A2700*$B2700</f>
        <v>0</v>
      </c>
      <c r="AU2700" s="1">
        <f>$A2700*$O2700</f>
        <v>0</v>
      </c>
      <c r="AV2700" s="1">
        <f>IF($R2700=0,0,INT($A2700/$R2700))</f>
        <v>0</v>
      </c>
      <c r="AW2700" s="1">
        <f>$A2700-$AV2700*$R2700</f>
        <v>0</v>
      </c>
    </row>
    <row r="2701" ht="24.95" customHeight="1" outlineLevel="3" s="1" customFormat="1">
      <c r="A2701" s="15"/>
      <c r="B2701" s="17">
        <v>1090</v>
      </c>
      <c r="C2701" s="17">
        <v>1472</v>
      </c>
      <c r="D2701" s="16">
        <v>32958</v>
      </c>
      <c r="E2701" s="18"/>
      <c r="F2701" s="18" t="s">
        <v>8853</v>
      </c>
      <c r="G2701" s="18" t="s">
        <v>8854</v>
      </c>
      <c r="H2701" s="18" t="s">
        <v>49</v>
      </c>
      <c r="I2701" s="18" t="s">
        <v>74</v>
      </c>
      <c r="J2701" s="16">
        <v>2026</v>
      </c>
      <c r="K2701" s="18" t="s">
        <v>8855</v>
      </c>
      <c r="L2701" s="16">
        <v>9785006303461</v>
      </c>
      <c r="M2701" s="18" t="s">
        <v>8856</v>
      </c>
      <c r="N2701" s="16">
        <v>80</v>
      </c>
      <c r="O2701" s="19">
        <v>0.71</v>
      </c>
      <c r="P2701" s="16">
        <v>240</v>
      </c>
      <c r="Q2701" s="16">
        <v>330</v>
      </c>
      <c r="R2701" s="16">
        <v>5</v>
      </c>
      <c r="S2701" s="18" t="s">
        <v>83</v>
      </c>
      <c r="T2701" s="18"/>
      <c r="U2701" s="17">
        <v>2000</v>
      </c>
      <c r="V2701" s="18" t="s">
        <v>77</v>
      </c>
      <c r="W2701" s="18" t="s">
        <v>91</v>
      </c>
      <c r="X2701" s="16">
        <v>10</v>
      </c>
      <c r="Y2701" s="18" t="s">
        <v>8857</v>
      </c>
      <c r="Z2701" s="18"/>
      <c r="AS2701" s="1">
        <f>IF($A2701&lt;&gt;0,1,0)</f>
        <v>0</v>
      </c>
      <c r="AT2701" s="1">
        <f>$A2701*$B2701</f>
        <v>0</v>
      </c>
      <c r="AU2701" s="1">
        <f>$A2701*$O2701</f>
        <v>0</v>
      </c>
      <c r="AV2701" s="1">
        <f>IF($R2701=0,0,INT($A2701/$R2701))</f>
        <v>0</v>
      </c>
      <c r="AW2701" s="1">
        <f>$A2701-$AV2701*$R2701</f>
        <v>0</v>
      </c>
    </row>
    <row r="2702" ht="24.95" customHeight="1" outlineLevel="3" s="1" customFormat="1">
      <c r="A2702" s="15"/>
      <c r="B2702" s="16">
        <v>790</v>
      </c>
      <c r="C2702" s="17">
        <v>1146</v>
      </c>
      <c r="D2702" s="16">
        <v>32184</v>
      </c>
      <c r="E2702" s="18"/>
      <c r="F2702" s="18" t="s">
        <v>8858</v>
      </c>
      <c r="G2702" s="18" t="s">
        <v>8859</v>
      </c>
      <c r="H2702" s="18" t="s">
        <v>49</v>
      </c>
      <c r="I2702" s="18"/>
      <c r="J2702" s="16">
        <v>2025</v>
      </c>
      <c r="K2702" s="18" t="s">
        <v>8860</v>
      </c>
      <c r="L2702" s="16">
        <v>9785006301610</v>
      </c>
      <c r="M2702" s="18" t="s">
        <v>8861</v>
      </c>
      <c r="N2702" s="16">
        <v>64</v>
      </c>
      <c r="O2702" s="19">
        <v>0.35</v>
      </c>
      <c r="P2702" s="16">
        <v>210</v>
      </c>
      <c r="Q2702" s="16">
        <v>260</v>
      </c>
      <c r="R2702" s="16">
        <v>15</v>
      </c>
      <c r="S2702" s="18" t="s">
        <v>328</v>
      </c>
      <c r="T2702" s="18" t="s">
        <v>8862</v>
      </c>
      <c r="U2702" s="17">
        <v>3000</v>
      </c>
      <c r="V2702" s="18" t="s">
        <v>77</v>
      </c>
      <c r="W2702" s="18" t="s">
        <v>55</v>
      </c>
      <c r="X2702" s="16">
        <v>10</v>
      </c>
      <c r="Y2702" s="18" t="s">
        <v>8863</v>
      </c>
      <c r="Z2702" s="18"/>
      <c r="AS2702" s="1">
        <f>IF($A2702&lt;&gt;0,1,0)</f>
        <v>0</v>
      </c>
      <c r="AT2702" s="1">
        <f>$A2702*$B2702</f>
        <v>0</v>
      </c>
      <c r="AU2702" s="1">
        <f>$A2702*$O2702</f>
        <v>0</v>
      </c>
      <c r="AV2702" s="1">
        <f>IF($R2702=0,0,INT($A2702/$R2702))</f>
        <v>0</v>
      </c>
      <c r="AW2702" s="1">
        <f>$A2702-$AV2702*$R2702</f>
        <v>0</v>
      </c>
    </row>
    <row r="2703" ht="24.95" customHeight="1" outlineLevel="3" s="1" customFormat="1">
      <c r="A2703" s="15"/>
      <c r="B2703" s="16">
        <v>750</v>
      </c>
      <c r="C2703" s="17">
        <v>1088</v>
      </c>
      <c r="D2703" s="16">
        <v>34342</v>
      </c>
      <c r="E2703" s="18"/>
      <c r="F2703" s="18" t="s">
        <v>8864</v>
      </c>
      <c r="G2703" s="18" t="s">
        <v>8865</v>
      </c>
      <c r="H2703" s="18" t="s">
        <v>49</v>
      </c>
      <c r="I2703" s="18" t="s">
        <v>74</v>
      </c>
      <c r="J2703" s="16">
        <v>2026</v>
      </c>
      <c r="K2703" s="18" t="s">
        <v>8866</v>
      </c>
      <c r="L2703" s="16">
        <v>9785006307179</v>
      </c>
      <c r="M2703" s="18" t="s">
        <v>8867</v>
      </c>
      <c r="N2703" s="16">
        <v>80</v>
      </c>
      <c r="O2703" s="19">
        <v>0.42</v>
      </c>
      <c r="P2703" s="16">
        <v>200</v>
      </c>
      <c r="Q2703" s="16">
        <v>250</v>
      </c>
      <c r="R2703" s="16">
        <v>12</v>
      </c>
      <c r="S2703" s="18" t="s">
        <v>328</v>
      </c>
      <c r="T2703" s="18"/>
      <c r="U2703" s="17">
        <v>2000</v>
      </c>
      <c r="V2703" s="18" t="s">
        <v>77</v>
      </c>
      <c r="W2703" s="18" t="s">
        <v>184</v>
      </c>
      <c r="X2703" s="16">
        <v>10</v>
      </c>
      <c r="Y2703" s="18" t="s">
        <v>8868</v>
      </c>
      <c r="Z2703" s="18"/>
      <c r="AS2703" s="1">
        <f>IF($A2703&lt;&gt;0,1,0)</f>
        <v>0</v>
      </c>
      <c r="AT2703" s="1">
        <f>$A2703*$B2703</f>
        <v>0</v>
      </c>
      <c r="AU2703" s="1">
        <f>$A2703*$O2703</f>
        <v>0</v>
      </c>
      <c r="AV2703" s="1">
        <f>IF($R2703=0,0,INT($A2703/$R2703))</f>
        <v>0</v>
      </c>
      <c r="AW2703" s="1">
        <f>$A2703-$AV2703*$R2703</f>
        <v>0</v>
      </c>
    </row>
    <row r="2704" ht="24.95" customHeight="1" outlineLevel="3" s="1" customFormat="1">
      <c r="A2704" s="15"/>
      <c r="B2704" s="16">
        <v>690</v>
      </c>
      <c r="C2704" s="17">
        <v>1035</v>
      </c>
      <c r="D2704" s="16">
        <v>33156</v>
      </c>
      <c r="E2704" s="18"/>
      <c r="F2704" s="18" t="s">
        <v>8869</v>
      </c>
      <c r="G2704" s="18" t="s">
        <v>8870</v>
      </c>
      <c r="H2704" s="18" t="s">
        <v>49</v>
      </c>
      <c r="I2704" s="18"/>
      <c r="J2704" s="16">
        <v>2026</v>
      </c>
      <c r="K2704" s="18" t="s">
        <v>8871</v>
      </c>
      <c r="L2704" s="16">
        <v>9785006303843</v>
      </c>
      <c r="M2704" s="18" t="s">
        <v>8872</v>
      </c>
      <c r="N2704" s="16">
        <v>160</v>
      </c>
      <c r="O2704" s="19">
        <v>0.3</v>
      </c>
      <c r="P2704" s="16">
        <v>160</v>
      </c>
      <c r="Q2704" s="16">
        <v>220</v>
      </c>
      <c r="R2704" s="16">
        <v>15</v>
      </c>
      <c r="S2704" s="18" t="s">
        <v>52</v>
      </c>
      <c r="T2704" s="18" t="s">
        <v>8873</v>
      </c>
      <c r="U2704" s="17">
        <v>3000</v>
      </c>
      <c r="V2704" s="18" t="s">
        <v>44</v>
      </c>
      <c r="W2704" s="18" t="s">
        <v>91</v>
      </c>
      <c r="X2704" s="16">
        <v>10</v>
      </c>
      <c r="Y2704" s="18" t="s">
        <v>8874</v>
      </c>
      <c r="Z2704" s="18" t="s">
        <v>8875</v>
      </c>
      <c r="AS2704" s="1">
        <f>IF($A2704&lt;&gt;0,1,0)</f>
        <v>0</v>
      </c>
      <c r="AT2704" s="1">
        <f>$A2704*$B2704</f>
        <v>0</v>
      </c>
      <c r="AU2704" s="1">
        <f>$A2704*$O2704</f>
        <v>0</v>
      </c>
      <c r="AV2704" s="1">
        <f>IF($R2704=0,0,INT($A2704/$R2704))</f>
        <v>0</v>
      </c>
      <c r="AW2704" s="1">
        <f>$A2704-$AV2704*$R2704</f>
        <v>0</v>
      </c>
    </row>
    <row r="2705" ht="24.95" customHeight="1" outlineLevel="3" s="1" customFormat="1">
      <c r="A2705" s="15"/>
      <c r="B2705" s="16">
        <v>890</v>
      </c>
      <c r="C2705" s="17">
        <v>1246</v>
      </c>
      <c r="D2705" s="16">
        <v>34580</v>
      </c>
      <c r="E2705" s="18"/>
      <c r="F2705" s="18" t="s">
        <v>8876</v>
      </c>
      <c r="G2705" s="18" t="s">
        <v>8877</v>
      </c>
      <c r="H2705" s="18" t="s">
        <v>49</v>
      </c>
      <c r="I2705" s="18"/>
      <c r="J2705" s="16">
        <v>2026</v>
      </c>
      <c r="K2705" s="18" t="s">
        <v>8878</v>
      </c>
      <c r="L2705" s="16">
        <v>9785006308060</v>
      </c>
      <c r="M2705" s="18" t="s">
        <v>8879</v>
      </c>
      <c r="N2705" s="16">
        <v>64</v>
      </c>
      <c r="O2705" s="19">
        <v>0.48</v>
      </c>
      <c r="P2705" s="16">
        <v>240</v>
      </c>
      <c r="Q2705" s="16">
        <v>300</v>
      </c>
      <c r="R2705" s="16">
        <v>10</v>
      </c>
      <c r="S2705" s="18" t="s">
        <v>83</v>
      </c>
      <c r="T2705" s="18"/>
      <c r="U2705" s="17">
        <v>3000</v>
      </c>
      <c r="V2705" s="18" t="s">
        <v>77</v>
      </c>
      <c r="W2705" s="18" t="s">
        <v>55</v>
      </c>
      <c r="X2705" s="16">
        <v>10</v>
      </c>
      <c r="Y2705" s="18" t="s">
        <v>8880</v>
      </c>
      <c r="Z2705" s="18" t="s">
        <v>1869</v>
      </c>
      <c r="AS2705" s="1">
        <f>IF($A2705&lt;&gt;0,1,0)</f>
        <v>0</v>
      </c>
      <c r="AT2705" s="1">
        <f>$A2705*$B2705</f>
        <v>0</v>
      </c>
      <c r="AU2705" s="1">
        <f>$A2705*$O2705</f>
        <v>0</v>
      </c>
      <c r="AV2705" s="1">
        <f>IF($R2705=0,0,INT($A2705/$R2705))</f>
        <v>0</v>
      </c>
      <c r="AW2705" s="1">
        <f>$A2705-$AV2705*$R2705</f>
        <v>0</v>
      </c>
    </row>
    <row r="2706" ht="24.95" customHeight="1" outlineLevel="3" s="1" customFormat="1">
      <c r="A2706" s="15"/>
      <c r="B2706" s="17">
        <v>1090</v>
      </c>
      <c r="C2706" s="17">
        <v>1472</v>
      </c>
      <c r="D2706" s="16">
        <v>24245</v>
      </c>
      <c r="E2706" s="18"/>
      <c r="F2706" s="18" t="s">
        <v>57</v>
      </c>
      <c r="G2706" s="18" t="s">
        <v>8881</v>
      </c>
      <c r="H2706" s="18" t="s">
        <v>95</v>
      </c>
      <c r="I2706" s="18" t="s">
        <v>74</v>
      </c>
      <c r="J2706" s="16">
        <v>2022</v>
      </c>
      <c r="K2706" s="18" t="s">
        <v>8882</v>
      </c>
      <c r="L2706" s="16">
        <v>9785907534162</v>
      </c>
      <c r="M2706" s="18" t="s">
        <v>8883</v>
      </c>
      <c r="N2706" s="16">
        <v>192</v>
      </c>
      <c r="O2706" s="19">
        <v>0.67</v>
      </c>
      <c r="P2706" s="16">
        <v>205</v>
      </c>
      <c r="Q2706" s="16">
        <v>266</v>
      </c>
      <c r="R2706" s="16">
        <v>8</v>
      </c>
      <c r="S2706" s="18" t="s">
        <v>328</v>
      </c>
      <c r="T2706" s="18"/>
      <c r="U2706" s="17">
        <v>1500</v>
      </c>
      <c r="V2706" s="18" t="s">
        <v>77</v>
      </c>
      <c r="W2706" s="18" t="s">
        <v>55</v>
      </c>
      <c r="X2706" s="16">
        <v>10</v>
      </c>
      <c r="Y2706" s="43" t="str">
        <f>HYPERLINK("https://api-enni.alpina.ru/FilePrivilegesApproval/129","https://api-enni.alpina.ru/FilePrivilegesApproval/129")</f>
        <v>https://api-enni.alpina.ru/FilePrivilegesApproval/129</v>
      </c>
      <c r="Z2706" s="18"/>
      <c r="AS2706" s="1">
        <f>IF($A2706&lt;&gt;0,1,0)</f>
        <v>0</v>
      </c>
      <c r="AT2706" s="1">
        <f>$A2706*$B2706</f>
        <v>0</v>
      </c>
      <c r="AU2706" s="1">
        <f>$A2706*$O2706</f>
        <v>0</v>
      </c>
      <c r="AV2706" s="1">
        <f>IF($R2706=0,0,INT($A2706/$R2706))</f>
        <v>0</v>
      </c>
      <c r="AW2706" s="1">
        <f>$A2706-$AV2706*$R2706</f>
        <v>0</v>
      </c>
    </row>
    <row r="2707" ht="24.95" customHeight="1" outlineLevel="3" s="1" customFormat="1">
      <c r="A2707" s="15"/>
      <c r="B2707" s="16">
        <v>890</v>
      </c>
      <c r="C2707" s="17">
        <v>1246</v>
      </c>
      <c r="D2707" s="16">
        <v>29010</v>
      </c>
      <c r="E2707" s="18"/>
      <c r="F2707" s="18" t="s">
        <v>8884</v>
      </c>
      <c r="G2707" s="18" t="s">
        <v>8885</v>
      </c>
      <c r="H2707" s="18" t="s">
        <v>49</v>
      </c>
      <c r="I2707" s="18" t="s">
        <v>65</v>
      </c>
      <c r="J2707" s="16">
        <v>2026</v>
      </c>
      <c r="K2707" s="18" t="s">
        <v>8886</v>
      </c>
      <c r="L2707" s="16">
        <v>9785961491029</v>
      </c>
      <c r="M2707" s="18" t="s">
        <v>8887</v>
      </c>
      <c r="N2707" s="16">
        <v>96</v>
      </c>
      <c r="O2707" s="19">
        <v>0.45</v>
      </c>
      <c r="P2707" s="16">
        <v>210</v>
      </c>
      <c r="Q2707" s="16">
        <v>260</v>
      </c>
      <c r="R2707" s="16">
        <v>12</v>
      </c>
      <c r="S2707" s="18" t="s">
        <v>328</v>
      </c>
      <c r="T2707" s="18"/>
      <c r="U2707" s="17">
        <v>2000</v>
      </c>
      <c r="V2707" s="18" t="s">
        <v>77</v>
      </c>
      <c r="W2707" s="18" t="s">
        <v>55</v>
      </c>
      <c r="X2707" s="16">
        <v>10</v>
      </c>
      <c r="Y2707" s="18" t="s">
        <v>8839</v>
      </c>
      <c r="Z2707" s="18"/>
      <c r="AS2707" s="1">
        <f>IF($A2707&lt;&gt;0,1,0)</f>
        <v>0</v>
      </c>
      <c r="AT2707" s="1">
        <f>$A2707*$B2707</f>
        <v>0</v>
      </c>
      <c r="AU2707" s="1">
        <f>$A2707*$O2707</f>
        <v>0</v>
      </c>
      <c r="AV2707" s="1">
        <f>IF($R2707=0,0,INT($A2707/$R2707))</f>
        <v>0</v>
      </c>
      <c r="AW2707" s="1">
        <f>$A2707-$AV2707*$R2707</f>
        <v>0</v>
      </c>
    </row>
    <row r="2708" ht="24.95" customHeight="1" outlineLevel="3" s="1" customFormat="1">
      <c r="A2708" s="15"/>
      <c r="B2708" s="16">
        <v>590</v>
      </c>
      <c r="C2708" s="16">
        <v>885</v>
      </c>
      <c r="D2708" s="16">
        <v>30428</v>
      </c>
      <c r="E2708" s="18"/>
      <c r="F2708" s="18" t="s">
        <v>8888</v>
      </c>
      <c r="G2708" s="18" t="s">
        <v>8889</v>
      </c>
      <c r="H2708" s="18" t="s">
        <v>95</v>
      </c>
      <c r="I2708" s="18"/>
      <c r="J2708" s="16">
        <v>2025</v>
      </c>
      <c r="K2708" s="18" t="s">
        <v>8890</v>
      </c>
      <c r="L2708" s="16">
        <v>9785206003284</v>
      </c>
      <c r="M2708" s="18" t="s">
        <v>8891</v>
      </c>
      <c r="N2708" s="16">
        <v>28</v>
      </c>
      <c r="O2708" s="19">
        <v>0.39</v>
      </c>
      <c r="P2708" s="16">
        <v>210</v>
      </c>
      <c r="Q2708" s="16">
        <v>280</v>
      </c>
      <c r="R2708" s="16">
        <v>15</v>
      </c>
      <c r="S2708" s="18" t="s">
        <v>328</v>
      </c>
      <c r="T2708" s="18"/>
      <c r="U2708" s="17">
        <v>3002</v>
      </c>
      <c r="V2708" s="18" t="s">
        <v>77</v>
      </c>
      <c r="W2708" s="18" t="s">
        <v>55</v>
      </c>
      <c r="X2708" s="16">
        <v>10</v>
      </c>
      <c r="Y2708" s="43" t="str">
        <f>HYPERLINK("https://api-enni.alpina.ru/FilePrivilegesApproval/994","https://api-enni.alpina.ru/FilePrivilegesApproval/994")</f>
        <v>https://api-enni.alpina.ru/FilePrivilegesApproval/994</v>
      </c>
      <c r="Z2708" s="18"/>
      <c r="AS2708" s="1">
        <f>IF($A2708&lt;&gt;0,1,0)</f>
        <v>0</v>
      </c>
      <c r="AT2708" s="1">
        <f>$A2708*$B2708</f>
        <v>0</v>
      </c>
      <c r="AU2708" s="1">
        <f>$A2708*$O2708</f>
        <v>0</v>
      </c>
      <c r="AV2708" s="1">
        <f>IF($R2708=0,0,INT($A2708/$R2708))</f>
        <v>0</v>
      </c>
      <c r="AW2708" s="1">
        <f>$A2708-$AV2708*$R2708</f>
        <v>0</v>
      </c>
    </row>
    <row r="2709" ht="24.95" customHeight="1" outlineLevel="3" s="1" customFormat="1">
      <c r="A2709" s="15"/>
      <c r="B2709" s="16">
        <v>890</v>
      </c>
      <c r="C2709" s="17">
        <v>1246</v>
      </c>
      <c r="D2709" s="16">
        <v>29011</v>
      </c>
      <c r="E2709" s="18"/>
      <c r="F2709" s="18" t="s">
        <v>8884</v>
      </c>
      <c r="G2709" s="18" t="s">
        <v>8892</v>
      </c>
      <c r="H2709" s="18" t="s">
        <v>49</v>
      </c>
      <c r="I2709" s="18" t="s">
        <v>65</v>
      </c>
      <c r="J2709" s="16">
        <v>2026</v>
      </c>
      <c r="K2709" s="18" t="s">
        <v>8893</v>
      </c>
      <c r="L2709" s="16">
        <v>9785961491036</v>
      </c>
      <c r="M2709" s="18" t="s">
        <v>8894</v>
      </c>
      <c r="N2709" s="16">
        <v>96</v>
      </c>
      <c r="O2709" s="19">
        <v>0.44</v>
      </c>
      <c r="P2709" s="16">
        <v>210</v>
      </c>
      <c r="Q2709" s="16">
        <v>260</v>
      </c>
      <c r="R2709" s="16">
        <v>12</v>
      </c>
      <c r="S2709" s="18" t="s">
        <v>328</v>
      </c>
      <c r="T2709" s="18"/>
      <c r="U2709" s="17">
        <v>3000</v>
      </c>
      <c r="V2709" s="18" t="s">
        <v>77</v>
      </c>
      <c r="W2709" s="18" t="s">
        <v>55</v>
      </c>
      <c r="X2709" s="16">
        <v>10</v>
      </c>
      <c r="Y2709" s="18" t="s">
        <v>8848</v>
      </c>
      <c r="Z2709" s="18" t="s">
        <v>2419</v>
      </c>
      <c r="AS2709" s="1">
        <f>IF($A2709&lt;&gt;0,1,0)</f>
        <v>0</v>
      </c>
      <c r="AT2709" s="1">
        <f>$A2709*$B2709</f>
        <v>0</v>
      </c>
      <c r="AU2709" s="1">
        <f>$A2709*$O2709</f>
        <v>0</v>
      </c>
      <c r="AV2709" s="1">
        <f>IF($R2709=0,0,INT($A2709/$R2709))</f>
        <v>0</v>
      </c>
      <c r="AW2709" s="1">
        <f>$A2709-$AV2709*$R2709</f>
        <v>0</v>
      </c>
    </row>
    <row r="2710" ht="24.95" customHeight="1" outlineLevel="3" s="1" customFormat="1">
      <c r="A2710" s="15"/>
      <c r="B2710" s="16">
        <v>420</v>
      </c>
      <c r="C2710" s="16">
        <v>651</v>
      </c>
      <c r="D2710" s="16">
        <v>34817</v>
      </c>
      <c r="E2710" s="18"/>
      <c r="F2710" s="18" t="s">
        <v>8895</v>
      </c>
      <c r="G2710" s="18" t="s">
        <v>8896</v>
      </c>
      <c r="H2710" s="18" t="s">
        <v>49</v>
      </c>
      <c r="I2710" s="18"/>
      <c r="J2710" s="16">
        <v>2025</v>
      </c>
      <c r="K2710" s="18" t="s">
        <v>8897</v>
      </c>
      <c r="L2710" s="16">
        <v>9785006309388</v>
      </c>
      <c r="M2710" s="18" t="s">
        <v>8898</v>
      </c>
      <c r="N2710" s="16">
        <v>32</v>
      </c>
      <c r="O2710" s="19">
        <v>0.29</v>
      </c>
      <c r="P2710" s="16">
        <v>190</v>
      </c>
      <c r="Q2710" s="16">
        <v>250</v>
      </c>
      <c r="R2710" s="16">
        <v>15</v>
      </c>
      <c r="S2710" s="18" t="s">
        <v>328</v>
      </c>
      <c r="T2710" s="18"/>
      <c r="U2710" s="17">
        <v>1200</v>
      </c>
      <c r="V2710" s="18" t="s">
        <v>77</v>
      </c>
      <c r="W2710" s="18" t="s">
        <v>184</v>
      </c>
      <c r="X2710" s="16">
        <v>10</v>
      </c>
      <c r="Y2710" s="18" t="s">
        <v>8899</v>
      </c>
      <c r="Z2710" s="18"/>
      <c r="AS2710" s="1">
        <f>IF($A2710&lt;&gt;0,1,0)</f>
        <v>0</v>
      </c>
      <c r="AT2710" s="1">
        <f>$A2710*$B2710</f>
        <v>0</v>
      </c>
      <c r="AU2710" s="1">
        <f>$A2710*$O2710</f>
        <v>0</v>
      </c>
      <c r="AV2710" s="1">
        <f>IF($R2710=0,0,INT($A2710/$R2710))</f>
        <v>0</v>
      </c>
      <c r="AW2710" s="1">
        <f>$A2710-$AV2710*$R2710</f>
        <v>0</v>
      </c>
    </row>
    <row r="2711" ht="24.95" customHeight="1" outlineLevel="3" s="1" customFormat="1">
      <c r="A2711" s="15"/>
      <c r="B2711" s="16">
        <v>750</v>
      </c>
      <c r="C2711" s="17">
        <v>1146</v>
      </c>
      <c r="D2711" s="16">
        <v>31547</v>
      </c>
      <c r="E2711" s="18"/>
      <c r="F2711" s="18" t="s">
        <v>8900</v>
      </c>
      <c r="G2711" s="18" t="s">
        <v>8901</v>
      </c>
      <c r="H2711" s="18" t="s">
        <v>49</v>
      </c>
      <c r="I2711" s="18"/>
      <c r="J2711" s="16">
        <v>2026</v>
      </c>
      <c r="K2711" s="18" t="s">
        <v>8902</v>
      </c>
      <c r="L2711" s="16">
        <v>9785961499193</v>
      </c>
      <c r="M2711" s="18" t="s">
        <v>8903</v>
      </c>
      <c r="N2711" s="16">
        <v>64</v>
      </c>
      <c r="O2711" s="19">
        <v>0.48</v>
      </c>
      <c r="P2711" s="16">
        <v>250</v>
      </c>
      <c r="Q2711" s="16">
        <v>300</v>
      </c>
      <c r="R2711" s="16">
        <v>10</v>
      </c>
      <c r="S2711" s="18" t="s">
        <v>123</v>
      </c>
      <c r="T2711" s="18" t="s">
        <v>8803</v>
      </c>
      <c r="U2711" s="17">
        <v>3000</v>
      </c>
      <c r="V2711" s="18" t="s">
        <v>77</v>
      </c>
      <c r="W2711" s="18" t="s">
        <v>55</v>
      </c>
      <c r="X2711" s="16">
        <v>10</v>
      </c>
      <c r="Y2711" s="18" t="s">
        <v>8834</v>
      </c>
      <c r="Z2711" s="18"/>
      <c r="AS2711" s="1">
        <f>IF($A2711&lt;&gt;0,1,0)</f>
        <v>0</v>
      </c>
      <c r="AT2711" s="1">
        <f>$A2711*$B2711</f>
        <v>0</v>
      </c>
      <c r="AU2711" s="1">
        <f>$A2711*$O2711</f>
        <v>0</v>
      </c>
      <c r="AV2711" s="1">
        <f>IF($R2711=0,0,INT($A2711/$R2711))</f>
        <v>0</v>
      </c>
      <c r="AW2711" s="1">
        <f>$A2711-$AV2711*$R2711</f>
        <v>0</v>
      </c>
    </row>
    <row r="2712" ht="24.95" customHeight="1" outlineLevel="3" s="1" customFormat="1">
      <c r="A2712" s="15"/>
      <c r="B2712" s="16">
        <v>750</v>
      </c>
      <c r="C2712" s="17">
        <v>1088</v>
      </c>
      <c r="D2712" s="16">
        <v>34181</v>
      </c>
      <c r="E2712" s="18"/>
      <c r="F2712" s="18" t="s">
        <v>8904</v>
      </c>
      <c r="G2712" s="18" t="s">
        <v>8905</v>
      </c>
      <c r="H2712" s="18" t="s">
        <v>49</v>
      </c>
      <c r="I2712" s="18"/>
      <c r="J2712" s="16">
        <v>2026</v>
      </c>
      <c r="K2712" s="18" t="s">
        <v>8906</v>
      </c>
      <c r="L2712" s="16">
        <v>9785006306509</v>
      </c>
      <c r="M2712" s="18" t="s">
        <v>8907</v>
      </c>
      <c r="N2712" s="16">
        <v>64</v>
      </c>
      <c r="O2712" s="19">
        <v>0.49</v>
      </c>
      <c r="P2712" s="16">
        <v>250</v>
      </c>
      <c r="Q2712" s="16">
        <v>300</v>
      </c>
      <c r="R2712" s="16">
        <v>10</v>
      </c>
      <c r="S2712" s="18" t="s">
        <v>83</v>
      </c>
      <c r="T2712" s="18" t="s">
        <v>8803</v>
      </c>
      <c r="U2712" s="17">
        <v>3000</v>
      </c>
      <c r="V2712" s="18" t="s">
        <v>77</v>
      </c>
      <c r="W2712" s="18" t="s">
        <v>55</v>
      </c>
      <c r="X2712" s="16">
        <v>10</v>
      </c>
      <c r="Y2712" s="18" t="s">
        <v>8908</v>
      </c>
      <c r="Z2712" s="18" t="s">
        <v>835</v>
      </c>
      <c r="AS2712" s="1">
        <f>IF($A2712&lt;&gt;0,1,0)</f>
        <v>0</v>
      </c>
      <c r="AT2712" s="1">
        <f>$A2712*$B2712</f>
        <v>0</v>
      </c>
      <c r="AU2712" s="1">
        <f>$A2712*$O2712</f>
        <v>0</v>
      </c>
      <c r="AV2712" s="1">
        <f>IF($R2712=0,0,INT($A2712/$R2712))</f>
        <v>0</v>
      </c>
      <c r="AW2712" s="1">
        <f>$A2712-$AV2712*$R2712</f>
        <v>0</v>
      </c>
    </row>
    <row r="2713" ht="24.95" customHeight="1" outlineLevel="3" s="1" customFormat="1">
      <c r="A2713" s="15"/>
      <c r="B2713" s="16">
        <v>790</v>
      </c>
      <c r="C2713" s="17">
        <v>1146</v>
      </c>
      <c r="D2713" s="16">
        <v>29760</v>
      </c>
      <c r="E2713" s="18"/>
      <c r="F2713" s="18" t="s">
        <v>8835</v>
      </c>
      <c r="G2713" s="18" t="s">
        <v>8909</v>
      </c>
      <c r="H2713" s="18" t="s">
        <v>49</v>
      </c>
      <c r="I2713" s="18"/>
      <c r="J2713" s="16">
        <v>2025</v>
      </c>
      <c r="K2713" s="18" t="s">
        <v>8910</v>
      </c>
      <c r="L2713" s="16">
        <v>9785961493894</v>
      </c>
      <c r="M2713" s="18" t="s">
        <v>8911</v>
      </c>
      <c r="N2713" s="16">
        <v>64</v>
      </c>
      <c r="O2713" s="19">
        <v>0.5</v>
      </c>
      <c r="P2713" s="16">
        <v>250</v>
      </c>
      <c r="Q2713" s="16">
        <v>300</v>
      </c>
      <c r="R2713" s="16">
        <v>12</v>
      </c>
      <c r="S2713" s="18" t="s">
        <v>123</v>
      </c>
      <c r="T2713" s="18" t="s">
        <v>8803</v>
      </c>
      <c r="U2713" s="17">
        <v>3000</v>
      </c>
      <c r="V2713" s="18" t="s">
        <v>77</v>
      </c>
      <c r="W2713" s="18" t="s">
        <v>55</v>
      </c>
      <c r="X2713" s="16">
        <v>10</v>
      </c>
      <c r="Y2713" s="18" t="s">
        <v>8848</v>
      </c>
      <c r="Z2713" s="18"/>
      <c r="AS2713" s="1">
        <f>IF($A2713&lt;&gt;0,1,0)</f>
        <v>0</v>
      </c>
      <c r="AT2713" s="1">
        <f>$A2713*$B2713</f>
        <v>0</v>
      </c>
      <c r="AU2713" s="1">
        <f>$A2713*$O2713</f>
        <v>0</v>
      </c>
      <c r="AV2713" s="1">
        <f>IF($R2713=0,0,INT($A2713/$R2713))</f>
        <v>0</v>
      </c>
      <c r="AW2713" s="1">
        <f>$A2713-$AV2713*$R2713</f>
        <v>0</v>
      </c>
    </row>
    <row r="2714" ht="24.95" customHeight="1" outlineLevel="3" s="1" customFormat="1">
      <c r="A2714" s="15"/>
      <c r="B2714" s="16">
        <v>790</v>
      </c>
      <c r="C2714" s="17">
        <v>1146</v>
      </c>
      <c r="D2714" s="16">
        <v>31497</v>
      </c>
      <c r="E2714" s="18"/>
      <c r="F2714" s="18" t="s">
        <v>3508</v>
      </c>
      <c r="G2714" s="18" t="s">
        <v>8912</v>
      </c>
      <c r="H2714" s="18" t="s">
        <v>49</v>
      </c>
      <c r="I2714" s="18"/>
      <c r="J2714" s="16">
        <v>2026</v>
      </c>
      <c r="K2714" s="18" t="s">
        <v>8913</v>
      </c>
      <c r="L2714" s="16">
        <v>9785961499056</v>
      </c>
      <c r="M2714" s="18" t="s">
        <v>8914</v>
      </c>
      <c r="N2714" s="16">
        <v>64</v>
      </c>
      <c r="O2714" s="19">
        <v>0.56</v>
      </c>
      <c r="P2714" s="16">
        <v>250</v>
      </c>
      <c r="Q2714" s="16">
        <v>300</v>
      </c>
      <c r="R2714" s="16">
        <v>10</v>
      </c>
      <c r="S2714" s="18" t="s">
        <v>123</v>
      </c>
      <c r="T2714" s="18" t="s">
        <v>8803</v>
      </c>
      <c r="U2714" s="17">
        <v>3000</v>
      </c>
      <c r="V2714" s="18" t="s">
        <v>77</v>
      </c>
      <c r="W2714" s="18" t="s">
        <v>55</v>
      </c>
      <c r="X2714" s="16">
        <v>10</v>
      </c>
      <c r="Y2714" s="18" t="s">
        <v>7918</v>
      </c>
      <c r="Z2714" s="18"/>
      <c r="AS2714" s="1">
        <f>IF($A2714&lt;&gt;0,1,0)</f>
        <v>0</v>
      </c>
      <c r="AT2714" s="1">
        <f>$A2714*$B2714</f>
        <v>0</v>
      </c>
      <c r="AU2714" s="1">
        <f>$A2714*$O2714</f>
        <v>0</v>
      </c>
      <c r="AV2714" s="1">
        <f>IF($R2714=0,0,INT($A2714/$R2714))</f>
        <v>0</v>
      </c>
      <c r="AW2714" s="1">
        <f>$A2714-$AV2714*$R2714</f>
        <v>0</v>
      </c>
    </row>
    <row r="2715" ht="24.95" customHeight="1" outlineLevel="3" s="1" customFormat="1">
      <c r="A2715" s="15"/>
      <c r="B2715" s="16">
        <v>750</v>
      </c>
      <c r="C2715" s="17">
        <v>1088</v>
      </c>
      <c r="D2715" s="16">
        <v>35614</v>
      </c>
      <c r="E2715" s="18"/>
      <c r="F2715" s="18" t="s">
        <v>8915</v>
      </c>
      <c r="G2715" s="18" t="s">
        <v>8916</v>
      </c>
      <c r="H2715" s="18" t="s">
        <v>49</v>
      </c>
      <c r="I2715" s="18"/>
      <c r="J2715" s="16">
        <v>2025</v>
      </c>
      <c r="K2715" s="18" t="s">
        <v>8917</v>
      </c>
      <c r="L2715" s="16">
        <v>9785006312562</v>
      </c>
      <c r="M2715" s="18" t="s">
        <v>8918</v>
      </c>
      <c r="N2715" s="16">
        <v>64</v>
      </c>
      <c r="O2715" s="19">
        <v>0.48</v>
      </c>
      <c r="P2715" s="16">
        <v>250</v>
      </c>
      <c r="Q2715" s="16">
        <v>300</v>
      </c>
      <c r="R2715" s="16">
        <v>10</v>
      </c>
      <c r="S2715" s="18" t="s">
        <v>123</v>
      </c>
      <c r="T2715" s="18" t="s">
        <v>8803</v>
      </c>
      <c r="U2715" s="17">
        <v>3000</v>
      </c>
      <c r="V2715" s="18" t="s">
        <v>77</v>
      </c>
      <c r="W2715" s="18" t="s">
        <v>55</v>
      </c>
      <c r="X2715" s="16">
        <v>10</v>
      </c>
      <c r="Y2715" s="18" t="s">
        <v>8824</v>
      </c>
      <c r="Z2715" s="18"/>
      <c r="AS2715" s="1">
        <f>IF($A2715&lt;&gt;0,1,0)</f>
        <v>0</v>
      </c>
      <c r="AT2715" s="1">
        <f>$A2715*$B2715</f>
        <v>0</v>
      </c>
      <c r="AU2715" s="1">
        <f>$A2715*$O2715</f>
        <v>0</v>
      </c>
      <c r="AV2715" s="1">
        <f>IF($R2715=0,0,INT($A2715/$R2715))</f>
        <v>0</v>
      </c>
      <c r="AW2715" s="1">
        <f>$A2715-$AV2715*$R2715</f>
        <v>0</v>
      </c>
    </row>
    <row r="2716" ht="24.95" customHeight="1" outlineLevel="3" s="1" customFormat="1">
      <c r="A2716" s="15"/>
      <c r="B2716" s="16">
        <v>540</v>
      </c>
      <c r="C2716" s="16">
        <v>837</v>
      </c>
      <c r="D2716" s="16">
        <v>24370</v>
      </c>
      <c r="E2716" s="18"/>
      <c r="F2716" s="18" t="s">
        <v>8919</v>
      </c>
      <c r="G2716" s="18" t="s">
        <v>8920</v>
      </c>
      <c r="H2716" s="18" t="s">
        <v>49</v>
      </c>
      <c r="I2716" s="18"/>
      <c r="J2716" s="16">
        <v>2022</v>
      </c>
      <c r="K2716" s="18" t="s">
        <v>8921</v>
      </c>
      <c r="L2716" s="16">
        <v>9785961476484</v>
      </c>
      <c r="M2716" s="18" t="s">
        <v>8922</v>
      </c>
      <c r="N2716" s="16">
        <v>232</v>
      </c>
      <c r="O2716" s="19">
        <v>0.39</v>
      </c>
      <c r="P2716" s="16">
        <v>145</v>
      </c>
      <c r="Q2716" s="16">
        <v>216</v>
      </c>
      <c r="R2716" s="16">
        <v>14</v>
      </c>
      <c r="S2716" s="18" t="s">
        <v>43</v>
      </c>
      <c r="T2716" s="18"/>
      <c r="U2716" s="17">
        <v>4000</v>
      </c>
      <c r="V2716" s="18" t="s">
        <v>77</v>
      </c>
      <c r="W2716" s="18" t="s">
        <v>55</v>
      </c>
      <c r="X2716" s="16">
        <v>10</v>
      </c>
      <c r="Y2716" s="43" t="str">
        <f>HYPERLINK("","")</f>
      </c>
      <c r="Z2716" s="18"/>
      <c r="AS2716" s="1">
        <f>IF($A2716&lt;&gt;0,1,0)</f>
        <v>0</v>
      </c>
      <c r="AT2716" s="1">
        <f>$A2716*$B2716</f>
        <v>0</v>
      </c>
      <c r="AU2716" s="1">
        <f>$A2716*$O2716</f>
        <v>0</v>
      </c>
      <c r="AV2716" s="1">
        <f>IF($R2716=0,0,INT($A2716/$R2716))</f>
        <v>0</v>
      </c>
      <c r="AW2716" s="1">
        <f>$A2716-$AV2716*$R2716</f>
        <v>0</v>
      </c>
    </row>
    <row r="2717" ht="24.95" customHeight="1" outlineLevel="3" s="1" customFormat="1">
      <c r="A2717" s="15"/>
      <c r="B2717" s="16">
        <v>990</v>
      </c>
      <c r="C2717" s="17">
        <v>1386</v>
      </c>
      <c r="D2717" s="16">
        <v>31819</v>
      </c>
      <c r="E2717" s="18"/>
      <c r="F2717" s="18" t="s">
        <v>8923</v>
      </c>
      <c r="G2717" s="18" t="s">
        <v>8924</v>
      </c>
      <c r="H2717" s="18" t="s">
        <v>49</v>
      </c>
      <c r="I2717" s="18" t="s">
        <v>74</v>
      </c>
      <c r="J2717" s="16">
        <v>2026</v>
      </c>
      <c r="K2717" s="18" t="s">
        <v>8925</v>
      </c>
      <c r="L2717" s="16">
        <v>9785006300293</v>
      </c>
      <c r="M2717" s="18" t="s">
        <v>8926</v>
      </c>
      <c r="N2717" s="16">
        <v>88</v>
      </c>
      <c r="O2717" s="19">
        <v>0.57</v>
      </c>
      <c r="P2717" s="16">
        <v>240</v>
      </c>
      <c r="Q2717" s="16">
        <v>310</v>
      </c>
      <c r="R2717" s="16">
        <v>10</v>
      </c>
      <c r="S2717" s="18" t="s">
        <v>83</v>
      </c>
      <c r="T2717" s="18"/>
      <c r="U2717" s="17">
        <v>2500</v>
      </c>
      <c r="V2717" s="18" t="s">
        <v>77</v>
      </c>
      <c r="W2717" s="18" t="s">
        <v>55</v>
      </c>
      <c r="X2717" s="16">
        <v>10</v>
      </c>
      <c r="Y2717" s="18" t="s">
        <v>540</v>
      </c>
      <c r="Z2717" s="18"/>
      <c r="AS2717" s="1">
        <f>IF($A2717&lt;&gt;0,1,0)</f>
        <v>0</v>
      </c>
      <c r="AT2717" s="1">
        <f>$A2717*$B2717</f>
        <v>0</v>
      </c>
      <c r="AU2717" s="1">
        <f>$A2717*$O2717</f>
        <v>0</v>
      </c>
      <c r="AV2717" s="1">
        <f>IF($R2717=0,0,INT($A2717/$R2717))</f>
        <v>0</v>
      </c>
      <c r="AW2717" s="1">
        <f>$A2717-$AV2717*$R2717</f>
        <v>0</v>
      </c>
    </row>
    <row r="2718" ht="24.95" customHeight="1" outlineLevel="3" s="1" customFormat="1">
      <c r="A2718" s="15"/>
      <c r="B2718" s="16">
        <v>990</v>
      </c>
      <c r="C2718" s="17">
        <v>1377</v>
      </c>
      <c r="D2718" s="16">
        <v>31818</v>
      </c>
      <c r="E2718" s="18"/>
      <c r="F2718" s="18" t="s">
        <v>8927</v>
      </c>
      <c r="G2718" s="18" t="s">
        <v>8928</v>
      </c>
      <c r="H2718" s="18" t="s">
        <v>49</v>
      </c>
      <c r="I2718" s="18" t="s">
        <v>74</v>
      </c>
      <c r="J2718" s="16">
        <v>2026</v>
      </c>
      <c r="K2718" s="18" t="s">
        <v>8929</v>
      </c>
      <c r="L2718" s="16">
        <v>9785006300286</v>
      </c>
      <c r="M2718" s="18" t="s">
        <v>8930</v>
      </c>
      <c r="N2718" s="16">
        <v>80</v>
      </c>
      <c r="O2718" s="19">
        <v>0.54</v>
      </c>
      <c r="P2718" s="16">
        <v>240</v>
      </c>
      <c r="Q2718" s="16">
        <v>300</v>
      </c>
      <c r="R2718" s="16">
        <v>10</v>
      </c>
      <c r="S2718" s="18" t="s">
        <v>83</v>
      </c>
      <c r="T2718" s="18"/>
      <c r="U2718" s="17">
        <v>2500</v>
      </c>
      <c r="V2718" s="18" t="s">
        <v>77</v>
      </c>
      <c r="W2718" s="18" t="s">
        <v>55</v>
      </c>
      <c r="X2718" s="16">
        <v>10</v>
      </c>
      <c r="Y2718" s="18" t="s">
        <v>8931</v>
      </c>
      <c r="Z2718" s="18"/>
      <c r="AS2718" s="1">
        <f>IF($A2718&lt;&gt;0,1,0)</f>
        <v>0</v>
      </c>
      <c r="AT2718" s="1">
        <f>$A2718*$B2718</f>
        <v>0</v>
      </c>
      <c r="AU2718" s="1">
        <f>$A2718*$O2718</f>
        <v>0</v>
      </c>
      <c r="AV2718" s="1">
        <f>IF($R2718=0,0,INT($A2718/$R2718))</f>
        <v>0</v>
      </c>
      <c r="AW2718" s="1">
        <f>$A2718-$AV2718*$R2718</f>
        <v>0</v>
      </c>
    </row>
    <row r="2719" ht="24.95" customHeight="1" outlineLevel="3" s="1" customFormat="1">
      <c r="A2719" s="15"/>
      <c r="B2719" s="16">
        <v>850</v>
      </c>
      <c r="C2719" s="17">
        <v>1232</v>
      </c>
      <c r="D2719" s="16">
        <v>32964</v>
      </c>
      <c r="E2719" s="18"/>
      <c r="F2719" s="18" t="s">
        <v>8932</v>
      </c>
      <c r="G2719" s="18" t="s">
        <v>8933</v>
      </c>
      <c r="H2719" s="18" t="s">
        <v>49</v>
      </c>
      <c r="I2719" s="18"/>
      <c r="J2719" s="16">
        <v>2026</v>
      </c>
      <c r="K2719" s="18" t="s">
        <v>8934</v>
      </c>
      <c r="L2719" s="16">
        <v>9785006303522</v>
      </c>
      <c r="M2719" s="18" t="s">
        <v>8935</v>
      </c>
      <c r="N2719" s="16">
        <v>72</v>
      </c>
      <c r="O2719" s="19">
        <v>0.19</v>
      </c>
      <c r="P2719" s="16">
        <v>190</v>
      </c>
      <c r="Q2719" s="16">
        <v>180</v>
      </c>
      <c r="R2719" s="16">
        <v>20</v>
      </c>
      <c r="S2719" s="18" t="s">
        <v>328</v>
      </c>
      <c r="T2719" s="18" t="s">
        <v>8936</v>
      </c>
      <c r="U2719" s="17">
        <v>4000</v>
      </c>
      <c r="V2719" s="18" t="s">
        <v>77</v>
      </c>
      <c r="W2719" s="18" t="s">
        <v>91</v>
      </c>
      <c r="X2719" s="16">
        <v>10</v>
      </c>
      <c r="Y2719" s="18" t="s">
        <v>8937</v>
      </c>
      <c r="Z2719" s="18"/>
      <c r="AS2719" s="1">
        <f>IF($A2719&lt;&gt;0,1,0)</f>
        <v>0</v>
      </c>
      <c r="AT2719" s="1">
        <f>$A2719*$B2719</f>
        <v>0</v>
      </c>
      <c r="AU2719" s="1">
        <f>$A2719*$O2719</f>
        <v>0</v>
      </c>
      <c r="AV2719" s="1">
        <f>IF($R2719=0,0,INT($A2719/$R2719))</f>
        <v>0</v>
      </c>
      <c r="AW2719" s="1">
        <f>$A2719-$AV2719*$R2719</f>
        <v>0</v>
      </c>
    </row>
    <row r="2720" ht="24.95" customHeight="1" outlineLevel="3" s="1" customFormat="1">
      <c r="A2720" s="15"/>
      <c r="B2720" s="16">
        <v>850</v>
      </c>
      <c r="C2720" s="17">
        <v>1233</v>
      </c>
      <c r="D2720" s="16">
        <v>27243</v>
      </c>
      <c r="E2720" s="18"/>
      <c r="F2720" s="18" t="s">
        <v>3439</v>
      </c>
      <c r="G2720" s="18" t="s">
        <v>8938</v>
      </c>
      <c r="H2720" s="18" t="s">
        <v>49</v>
      </c>
      <c r="I2720" s="18"/>
      <c r="J2720" s="16">
        <v>2024</v>
      </c>
      <c r="K2720" s="18" t="s">
        <v>8939</v>
      </c>
      <c r="L2720" s="16">
        <v>9785961484304</v>
      </c>
      <c r="M2720" s="18" t="s">
        <v>8940</v>
      </c>
      <c r="N2720" s="16">
        <v>72</v>
      </c>
      <c r="O2720" s="19">
        <v>0.45</v>
      </c>
      <c r="P2720" s="16">
        <v>210</v>
      </c>
      <c r="Q2720" s="16">
        <v>260</v>
      </c>
      <c r="R2720" s="16">
        <v>12</v>
      </c>
      <c r="S2720" s="18" t="s">
        <v>328</v>
      </c>
      <c r="T2720" s="18" t="s">
        <v>8936</v>
      </c>
      <c r="U2720" s="17">
        <v>2000</v>
      </c>
      <c r="V2720" s="18" t="s">
        <v>77</v>
      </c>
      <c r="W2720" s="18" t="s">
        <v>91</v>
      </c>
      <c r="X2720" s="16">
        <v>10</v>
      </c>
      <c r="Y2720" s="18" t="s">
        <v>8848</v>
      </c>
      <c r="Z2720" s="18"/>
      <c r="AS2720" s="1">
        <f>IF($A2720&lt;&gt;0,1,0)</f>
        <v>0</v>
      </c>
      <c r="AT2720" s="1">
        <f>$A2720*$B2720</f>
        <v>0</v>
      </c>
      <c r="AU2720" s="1">
        <f>$A2720*$O2720</f>
        <v>0</v>
      </c>
      <c r="AV2720" s="1">
        <f>IF($R2720=0,0,INT($A2720/$R2720))</f>
        <v>0</v>
      </c>
      <c r="AW2720" s="1">
        <f>$A2720-$AV2720*$R2720</f>
        <v>0</v>
      </c>
    </row>
    <row r="2721" ht="24.95" customHeight="1" outlineLevel="3" s="1" customFormat="1">
      <c r="A2721" s="15"/>
      <c r="B2721" s="16">
        <v>990</v>
      </c>
      <c r="C2721" s="17">
        <v>1386</v>
      </c>
      <c r="D2721" s="16">
        <v>35283</v>
      </c>
      <c r="E2721" s="18"/>
      <c r="F2721" s="18" t="s">
        <v>8941</v>
      </c>
      <c r="G2721" s="18" t="s">
        <v>8942</v>
      </c>
      <c r="H2721" s="18" t="s">
        <v>49</v>
      </c>
      <c r="I2721" s="18" t="s">
        <v>74</v>
      </c>
      <c r="J2721" s="16">
        <v>2026</v>
      </c>
      <c r="K2721" s="18" t="s">
        <v>8943</v>
      </c>
      <c r="L2721" s="16">
        <v>9785006310278</v>
      </c>
      <c r="M2721" s="18" t="s">
        <v>8944</v>
      </c>
      <c r="N2721" s="16">
        <v>104</v>
      </c>
      <c r="O2721" s="19">
        <v>0.64</v>
      </c>
      <c r="P2721" s="16">
        <v>240</v>
      </c>
      <c r="Q2721" s="16">
        <v>300</v>
      </c>
      <c r="R2721" s="16">
        <v>8</v>
      </c>
      <c r="S2721" s="18" t="s">
        <v>83</v>
      </c>
      <c r="T2721" s="18"/>
      <c r="U2721" s="17">
        <v>2000</v>
      </c>
      <c r="V2721" s="18" t="s">
        <v>77</v>
      </c>
      <c r="W2721" s="18" t="s">
        <v>55</v>
      </c>
      <c r="X2721" s="16">
        <v>10</v>
      </c>
      <c r="Y2721" s="18" t="s">
        <v>540</v>
      </c>
      <c r="Z2721" s="18"/>
      <c r="AS2721" s="1">
        <f>IF($A2721&lt;&gt;0,1,0)</f>
        <v>0</v>
      </c>
      <c r="AT2721" s="1">
        <f>$A2721*$B2721</f>
        <v>0</v>
      </c>
      <c r="AU2721" s="1">
        <f>$A2721*$O2721</f>
        <v>0</v>
      </c>
      <c r="AV2721" s="1">
        <f>IF($R2721=0,0,INT($A2721/$R2721))</f>
        <v>0</v>
      </c>
      <c r="AW2721" s="1">
        <f>$A2721-$AV2721*$R2721</f>
        <v>0</v>
      </c>
    </row>
    <row r="2722" ht="24.95" customHeight="1" outlineLevel="3" s="1" customFormat="1">
      <c r="A2722" s="15"/>
      <c r="B2722" s="16">
        <v>900</v>
      </c>
      <c r="C2722" s="17">
        <v>1260</v>
      </c>
      <c r="D2722" s="16">
        <v>27929</v>
      </c>
      <c r="E2722" s="18"/>
      <c r="F2722" s="18" t="s">
        <v>8945</v>
      </c>
      <c r="G2722" s="18" t="s">
        <v>8946</v>
      </c>
      <c r="H2722" s="18" t="s">
        <v>49</v>
      </c>
      <c r="I2722" s="18"/>
      <c r="J2722" s="16">
        <v>2026</v>
      </c>
      <c r="K2722" s="18" t="s">
        <v>8947</v>
      </c>
      <c r="L2722" s="16">
        <v>9785961486858</v>
      </c>
      <c r="M2722" s="18" t="s">
        <v>8948</v>
      </c>
      <c r="N2722" s="16">
        <v>72</v>
      </c>
      <c r="O2722" s="19">
        <v>0.51</v>
      </c>
      <c r="P2722" s="16">
        <v>230</v>
      </c>
      <c r="Q2722" s="16">
        <v>300</v>
      </c>
      <c r="R2722" s="16">
        <v>10</v>
      </c>
      <c r="S2722" s="18" t="s">
        <v>83</v>
      </c>
      <c r="T2722" s="18" t="s">
        <v>333</v>
      </c>
      <c r="U2722" s="17">
        <v>2000</v>
      </c>
      <c r="V2722" s="18" t="s">
        <v>77</v>
      </c>
      <c r="W2722" s="18" t="s">
        <v>55</v>
      </c>
      <c r="X2722" s="16">
        <v>10</v>
      </c>
      <c r="Y2722" s="18" t="s">
        <v>8848</v>
      </c>
      <c r="Z2722" s="18"/>
      <c r="AS2722" s="1">
        <f>IF($A2722&lt;&gt;0,1,0)</f>
        <v>0</v>
      </c>
      <c r="AT2722" s="1">
        <f>$A2722*$B2722</f>
        <v>0</v>
      </c>
      <c r="AU2722" s="1">
        <f>$A2722*$O2722</f>
        <v>0</v>
      </c>
      <c r="AV2722" s="1">
        <f>IF($R2722=0,0,INT($A2722/$R2722))</f>
        <v>0</v>
      </c>
      <c r="AW2722" s="1">
        <f>$A2722-$AV2722*$R2722</f>
        <v>0</v>
      </c>
    </row>
    <row r="2723" ht="24.95" customHeight="1" outlineLevel="3" s="1" customFormat="1">
      <c r="A2723" s="15"/>
      <c r="B2723" s="16">
        <v>750</v>
      </c>
      <c r="C2723" s="17">
        <v>1088</v>
      </c>
      <c r="D2723" s="16">
        <v>30992</v>
      </c>
      <c r="E2723" s="18"/>
      <c r="F2723" s="18" t="s">
        <v>329</v>
      </c>
      <c r="G2723" s="18" t="s">
        <v>330</v>
      </c>
      <c r="H2723" s="18" t="s">
        <v>49</v>
      </c>
      <c r="I2723" s="18"/>
      <c r="J2723" s="16">
        <v>2026</v>
      </c>
      <c r="K2723" s="18" t="s">
        <v>331</v>
      </c>
      <c r="L2723" s="16">
        <v>9785002830879</v>
      </c>
      <c r="M2723" s="18" t="s">
        <v>332</v>
      </c>
      <c r="N2723" s="16">
        <v>72</v>
      </c>
      <c r="O2723" s="19">
        <v>0.48</v>
      </c>
      <c r="P2723" s="16">
        <v>230</v>
      </c>
      <c r="Q2723" s="16">
        <v>300</v>
      </c>
      <c r="R2723" s="16">
        <v>14</v>
      </c>
      <c r="S2723" s="18" t="s">
        <v>83</v>
      </c>
      <c r="T2723" s="18" t="s">
        <v>333</v>
      </c>
      <c r="U2723" s="17">
        <v>3000</v>
      </c>
      <c r="V2723" s="18" t="s">
        <v>77</v>
      </c>
      <c r="W2723" s="18" t="s">
        <v>55</v>
      </c>
      <c r="X2723" s="16">
        <v>10</v>
      </c>
      <c r="Y2723" s="43" t="str">
        <f>HYPERLINK("","")</f>
      </c>
      <c r="Z2723" s="18" t="s">
        <v>46</v>
      </c>
      <c r="AS2723" s="1">
        <f>IF($A2723&lt;&gt;0,1,0)</f>
        <v>0</v>
      </c>
      <c r="AT2723" s="1">
        <f>$A2723*$B2723</f>
        <v>0</v>
      </c>
      <c r="AU2723" s="1">
        <f>$A2723*$O2723</f>
        <v>0</v>
      </c>
      <c r="AV2723" s="1">
        <f>IF($R2723=0,0,INT($A2723/$R2723))</f>
        <v>0</v>
      </c>
      <c r="AW2723" s="1">
        <f>$A2723-$AV2723*$R2723</f>
        <v>0</v>
      </c>
    </row>
    <row r="2724" ht="24.95" customHeight="1" outlineLevel="3" s="1" customFormat="1">
      <c r="A2724" s="15"/>
      <c r="B2724" s="16">
        <v>900</v>
      </c>
      <c r="C2724" s="17">
        <v>1260</v>
      </c>
      <c r="D2724" s="16">
        <v>31417</v>
      </c>
      <c r="E2724" s="18"/>
      <c r="F2724" s="18" t="s">
        <v>8949</v>
      </c>
      <c r="G2724" s="18" t="s">
        <v>8950</v>
      </c>
      <c r="H2724" s="18" t="s">
        <v>49</v>
      </c>
      <c r="I2724" s="18"/>
      <c r="J2724" s="16">
        <v>2026</v>
      </c>
      <c r="K2724" s="18" t="s">
        <v>8951</v>
      </c>
      <c r="L2724" s="16">
        <v>9785961498615</v>
      </c>
      <c r="M2724" s="18" t="s">
        <v>8952</v>
      </c>
      <c r="N2724" s="16">
        <v>72</v>
      </c>
      <c r="O2724" s="19">
        <v>0.47</v>
      </c>
      <c r="P2724" s="16">
        <v>230</v>
      </c>
      <c r="Q2724" s="16">
        <v>300</v>
      </c>
      <c r="R2724" s="16">
        <v>10</v>
      </c>
      <c r="S2724" s="18" t="s">
        <v>83</v>
      </c>
      <c r="T2724" s="18" t="s">
        <v>333</v>
      </c>
      <c r="U2724" s="17">
        <v>2000</v>
      </c>
      <c r="V2724" s="18" t="s">
        <v>77</v>
      </c>
      <c r="W2724" s="18" t="s">
        <v>55</v>
      </c>
      <c r="X2724" s="16">
        <v>10</v>
      </c>
      <c r="Y2724" s="18" t="s">
        <v>8272</v>
      </c>
      <c r="Z2724" s="18"/>
      <c r="AS2724" s="1">
        <f>IF($A2724&lt;&gt;0,1,0)</f>
        <v>0</v>
      </c>
      <c r="AT2724" s="1">
        <f>$A2724*$B2724</f>
        <v>0</v>
      </c>
      <c r="AU2724" s="1">
        <f>$A2724*$O2724</f>
        <v>0</v>
      </c>
      <c r="AV2724" s="1">
        <f>IF($R2724=0,0,INT($A2724/$R2724))</f>
        <v>0</v>
      </c>
      <c r="AW2724" s="1">
        <f>$A2724-$AV2724*$R2724</f>
        <v>0</v>
      </c>
    </row>
    <row r="2725" ht="24.95" customHeight="1" outlineLevel="3" s="1" customFormat="1">
      <c r="A2725" s="15"/>
      <c r="B2725" s="16">
        <v>750</v>
      </c>
      <c r="C2725" s="17">
        <v>1088</v>
      </c>
      <c r="D2725" s="16">
        <v>33374</v>
      </c>
      <c r="E2725" s="18"/>
      <c r="F2725" s="18" t="s">
        <v>334</v>
      </c>
      <c r="G2725" s="18" t="s">
        <v>335</v>
      </c>
      <c r="H2725" s="18" t="s">
        <v>49</v>
      </c>
      <c r="I2725" s="18"/>
      <c r="J2725" s="16">
        <v>2026</v>
      </c>
      <c r="K2725" s="18" t="s">
        <v>336</v>
      </c>
      <c r="L2725" s="16">
        <v>9785006304505</v>
      </c>
      <c r="M2725" s="18" t="s">
        <v>337</v>
      </c>
      <c r="N2725" s="16">
        <v>72</v>
      </c>
      <c r="O2725" s="19">
        <v>0.48</v>
      </c>
      <c r="P2725" s="16">
        <v>230</v>
      </c>
      <c r="Q2725" s="16">
        <v>300</v>
      </c>
      <c r="R2725" s="16">
        <v>14</v>
      </c>
      <c r="S2725" s="18" t="s">
        <v>83</v>
      </c>
      <c r="T2725" s="18" t="s">
        <v>333</v>
      </c>
      <c r="U2725" s="17">
        <v>3500</v>
      </c>
      <c r="V2725" s="18" t="s">
        <v>77</v>
      </c>
      <c r="W2725" s="18" t="s">
        <v>55</v>
      </c>
      <c r="X2725" s="16">
        <v>10</v>
      </c>
      <c r="Y2725" s="43" t="str">
        <f>HYPERLINK("","")</f>
      </c>
      <c r="Z2725" s="18" t="s">
        <v>246</v>
      </c>
      <c r="AS2725" s="1">
        <f>IF($A2725&lt;&gt;0,1,0)</f>
        <v>0</v>
      </c>
      <c r="AT2725" s="1">
        <f>$A2725*$B2725</f>
        <v>0</v>
      </c>
      <c r="AU2725" s="1">
        <f>$A2725*$O2725</f>
        <v>0</v>
      </c>
      <c r="AV2725" s="1">
        <f>IF($R2725=0,0,INT($A2725/$R2725))</f>
        <v>0</v>
      </c>
      <c r="AW2725" s="1">
        <f>$A2725-$AV2725*$R2725</f>
        <v>0</v>
      </c>
    </row>
    <row r="2726" ht="24.95" customHeight="1" outlineLevel="3" s="1" customFormat="1">
      <c r="A2726" s="15"/>
      <c r="B2726" s="16">
        <v>750</v>
      </c>
      <c r="C2726" s="17">
        <v>1088</v>
      </c>
      <c r="D2726" s="16">
        <v>28588</v>
      </c>
      <c r="E2726" s="18"/>
      <c r="F2726" s="18" t="s">
        <v>8953</v>
      </c>
      <c r="G2726" s="18" t="s">
        <v>8954</v>
      </c>
      <c r="H2726" s="18" t="s">
        <v>49</v>
      </c>
      <c r="I2726" s="18"/>
      <c r="J2726" s="16">
        <v>2026</v>
      </c>
      <c r="K2726" s="18" t="s">
        <v>8955</v>
      </c>
      <c r="L2726" s="16">
        <v>9785961489927</v>
      </c>
      <c r="M2726" s="18" t="s">
        <v>8956</v>
      </c>
      <c r="N2726" s="16">
        <v>120</v>
      </c>
      <c r="O2726" s="19">
        <v>0.41</v>
      </c>
      <c r="P2726" s="16">
        <v>170</v>
      </c>
      <c r="Q2726" s="16">
        <v>250</v>
      </c>
      <c r="R2726" s="16">
        <v>10</v>
      </c>
      <c r="S2726" s="18" t="s">
        <v>52</v>
      </c>
      <c r="T2726" s="18"/>
      <c r="U2726" s="17">
        <v>3000</v>
      </c>
      <c r="V2726" s="18" t="s">
        <v>77</v>
      </c>
      <c r="W2726" s="18" t="s">
        <v>91</v>
      </c>
      <c r="X2726" s="16">
        <v>10</v>
      </c>
      <c r="Y2726" s="18" t="s">
        <v>8834</v>
      </c>
      <c r="Z2726" s="18" t="s">
        <v>744</v>
      </c>
      <c r="AS2726" s="1">
        <f>IF($A2726&lt;&gt;0,1,0)</f>
        <v>0</v>
      </c>
      <c r="AT2726" s="1">
        <f>$A2726*$B2726</f>
        <v>0</v>
      </c>
      <c r="AU2726" s="1">
        <f>$A2726*$O2726</f>
        <v>0</v>
      </c>
      <c r="AV2726" s="1">
        <f>IF($R2726=0,0,INT($A2726/$R2726))</f>
        <v>0</v>
      </c>
      <c r="AW2726" s="1">
        <f>$A2726-$AV2726*$R2726</f>
        <v>0</v>
      </c>
    </row>
    <row r="2727" ht="24.95" customHeight="1" outlineLevel="3" s="1" customFormat="1">
      <c r="A2727" s="15"/>
      <c r="B2727" s="16">
        <v>680</v>
      </c>
      <c r="C2727" s="17">
        <v>1020</v>
      </c>
      <c r="D2727" s="16">
        <v>26703</v>
      </c>
      <c r="E2727" s="18"/>
      <c r="F2727" s="18" t="s">
        <v>8957</v>
      </c>
      <c r="G2727" s="18" t="s">
        <v>8958</v>
      </c>
      <c r="H2727" s="18" t="s">
        <v>49</v>
      </c>
      <c r="I2727" s="18" t="s">
        <v>87</v>
      </c>
      <c r="J2727" s="16">
        <v>2024</v>
      </c>
      <c r="K2727" s="18" t="s">
        <v>8959</v>
      </c>
      <c r="L2727" s="16">
        <v>9785961482683</v>
      </c>
      <c r="M2727" s="18" t="s">
        <v>8960</v>
      </c>
      <c r="N2727" s="16">
        <v>32</v>
      </c>
      <c r="O2727" s="19">
        <v>0.52</v>
      </c>
      <c r="P2727" s="16">
        <v>250</v>
      </c>
      <c r="Q2727" s="16">
        <v>340</v>
      </c>
      <c r="R2727" s="16">
        <v>15</v>
      </c>
      <c r="S2727" s="18" t="s">
        <v>83</v>
      </c>
      <c r="T2727" s="18"/>
      <c r="U2727" s="17">
        <v>4000</v>
      </c>
      <c r="V2727" s="18" t="s">
        <v>77</v>
      </c>
      <c r="W2727" s="18" t="s">
        <v>55</v>
      </c>
      <c r="X2727" s="16">
        <v>10</v>
      </c>
      <c r="Y2727" s="18" t="s">
        <v>8196</v>
      </c>
      <c r="Z2727" s="18"/>
      <c r="AS2727" s="1">
        <f>IF($A2727&lt;&gt;0,1,0)</f>
        <v>0</v>
      </c>
      <c r="AT2727" s="1">
        <f>$A2727*$B2727</f>
        <v>0</v>
      </c>
      <c r="AU2727" s="1">
        <f>$A2727*$O2727</f>
        <v>0</v>
      </c>
      <c r="AV2727" s="1">
        <f>IF($R2727=0,0,INT($A2727/$R2727))</f>
        <v>0</v>
      </c>
      <c r="AW2727" s="1">
        <f>$A2727-$AV2727*$R2727</f>
        <v>0</v>
      </c>
    </row>
    <row r="2728" ht="24.95" customHeight="1" outlineLevel="3" s="1" customFormat="1">
      <c r="A2728" s="15"/>
      <c r="B2728" s="16">
        <v>790</v>
      </c>
      <c r="C2728" s="17">
        <v>1146</v>
      </c>
      <c r="D2728" s="16">
        <v>26517</v>
      </c>
      <c r="E2728" s="18"/>
      <c r="F2728" s="18" t="s">
        <v>8961</v>
      </c>
      <c r="G2728" s="18" t="s">
        <v>8962</v>
      </c>
      <c r="H2728" s="18" t="s">
        <v>49</v>
      </c>
      <c r="I2728" s="18"/>
      <c r="J2728" s="16">
        <v>2025</v>
      </c>
      <c r="K2728" s="18" t="s">
        <v>8963</v>
      </c>
      <c r="L2728" s="16">
        <v>9785961482027</v>
      </c>
      <c r="M2728" s="18" t="s">
        <v>8964</v>
      </c>
      <c r="N2728" s="16">
        <v>56</v>
      </c>
      <c r="O2728" s="19">
        <v>0.38</v>
      </c>
      <c r="P2728" s="16">
        <v>200</v>
      </c>
      <c r="Q2728" s="16">
        <v>260</v>
      </c>
      <c r="R2728" s="16">
        <v>14</v>
      </c>
      <c r="S2728" s="18" t="s">
        <v>328</v>
      </c>
      <c r="T2728" s="18"/>
      <c r="U2728" s="17">
        <v>3000</v>
      </c>
      <c r="V2728" s="18" t="s">
        <v>77</v>
      </c>
      <c r="W2728" s="18" t="s">
        <v>55</v>
      </c>
      <c r="X2728" s="16">
        <v>10</v>
      </c>
      <c r="Y2728" s="18" t="s">
        <v>8196</v>
      </c>
      <c r="Z2728" s="18"/>
      <c r="AS2728" s="1">
        <f>IF($A2728&lt;&gt;0,1,0)</f>
        <v>0</v>
      </c>
      <c r="AT2728" s="1">
        <f>$A2728*$B2728</f>
        <v>0</v>
      </c>
      <c r="AU2728" s="1">
        <f>$A2728*$O2728</f>
        <v>0</v>
      </c>
      <c r="AV2728" s="1">
        <f>IF($R2728=0,0,INT($A2728/$R2728))</f>
        <v>0</v>
      </c>
      <c r="AW2728" s="1">
        <f>$A2728-$AV2728*$R2728</f>
        <v>0</v>
      </c>
    </row>
    <row r="2729" ht="24.95" customHeight="1" outlineLevel="3" s="1" customFormat="1">
      <c r="A2729" s="15"/>
      <c r="B2729" s="16">
        <v>790</v>
      </c>
      <c r="C2729" s="17">
        <v>1146</v>
      </c>
      <c r="D2729" s="16">
        <v>28991</v>
      </c>
      <c r="E2729" s="18"/>
      <c r="F2729" s="18" t="s">
        <v>8961</v>
      </c>
      <c r="G2729" s="18" t="s">
        <v>8965</v>
      </c>
      <c r="H2729" s="18" t="s">
        <v>49</v>
      </c>
      <c r="I2729" s="18"/>
      <c r="J2729" s="16">
        <v>2025</v>
      </c>
      <c r="K2729" s="18" t="s">
        <v>8966</v>
      </c>
      <c r="L2729" s="16">
        <v>9785961490961</v>
      </c>
      <c r="M2729" s="18" t="s">
        <v>8967</v>
      </c>
      <c r="N2729" s="16">
        <v>64</v>
      </c>
      <c r="O2729" s="19">
        <v>0.42</v>
      </c>
      <c r="P2729" s="16">
        <v>200</v>
      </c>
      <c r="Q2729" s="16">
        <v>260</v>
      </c>
      <c r="R2729" s="16">
        <v>12</v>
      </c>
      <c r="S2729" s="18" t="s">
        <v>328</v>
      </c>
      <c r="T2729" s="18"/>
      <c r="U2729" s="17">
        <v>3000</v>
      </c>
      <c r="V2729" s="18" t="s">
        <v>77</v>
      </c>
      <c r="W2729" s="18" t="s">
        <v>55</v>
      </c>
      <c r="X2729" s="16">
        <v>10</v>
      </c>
      <c r="Y2729" s="18" t="s">
        <v>8848</v>
      </c>
      <c r="Z2729" s="18"/>
      <c r="AS2729" s="1">
        <f>IF($A2729&lt;&gt;0,1,0)</f>
        <v>0</v>
      </c>
      <c r="AT2729" s="1">
        <f>$A2729*$B2729</f>
        <v>0</v>
      </c>
      <c r="AU2729" s="1">
        <f>$A2729*$O2729</f>
        <v>0</v>
      </c>
      <c r="AV2729" s="1">
        <f>IF($R2729=0,0,INT($A2729/$R2729))</f>
        <v>0</v>
      </c>
      <c r="AW2729" s="1">
        <f>$A2729-$AV2729*$R2729</f>
        <v>0</v>
      </c>
    </row>
    <row r="2730" ht="24.95" customHeight="1" outlineLevel="3" s="1" customFormat="1">
      <c r="A2730" s="15"/>
      <c r="B2730" s="16">
        <v>690</v>
      </c>
      <c r="C2730" s="17">
        <v>1035</v>
      </c>
      <c r="D2730" s="16">
        <v>32354</v>
      </c>
      <c r="E2730" s="18"/>
      <c r="F2730" s="18" t="s">
        <v>8968</v>
      </c>
      <c r="G2730" s="18" t="s">
        <v>8969</v>
      </c>
      <c r="H2730" s="18" t="s">
        <v>49</v>
      </c>
      <c r="I2730" s="18"/>
      <c r="J2730" s="16">
        <v>2026</v>
      </c>
      <c r="K2730" s="18" t="s">
        <v>8970</v>
      </c>
      <c r="L2730" s="16">
        <v>9785006302457</v>
      </c>
      <c r="M2730" s="18" t="s">
        <v>8971</v>
      </c>
      <c r="N2730" s="16">
        <v>184</v>
      </c>
      <c r="O2730" s="19">
        <v>0.35</v>
      </c>
      <c r="P2730" s="16">
        <v>160</v>
      </c>
      <c r="Q2730" s="16">
        <v>220</v>
      </c>
      <c r="R2730" s="16">
        <v>10</v>
      </c>
      <c r="S2730" s="18" t="s">
        <v>52</v>
      </c>
      <c r="T2730" s="18"/>
      <c r="U2730" s="17">
        <v>3000</v>
      </c>
      <c r="V2730" s="18" t="s">
        <v>44</v>
      </c>
      <c r="W2730" s="18" t="s">
        <v>91</v>
      </c>
      <c r="X2730" s="16">
        <v>10</v>
      </c>
      <c r="Y2730" s="18" t="s">
        <v>7981</v>
      </c>
      <c r="Z2730" s="18"/>
      <c r="AS2730" s="1">
        <f>IF($A2730&lt;&gt;0,1,0)</f>
        <v>0</v>
      </c>
      <c r="AT2730" s="1">
        <f>$A2730*$B2730</f>
        <v>0</v>
      </c>
      <c r="AU2730" s="1">
        <f>$A2730*$O2730</f>
        <v>0</v>
      </c>
      <c r="AV2730" s="1">
        <f>IF($R2730=0,0,INT($A2730/$R2730))</f>
        <v>0</v>
      </c>
      <c r="AW2730" s="1">
        <f>$A2730-$AV2730*$R2730</f>
        <v>0</v>
      </c>
    </row>
    <row r="2731" ht="24.95" customHeight="1" outlineLevel="3" s="1" customFormat="1">
      <c r="A2731" s="15"/>
      <c r="B2731" s="16">
        <v>790</v>
      </c>
      <c r="C2731" s="17">
        <v>1146</v>
      </c>
      <c r="D2731" s="16">
        <v>34425</v>
      </c>
      <c r="E2731" s="18"/>
      <c r="F2731" s="18" t="s">
        <v>8968</v>
      </c>
      <c r="G2731" s="18" t="s">
        <v>8972</v>
      </c>
      <c r="H2731" s="18" t="s">
        <v>49</v>
      </c>
      <c r="I2731" s="18"/>
      <c r="J2731" s="16">
        <v>2026</v>
      </c>
      <c r="K2731" s="18" t="s">
        <v>8973</v>
      </c>
      <c r="L2731" s="16">
        <v>9785006307681</v>
      </c>
      <c r="M2731" s="18" t="s">
        <v>8974</v>
      </c>
      <c r="N2731" s="16">
        <v>248</v>
      </c>
      <c r="O2731" s="19">
        <v>0.46</v>
      </c>
      <c r="P2731" s="16">
        <v>160</v>
      </c>
      <c r="Q2731" s="16">
        <v>220</v>
      </c>
      <c r="R2731" s="16">
        <v>8</v>
      </c>
      <c r="S2731" s="18" t="s">
        <v>52</v>
      </c>
      <c r="T2731" s="18"/>
      <c r="U2731" s="17">
        <v>5000</v>
      </c>
      <c r="V2731" s="18" t="s">
        <v>44</v>
      </c>
      <c r="W2731" s="18" t="s">
        <v>91</v>
      </c>
      <c r="X2731" s="16">
        <v>10</v>
      </c>
      <c r="Y2731" s="18" t="s">
        <v>8975</v>
      </c>
      <c r="Z2731" s="18" t="s">
        <v>2419</v>
      </c>
      <c r="AS2731" s="1">
        <f>IF($A2731&lt;&gt;0,1,0)</f>
        <v>0</v>
      </c>
      <c r="AT2731" s="1">
        <f>$A2731*$B2731</f>
        <v>0</v>
      </c>
      <c r="AU2731" s="1">
        <f>$A2731*$O2731</f>
        <v>0</v>
      </c>
      <c r="AV2731" s="1">
        <f>IF($R2731=0,0,INT($A2731/$R2731))</f>
        <v>0</v>
      </c>
      <c r="AW2731" s="1">
        <f>$A2731-$AV2731*$R2731</f>
        <v>0</v>
      </c>
    </row>
    <row r="2732" ht="24.95" customHeight="1" outlineLevel="3" s="1" customFormat="1">
      <c r="A2732" s="15"/>
      <c r="B2732" s="16">
        <v>650</v>
      </c>
      <c r="C2732" s="16">
        <v>975</v>
      </c>
      <c r="D2732" s="16">
        <v>29768</v>
      </c>
      <c r="E2732" s="18"/>
      <c r="F2732" s="18" t="s">
        <v>3194</v>
      </c>
      <c r="G2732" s="18" t="s">
        <v>8976</v>
      </c>
      <c r="H2732" s="18" t="s">
        <v>49</v>
      </c>
      <c r="I2732" s="18" t="s">
        <v>74</v>
      </c>
      <c r="J2732" s="16">
        <v>2024</v>
      </c>
      <c r="K2732" s="18" t="s">
        <v>8977</v>
      </c>
      <c r="L2732" s="16">
        <v>9785961493818</v>
      </c>
      <c r="M2732" s="18" t="s">
        <v>8978</v>
      </c>
      <c r="N2732" s="16">
        <v>56</v>
      </c>
      <c r="O2732" s="19">
        <v>0.33</v>
      </c>
      <c r="P2732" s="16">
        <v>210</v>
      </c>
      <c r="Q2732" s="16">
        <v>300</v>
      </c>
      <c r="R2732" s="16">
        <v>25</v>
      </c>
      <c r="S2732" s="18" t="s">
        <v>83</v>
      </c>
      <c r="T2732" s="18"/>
      <c r="U2732" s="17">
        <v>2000</v>
      </c>
      <c r="V2732" s="18" t="s">
        <v>44</v>
      </c>
      <c r="W2732" s="18" t="s">
        <v>55</v>
      </c>
      <c r="X2732" s="16">
        <v>10</v>
      </c>
      <c r="Y2732" s="18" t="s">
        <v>8979</v>
      </c>
      <c r="Z2732" s="18"/>
      <c r="AS2732" s="1">
        <f>IF($A2732&lt;&gt;0,1,0)</f>
        <v>0</v>
      </c>
      <c r="AT2732" s="1">
        <f>$A2732*$B2732</f>
        <v>0</v>
      </c>
      <c r="AU2732" s="1">
        <f>$A2732*$O2732</f>
        <v>0</v>
      </c>
      <c r="AV2732" s="1">
        <f>IF($R2732=0,0,INT($A2732/$R2732))</f>
        <v>0</v>
      </c>
      <c r="AW2732" s="1">
        <f>$A2732-$AV2732*$R2732</f>
        <v>0</v>
      </c>
    </row>
    <row r="2733" ht="24.95" customHeight="1" outlineLevel="3" s="1" customFormat="1">
      <c r="A2733" s="15"/>
      <c r="B2733" s="16">
        <v>650</v>
      </c>
      <c r="C2733" s="16">
        <v>975</v>
      </c>
      <c r="D2733" s="16">
        <v>29767</v>
      </c>
      <c r="E2733" s="18"/>
      <c r="F2733" s="18" t="s">
        <v>8980</v>
      </c>
      <c r="G2733" s="18" t="s">
        <v>8981</v>
      </c>
      <c r="H2733" s="18" t="s">
        <v>49</v>
      </c>
      <c r="I2733" s="18" t="s">
        <v>74</v>
      </c>
      <c r="J2733" s="16">
        <v>2024</v>
      </c>
      <c r="K2733" s="18" t="s">
        <v>8982</v>
      </c>
      <c r="L2733" s="16">
        <v>9785961493801</v>
      </c>
      <c r="M2733" s="18" t="s">
        <v>8983</v>
      </c>
      <c r="N2733" s="16">
        <v>56</v>
      </c>
      <c r="O2733" s="19">
        <v>0.32</v>
      </c>
      <c r="P2733" s="16">
        <v>210</v>
      </c>
      <c r="Q2733" s="16">
        <v>300</v>
      </c>
      <c r="R2733" s="16">
        <v>25</v>
      </c>
      <c r="S2733" s="18" t="s">
        <v>328</v>
      </c>
      <c r="T2733" s="18" t="s">
        <v>8984</v>
      </c>
      <c r="U2733" s="17">
        <v>2000</v>
      </c>
      <c r="V2733" s="18" t="s">
        <v>44</v>
      </c>
      <c r="W2733" s="18" t="s">
        <v>55</v>
      </c>
      <c r="X2733" s="16">
        <v>10</v>
      </c>
      <c r="Y2733" s="18" t="s">
        <v>8979</v>
      </c>
      <c r="Z2733" s="18"/>
      <c r="AS2733" s="1">
        <f>IF($A2733&lt;&gt;0,1,0)</f>
        <v>0</v>
      </c>
      <c r="AT2733" s="1">
        <f>$A2733*$B2733</f>
        <v>0</v>
      </c>
      <c r="AU2733" s="1">
        <f>$A2733*$O2733</f>
        <v>0</v>
      </c>
      <c r="AV2733" s="1">
        <f>IF($R2733=0,0,INT($A2733/$R2733))</f>
        <v>0</v>
      </c>
      <c r="AW2733" s="1">
        <f>$A2733-$AV2733*$R2733</f>
        <v>0</v>
      </c>
    </row>
    <row r="2734" ht="24.95" customHeight="1" outlineLevel="3" s="1" customFormat="1">
      <c r="A2734" s="15"/>
      <c r="B2734" s="16">
        <v>650</v>
      </c>
      <c r="C2734" s="16">
        <v>975</v>
      </c>
      <c r="D2734" s="16">
        <v>29769</v>
      </c>
      <c r="E2734" s="18"/>
      <c r="F2734" s="18" t="s">
        <v>8980</v>
      </c>
      <c r="G2734" s="18" t="s">
        <v>8985</v>
      </c>
      <c r="H2734" s="18" t="s">
        <v>49</v>
      </c>
      <c r="I2734" s="18" t="s">
        <v>74</v>
      </c>
      <c r="J2734" s="16">
        <v>2024</v>
      </c>
      <c r="K2734" s="18" t="s">
        <v>8986</v>
      </c>
      <c r="L2734" s="16">
        <v>9785961493825</v>
      </c>
      <c r="M2734" s="18" t="s">
        <v>8987</v>
      </c>
      <c r="N2734" s="16">
        <v>56</v>
      </c>
      <c r="O2734" s="19">
        <v>0.32</v>
      </c>
      <c r="P2734" s="16">
        <v>210</v>
      </c>
      <c r="Q2734" s="16">
        <v>300</v>
      </c>
      <c r="R2734" s="16">
        <v>25</v>
      </c>
      <c r="S2734" s="18" t="s">
        <v>83</v>
      </c>
      <c r="T2734" s="18" t="s">
        <v>8984</v>
      </c>
      <c r="U2734" s="17">
        <v>2000</v>
      </c>
      <c r="V2734" s="18" t="s">
        <v>44</v>
      </c>
      <c r="W2734" s="18" t="s">
        <v>55</v>
      </c>
      <c r="X2734" s="16">
        <v>10</v>
      </c>
      <c r="Y2734" s="18" t="s">
        <v>8979</v>
      </c>
      <c r="Z2734" s="18"/>
      <c r="AS2734" s="1">
        <f>IF($A2734&lt;&gt;0,1,0)</f>
        <v>0</v>
      </c>
      <c r="AT2734" s="1">
        <f>$A2734*$B2734</f>
        <v>0</v>
      </c>
      <c r="AU2734" s="1">
        <f>$A2734*$O2734</f>
        <v>0</v>
      </c>
      <c r="AV2734" s="1">
        <f>IF($R2734=0,0,INT($A2734/$R2734))</f>
        <v>0</v>
      </c>
      <c r="AW2734" s="1">
        <f>$A2734-$AV2734*$R2734</f>
        <v>0</v>
      </c>
    </row>
    <row r="2735" ht="24.95" customHeight="1" outlineLevel="3" s="1" customFormat="1">
      <c r="A2735" s="15"/>
      <c r="B2735" s="16">
        <v>750</v>
      </c>
      <c r="C2735" s="17">
        <v>1088</v>
      </c>
      <c r="D2735" s="16">
        <v>27244</v>
      </c>
      <c r="E2735" s="18"/>
      <c r="F2735" s="18" t="s">
        <v>8988</v>
      </c>
      <c r="G2735" s="18" t="s">
        <v>8989</v>
      </c>
      <c r="H2735" s="18" t="s">
        <v>49</v>
      </c>
      <c r="I2735" s="18"/>
      <c r="J2735" s="16">
        <v>2025</v>
      </c>
      <c r="K2735" s="18" t="s">
        <v>8990</v>
      </c>
      <c r="L2735" s="16">
        <v>9785961484311</v>
      </c>
      <c r="M2735" s="18" t="s">
        <v>8991</v>
      </c>
      <c r="N2735" s="16">
        <v>80</v>
      </c>
      <c r="O2735" s="19">
        <v>0.41</v>
      </c>
      <c r="P2735" s="16">
        <v>190</v>
      </c>
      <c r="Q2735" s="16">
        <v>240</v>
      </c>
      <c r="R2735" s="16">
        <v>12</v>
      </c>
      <c r="S2735" s="18" t="s">
        <v>123</v>
      </c>
      <c r="T2735" s="18" t="s">
        <v>8936</v>
      </c>
      <c r="U2735" s="17">
        <v>5000</v>
      </c>
      <c r="V2735" s="18" t="s">
        <v>77</v>
      </c>
      <c r="W2735" s="18" t="s">
        <v>91</v>
      </c>
      <c r="X2735" s="16">
        <v>10</v>
      </c>
      <c r="Y2735" s="18" t="s">
        <v>8848</v>
      </c>
      <c r="Z2735" s="18"/>
      <c r="AS2735" s="1">
        <f>IF($A2735&lt;&gt;0,1,0)</f>
        <v>0</v>
      </c>
      <c r="AT2735" s="1">
        <f>$A2735*$B2735</f>
        <v>0</v>
      </c>
      <c r="AU2735" s="1">
        <f>$A2735*$O2735</f>
        <v>0</v>
      </c>
      <c r="AV2735" s="1">
        <f>IF($R2735=0,0,INT($A2735/$R2735))</f>
        <v>0</v>
      </c>
      <c r="AW2735" s="1">
        <f>$A2735-$AV2735*$R2735</f>
        <v>0</v>
      </c>
    </row>
    <row r="2736" ht="24.95" customHeight="1" outlineLevel="3" s="1" customFormat="1">
      <c r="A2736" s="15"/>
      <c r="B2736" s="16">
        <v>890</v>
      </c>
      <c r="C2736" s="17">
        <v>1246</v>
      </c>
      <c r="D2736" s="16">
        <v>23411</v>
      </c>
      <c r="E2736" s="18"/>
      <c r="F2736" s="18" t="s">
        <v>8992</v>
      </c>
      <c r="G2736" s="18" t="s">
        <v>8993</v>
      </c>
      <c r="H2736" s="18" t="s">
        <v>49</v>
      </c>
      <c r="I2736" s="18"/>
      <c r="J2736" s="16">
        <v>2025</v>
      </c>
      <c r="K2736" s="18" t="s">
        <v>8994</v>
      </c>
      <c r="L2736" s="16">
        <v>9785961473032</v>
      </c>
      <c r="M2736" s="18" t="s">
        <v>8995</v>
      </c>
      <c r="N2736" s="16">
        <v>72</v>
      </c>
      <c r="O2736" s="19">
        <v>0.48</v>
      </c>
      <c r="P2736" s="16">
        <v>220</v>
      </c>
      <c r="Q2736" s="16">
        <v>300</v>
      </c>
      <c r="R2736" s="16">
        <v>10</v>
      </c>
      <c r="S2736" s="18" t="s">
        <v>83</v>
      </c>
      <c r="T2736" s="18"/>
      <c r="U2736" s="17">
        <v>1000</v>
      </c>
      <c r="V2736" s="18" t="s">
        <v>77</v>
      </c>
      <c r="W2736" s="18" t="s">
        <v>55</v>
      </c>
      <c r="X2736" s="16">
        <v>10</v>
      </c>
      <c r="Y2736" s="18" t="s">
        <v>8996</v>
      </c>
      <c r="Z2736" s="18"/>
      <c r="AS2736" s="1">
        <f>IF($A2736&lt;&gt;0,1,0)</f>
        <v>0</v>
      </c>
      <c r="AT2736" s="1">
        <f>$A2736*$B2736</f>
        <v>0</v>
      </c>
      <c r="AU2736" s="1">
        <f>$A2736*$O2736</f>
        <v>0</v>
      </c>
      <c r="AV2736" s="1">
        <f>IF($R2736=0,0,INT($A2736/$R2736))</f>
        <v>0</v>
      </c>
      <c r="AW2736" s="1">
        <f>$A2736-$AV2736*$R2736</f>
        <v>0</v>
      </c>
    </row>
    <row r="2737" ht="24.95" customHeight="1" outlineLevel="3" s="1" customFormat="1">
      <c r="A2737" s="15"/>
      <c r="B2737" s="16">
        <v>950</v>
      </c>
      <c r="C2737" s="17">
        <v>1330</v>
      </c>
      <c r="D2737" s="16">
        <v>34337</v>
      </c>
      <c r="E2737" s="18"/>
      <c r="F2737" s="18" t="s">
        <v>8997</v>
      </c>
      <c r="G2737" s="18" t="s">
        <v>8998</v>
      </c>
      <c r="H2737" s="18" t="s">
        <v>49</v>
      </c>
      <c r="I2737" s="18" t="s">
        <v>40</v>
      </c>
      <c r="J2737" s="16">
        <v>2026</v>
      </c>
      <c r="K2737" s="18" t="s">
        <v>8999</v>
      </c>
      <c r="L2737" s="16">
        <v>9785006307162</v>
      </c>
      <c r="M2737" s="18" t="s">
        <v>9000</v>
      </c>
      <c r="N2737" s="16">
        <v>56</v>
      </c>
      <c r="O2737" s="19">
        <v>0.64</v>
      </c>
      <c r="P2737" s="16">
        <v>240</v>
      </c>
      <c r="Q2737" s="16">
        <v>330</v>
      </c>
      <c r="R2737" s="16">
        <v>8</v>
      </c>
      <c r="S2737" s="18" t="s">
        <v>83</v>
      </c>
      <c r="T2737" s="18"/>
      <c r="U2737" s="17">
        <v>2000</v>
      </c>
      <c r="V2737" s="18" t="s">
        <v>77</v>
      </c>
      <c r="W2737" s="18" t="s">
        <v>91</v>
      </c>
      <c r="X2737" s="16">
        <v>10</v>
      </c>
      <c r="Y2737" s="18" t="s">
        <v>9001</v>
      </c>
      <c r="Z2737" s="18"/>
      <c r="AS2737" s="1">
        <f>IF($A2737&lt;&gt;0,1,0)</f>
        <v>0</v>
      </c>
      <c r="AT2737" s="1">
        <f>$A2737*$B2737</f>
        <v>0</v>
      </c>
      <c r="AU2737" s="1">
        <f>$A2737*$O2737</f>
        <v>0</v>
      </c>
      <c r="AV2737" s="1">
        <f>IF($R2737=0,0,INT($A2737/$R2737))</f>
        <v>0</v>
      </c>
      <c r="AW2737" s="1">
        <f>$A2737-$AV2737*$R2737</f>
        <v>0</v>
      </c>
    </row>
    <row r="2738" ht="24.95" customHeight="1" outlineLevel="3" s="1" customFormat="1">
      <c r="A2738" s="15"/>
      <c r="B2738" s="16">
        <v>950</v>
      </c>
      <c r="C2738" s="17">
        <v>1330</v>
      </c>
      <c r="D2738" s="16">
        <v>31400</v>
      </c>
      <c r="E2738" s="18"/>
      <c r="F2738" s="18" t="s">
        <v>8997</v>
      </c>
      <c r="G2738" s="18" t="s">
        <v>9002</v>
      </c>
      <c r="H2738" s="18" t="s">
        <v>49</v>
      </c>
      <c r="I2738" s="18" t="s">
        <v>40</v>
      </c>
      <c r="J2738" s="16">
        <v>2026</v>
      </c>
      <c r="K2738" s="18" t="s">
        <v>9003</v>
      </c>
      <c r="L2738" s="16">
        <v>9785961498585</v>
      </c>
      <c r="M2738" s="18" t="s">
        <v>9004</v>
      </c>
      <c r="N2738" s="16">
        <v>64</v>
      </c>
      <c r="O2738" s="19">
        <v>0.63</v>
      </c>
      <c r="P2738" s="16">
        <v>250</v>
      </c>
      <c r="Q2738" s="16">
        <v>330</v>
      </c>
      <c r="R2738" s="16">
        <v>8</v>
      </c>
      <c r="S2738" s="18" t="s">
        <v>83</v>
      </c>
      <c r="T2738" s="18"/>
      <c r="U2738" s="17">
        <v>1500</v>
      </c>
      <c r="V2738" s="18" t="s">
        <v>77</v>
      </c>
      <c r="W2738" s="18" t="s">
        <v>91</v>
      </c>
      <c r="X2738" s="16">
        <v>10</v>
      </c>
      <c r="Y2738" s="18" t="s">
        <v>9005</v>
      </c>
      <c r="Z2738" s="18"/>
      <c r="AS2738" s="1">
        <f>IF($A2738&lt;&gt;0,1,0)</f>
        <v>0</v>
      </c>
      <c r="AT2738" s="1">
        <f>$A2738*$B2738</f>
        <v>0</v>
      </c>
      <c r="AU2738" s="1">
        <f>$A2738*$O2738</f>
        <v>0</v>
      </c>
      <c r="AV2738" s="1">
        <f>IF($R2738=0,0,INT($A2738/$R2738))</f>
        <v>0</v>
      </c>
      <c r="AW2738" s="1">
        <f>$A2738-$AV2738*$R2738</f>
        <v>0</v>
      </c>
    </row>
    <row r="2739" ht="24.95" customHeight="1" outlineLevel="3" s="1" customFormat="1">
      <c r="A2739" s="15"/>
      <c r="B2739" s="16">
        <v>690</v>
      </c>
      <c r="C2739" s="17">
        <v>1035</v>
      </c>
      <c r="D2739" s="16">
        <v>36686</v>
      </c>
      <c r="E2739" s="18"/>
      <c r="F2739" s="18" t="s">
        <v>9006</v>
      </c>
      <c r="G2739" s="18" t="s">
        <v>9007</v>
      </c>
      <c r="H2739" s="18" t="s">
        <v>49</v>
      </c>
      <c r="I2739" s="18"/>
      <c r="J2739" s="16">
        <v>2026</v>
      </c>
      <c r="K2739" s="18" t="s">
        <v>9008</v>
      </c>
      <c r="L2739" s="16">
        <v>9785006317949</v>
      </c>
      <c r="M2739" s="18" t="s">
        <v>9009</v>
      </c>
      <c r="N2739" s="16">
        <v>40</v>
      </c>
      <c r="O2739" s="19">
        <v>0.38</v>
      </c>
      <c r="P2739" s="16">
        <v>220</v>
      </c>
      <c r="Q2739" s="16">
        <v>280</v>
      </c>
      <c r="R2739" s="16">
        <v>15</v>
      </c>
      <c r="S2739" s="18" t="s">
        <v>328</v>
      </c>
      <c r="T2739" s="18"/>
      <c r="U2739" s="17">
        <v>5000</v>
      </c>
      <c r="V2739" s="18" t="s">
        <v>77</v>
      </c>
      <c r="W2739" s="18" t="s">
        <v>184</v>
      </c>
      <c r="X2739" s="16">
        <v>10</v>
      </c>
      <c r="Y2739" s="18" t="s">
        <v>9010</v>
      </c>
      <c r="Z2739" s="18" t="s">
        <v>777</v>
      </c>
      <c r="AS2739" s="1">
        <f>IF($A2739&lt;&gt;0,1,0)</f>
        <v>0</v>
      </c>
      <c r="AT2739" s="1">
        <f>$A2739*$B2739</f>
        <v>0</v>
      </c>
      <c r="AU2739" s="1">
        <f>$A2739*$O2739</f>
        <v>0</v>
      </c>
      <c r="AV2739" s="1">
        <f>IF($R2739=0,0,INT($A2739/$R2739))</f>
        <v>0</v>
      </c>
      <c r="AW2739" s="1">
        <f>$A2739-$AV2739*$R2739</f>
        <v>0</v>
      </c>
    </row>
    <row r="2740" ht="11.1" customHeight="1" outlineLevel="2">
      <c r="A2740" s="41" t="s">
        <v>9011</v>
      </c>
      <c r="B2740" s="41"/>
      <c r="C2740" s="41"/>
      <c r="D2740" s="41"/>
      <c r="E2740" s="41"/>
      <c r="F2740" s="41"/>
      <c r="G2740" s="41"/>
      <c r="H2740" s="41"/>
      <c r="I2740" s="41"/>
      <c r="J2740" s="41"/>
      <c r="K2740" s="41"/>
      <c r="L2740" s="41"/>
      <c r="M2740" s="41"/>
      <c r="N2740" s="41"/>
      <c r="O2740" s="41"/>
      <c r="P2740" s="41"/>
      <c r="Q2740" s="41"/>
      <c r="R2740" s="41"/>
      <c r="S2740" s="41"/>
      <c r="T2740" s="41"/>
      <c r="U2740" s="41"/>
      <c r="V2740" s="41"/>
      <c r="W2740" s="41"/>
      <c r="X2740" s="41"/>
      <c r="Y2740" s="41"/>
      <c r="Z2740" s="24"/>
    </row>
    <row r="2741" ht="24.95" customHeight="1" outlineLevel="3" s="1" customFormat="1">
      <c r="A2741" s="15"/>
      <c r="B2741" s="16">
        <v>540</v>
      </c>
      <c r="C2741" s="16">
        <v>837</v>
      </c>
      <c r="D2741" s="16">
        <v>28963</v>
      </c>
      <c r="E2741" s="18"/>
      <c r="F2741" s="18" t="s">
        <v>9012</v>
      </c>
      <c r="G2741" s="18" t="s">
        <v>9013</v>
      </c>
      <c r="H2741" s="18" t="s">
        <v>49</v>
      </c>
      <c r="I2741" s="18" t="s">
        <v>87</v>
      </c>
      <c r="J2741" s="16">
        <v>2026</v>
      </c>
      <c r="K2741" s="18" t="s">
        <v>9014</v>
      </c>
      <c r="L2741" s="16">
        <v>9785961490886</v>
      </c>
      <c r="M2741" s="18" t="s">
        <v>9015</v>
      </c>
      <c r="N2741" s="16">
        <v>32</v>
      </c>
      <c r="O2741" s="19">
        <v>0.21</v>
      </c>
      <c r="P2741" s="16">
        <v>200</v>
      </c>
      <c r="Q2741" s="16">
        <v>200</v>
      </c>
      <c r="R2741" s="16">
        <v>15</v>
      </c>
      <c r="S2741" s="18" t="s">
        <v>83</v>
      </c>
      <c r="T2741" s="18" t="s">
        <v>9016</v>
      </c>
      <c r="U2741" s="17">
        <v>2000</v>
      </c>
      <c r="V2741" s="18" t="s">
        <v>77</v>
      </c>
      <c r="W2741" s="18" t="s">
        <v>184</v>
      </c>
      <c r="X2741" s="16">
        <v>10</v>
      </c>
      <c r="Y2741" s="18" t="s">
        <v>9017</v>
      </c>
      <c r="Z2741" s="18"/>
      <c r="AS2741" s="1">
        <f>IF($A2741&lt;&gt;0,1,0)</f>
        <v>0</v>
      </c>
      <c r="AT2741" s="1">
        <f>$A2741*$B2741</f>
        <v>0</v>
      </c>
      <c r="AU2741" s="1">
        <f>$A2741*$O2741</f>
        <v>0</v>
      </c>
      <c r="AV2741" s="1">
        <f>IF($R2741=0,0,INT($A2741/$R2741))</f>
        <v>0</v>
      </c>
      <c r="AW2741" s="1">
        <f>$A2741-$AV2741*$R2741</f>
        <v>0</v>
      </c>
    </row>
    <row r="2742" ht="24.95" customHeight="1" outlineLevel="3" s="1" customFormat="1">
      <c r="A2742" s="15"/>
      <c r="B2742" s="16">
        <v>700</v>
      </c>
      <c r="C2742" s="17">
        <v>1050</v>
      </c>
      <c r="D2742" s="16">
        <v>35155</v>
      </c>
      <c r="E2742" s="18"/>
      <c r="F2742" s="18" t="s">
        <v>9018</v>
      </c>
      <c r="G2742" s="18" t="s">
        <v>9019</v>
      </c>
      <c r="H2742" s="18" t="s">
        <v>49</v>
      </c>
      <c r="I2742" s="18"/>
      <c r="J2742" s="16">
        <v>2025</v>
      </c>
      <c r="K2742" s="18" t="s">
        <v>9020</v>
      </c>
      <c r="L2742" s="16">
        <v>9785006310469</v>
      </c>
      <c r="M2742" s="18" t="s">
        <v>9021</v>
      </c>
      <c r="N2742" s="16">
        <v>96</v>
      </c>
      <c r="O2742" s="19">
        <v>0.56</v>
      </c>
      <c r="P2742" s="16">
        <v>210</v>
      </c>
      <c r="Q2742" s="16">
        <v>290</v>
      </c>
      <c r="R2742" s="16">
        <v>10</v>
      </c>
      <c r="S2742" s="18" t="s">
        <v>83</v>
      </c>
      <c r="T2742" s="18" t="s">
        <v>9022</v>
      </c>
      <c r="U2742" s="17">
        <v>2000</v>
      </c>
      <c r="V2742" s="18" t="s">
        <v>77</v>
      </c>
      <c r="W2742" s="18" t="s">
        <v>55</v>
      </c>
      <c r="X2742" s="16">
        <v>10</v>
      </c>
      <c r="Y2742" s="18" t="s">
        <v>9023</v>
      </c>
      <c r="Z2742" s="18"/>
      <c r="AS2742" s="1">
        <f>IF($A2742&lt;&gt;0,1,0)</f>
        <v>0</v>
      </c>
      <c r="AT2742" s="1">
        <f>$A2742*$B2742</f>
        <v>0</v>
      </c>
      <c r="AU2742" s="1">
        <f>$A2742*$O2742</f>
        <v>0</v>
      </c>
      <c r="AV2742" s="1">
        <f>IF($R2742=0,0,INT($A2742/$R2742))</f>
        <v>0</v>
      </c>
      <c r="AW2742" s="1">
        <f>$A2742-$AV2742*$R2742</f>
        <v>0</v>
      </c>
    </row>
    <row r="2743" ht="24.95" customHeight="1" outlineLevel="3" s="1" customFormat="1">
      <c r="A2743" s="15"/>
      <c r="B2743" s="16">
        <v>540</v>
      </c>
      <c r="C2743" s="16">
        <v>837</v>
      </c>
      <c r="D2743" s="16">
        <v>25903</v>
      </c>
      <c r="E2743" s="18"/>
      <c r="F2743" s="18" t="s">
        <v>9012</v>
      </c>
      <c r="G2743" s="18" t="s">
        <v>9024</v>
      </c>
      <c r="H2743" s="18" t="s">
        <v>49</v>
      </c>
      <c r="I2743" s="18" t="s">
        <v>87</v>
      </c>
      <c r="J2743" s="16">
        <v>2026</v>
      </c>
      <c r="K2743" s="18" t="s">
        <v>9025</v>
      </c>
      <c r="L2743" s="16">
        <v>9785961484069</v>
      </c>
      <c r="M2743" s="18" t="s">
        <v>9026</v>
      </c>
      <c r="N2743" s="16">
        <v>32</v>
      </c>
      <c r="O2743" s="19">
        <v>0.25</v>
      </c>
      <c r="P2743" s="16">
        <v>200</v>
      </c>
      <c r="Q2743" s="16">
        <v>200</v>
      </c>
      <c r="R2743" s="16">
        <v>15</v>
      </c>
      <c r="S2743" s="18" t="s">
        <v>83</v>
      </c>
      <c r="T2743" s="18" t="s">
        <v>9016</v>
      </c>
      <c r="U2743" s="17">
        <v>2000</v>
      </c>
      <c r="V2743" s="18" t="s">
        <v>77</v>
      </c>
      <c r="W2743" s="18" t="s">
        <v>184</v>
      </c>
      <c r="X2743" s="16">
        <v>10</v>
      </c>
      <c r="Y2743" s="18" t="s">
        <v>7922</v>
      </c>
      <c r="Z2743" s="18"/>
      <c r="AS2743" s="1">
        <f>IF($A2743&lt;&gt;0,1,0)</f>
        <v>0</v>
      </c>
      <c r="AT2743" s="1">
        <f>$A2743*$B2743</f>
        <v>0</v>
      </c>
      <c r="AU2743" s="1">
        <f>$A2743*$O2743</f>
        <v>0</v>
      </c>
      <c r="AV2743" s="1">
        <f>IF($R2743=0,0,INT($A2743/$R2743))</f>
        <v>0</v>
      </c>
      <c r="AW2743" s="1">
        <f>$A2743-$AV2743*$R2743</f>
        <v>0</v>
      </c>
    </row>
    <row r="2744" ht="24.95" customHeight="1" outlineLevel="3" s="1" customFormat="1">
      <c r="A2744" s="15"/>
      <c r="B2744" s="16">
        <v>530</v>
      </c>
      <c r="C2744" s="16">
        <v>837</v>
      </c>
      <c r="D2744" s="16">
        <v>31569</v>
      </c>
      <c r="E2744" s="18"/>
      <c r="F2744" s="18" t="s">
        <v>535</v>
      </c>
      <c r="G2744" s="18" t="s">
        <v>9027</v>
      </c>
      <c r="H2744" s="18" t="s">
        <v>49</v>
      </c>
      <c r="I2744" s="18" t="s">
        <v>160</v>
      </c>
      <c r="J2744" s="16">
        <v>2025</v>
      </c>
      <c r="K2744" s="18" t="s">
        <v>9028</v>
      </c>
      <c r="L2744" s="16">
        <v>9785961499254</v>
      </c>
      <c r="M2744" s="18" t="s">
        <v>9029</v>
      </c>
      <c r="N2744" s="16">
        <v>32</v>
      </c>
      <c r="O2744" s="19">
        <v>0.23</v>
      </c>
      <c r="P2744" s="16">
        <v>170</v>
      </c>
      <c r="Q2744" s="16">
        <v>220</v>
      </c>
      <c r="R2744" s="16">
        <v>16</v>
      </c>
      <c r="S2744" s="18" t="s">
        <v>52</v>
      </c>
      <c r="T2744" s="18" t="s">
        <v>539</v>
      </c>
      <c r="U2744" s="17">
        <v>2000</v>
      </c>
      <c r="V2744" s="18" t="s">
        <v>77</v>
      </c>
      <c r="W2744" s="18" t="s">
        <v>184</v>
      </c>
      <c r="X2744" s="16">
        <v>10</v>
      </c>
      <c r="Y2744" s="18" t="s">
        <v>540</v>
      </c>
      <c r="Z2744" s="18"/>
      <c r="AS2744" s="1">
        <f>IF($A2744&lt;&gt;0,1,0)</f>
        <v>0</v>
      </c>
      <c r="AT2744" s="1">
        <f>$A2744*$B2744</f>
        <v>0</v>
      </c>
      <c r="AU2744" s="1">
        <f>$A2744*$O2744</f>
        <v>0</v>
      </c>
      <c r="AV2744" s="1">
        <f>IF($R2744=0,0,INT($A2744/$R2744))</f>
        <v>0</v>
      </c>
      <c r="AW2744" s="1">
        <f>$A2744-$AV2744*$R2744</f>
        <v>0</v>
      </c>
    </row>
    <row r="2745" ht="24.95" customHeight="1" outlineLevel="3" s="1" customFormat="1">
      <c r="A2745" s="15"/>
      <c r="B2745" s="16">
        <v>530</v>
      </c>
      <c r="C2745" s="16">
        <v>837</v>
      </c>
      <c r="D2745" s="16">
        <v>31573</v>
      </c>
      <c r="E2745" s="18"/>
      <c r="F2745" s="18" t="s">
        <v>535</v>
      </c>
      <c r="G2745" s="18" t="s">
        <v>9030</v>
      </c>
      <c r="H2745" s="18" t="s">
        <v>49</v>
      </c>
      <c r="I2745" s="18" t="s">
        <v>160</v>
      </c>
      <c r="J2745" s="16">
        <v>2025</v>
      </c>
      <c r="K2745" s="18" t="s">
        <v>9031</v>
      </c>
      <c r="L2745" s="16">
        <v>9785961499292</v>
      </c>
      <c r="M2745" s="18" t="s">
        <v>9032</v>
      </c>
      <c r="N2745" s="16">
        <v>32</v>
      </c>
      <c r="O2745" s="19">
        <v>0.23</v>
      </c>
      <c r="P2745" s="16">
        <v>180</v>
      </c>
      <c r="Q2745" s="16">
        <v>220</v>
      </c>
      <c r="R2745" s="16">
        <v>16</v>
      </c>
      <c r="S2745" s="18" t="s">
        <v>52</v>
      </c>
      <c r="T2745" s="18" t="s">
        <v>539</v>
      </c>
      <c r="U2745" s="17">
        <v>2000</v>
      </c>
      <c r="V2745" s="18" t="s">
        <v>77</v>
      </c>
      <c r="W2745" s="18" t="s">
        <v>184</v>
      </c>
      <c r="X2745" s="16">
        <v>10</v>
      </c>
      <c r="Y2745" s="18" t="s">
        <v>540</v>
      </c>
      <c r="Z2745" s="18"/>
      <c r="AS2745" s="1">
        <f>IF($A2745&lt;&gt;0,1,0)</f>
        <v>0</v>
      </c>
      <c r="AT2745" s="1">
        <f>$A2745*$B2745</f>
        <v>0</v>
      </c>
      <c r="AU2745" s="1">
        <f>$A2745*$O2745</f>
        <v>0</v>
      </c>
      <c r="AV2745" s="1">
        <f>IF($R2745=0,0,INT($A2745/$R2745))</f>
        <v>0</v>
      </c>
      <c r="AW2745" s="1">
        <f>$A2745-$AV2745*$R2745</f>
        <v>0</v>
      </c>
    </row>
    <row r="2746" ht="24.95" customHeight="1" outlineLevel="3" s="1" customFormat="1">
      <c r="A2746" s="15"/>
      <c r="B2746" s="16">
        <v>530</v>
      </c>
      <c r="C2746" s="16">
        <v>837</v>
      </c>
      <c r="D2746" s="16">
        <v>31571</v>
      </c>
      <c r="E2746" s="18"/>
      <c r="F2746" s="18" t="s">
        <v>535</v>
      </c>
      <c r="G2746" s="18" t="s">
        <v>9033</v>
      </c>
      <c r="H2746" s="18" t="s">
        <v>49</v>
      </c>
      <c r="I2746" s="18" t="s">
        <v>160</v>
      </c>
      <c r="J2746" s="16">
        <v>2025</v>
      </c>
      <c r="K2746" s="18" t="s">
        <v>9034</v>
      </c>
      <c r="L2746" s="16">
        <v>9785961499278</v>
      </c>
      <c r="M2746" s="18" t="s">
        <v>9035</v>
      </c>
      <c r="N2746" s="16">
        <v>32</v>
      </c>
      <c r="O2746" s="19">
        <v>0.23</v>
      </c>
      <c r="P2746" s="16">
        <v>170</v>
      </c>
      <c r="Q2746" s="16">
        <v>220</v>
      </c>
      <c r="R2746" s="16">
        <v>16</v>
      </c>
      <c r="S2746" s="18" t="s">
        <v>52</v>
      </c>
      <c r="T2746" s="18" t="s">
        <v>539</v>
      </c>
      <c r="U2746" s="17">
        <v>2000</v>
      </c>
      <c r="V2746" s="18" t="s">
        <v>77</v>
      </c>
      <c r="W2746" s="18" t="s">
        <v>184</v>
      </c>
      <c r="X2746" s="16">
        <v>10</v>
      </c>
      <c r="Y2746" s="18" t="s">
        <v>540</v>
      </c>
      <c r="Z2746" s="18"/>
      <c r="AS2746" s="1">
        <f>IF($A2746&lt;&gt;0,1,0)</f>
        <v>0</v>
      </c>
      <c r="AT2746" s="1">
        <f>$A2746*$B2746</f>
        <v>0</v>
      </c>
      <c r="AU2746" s="1">
        <f>$A2746*$O2746</f>
        <v>0</v>
      </c>
      <c r="AV2746" s="1">
        <f>IF($R2746=0,0,INT($A2746/$R2746))</f>
        <v>0</v>
      </c>
      <c r="AW2746" s="1">
        <f>$A2746-$AV2746*$R2746</f>
        <v>0</v>
      </c>
    </row>
    <row r="2747" ht="24.95" customHeight="1" outlineLevel="3" s="1" customFormat="1">
      <c r="A2747" s="25"/>
      <c r="B2747" s="26">
        <v>530</v>
      </c>
      <c r="C2747" s="26">
        <v>822</v>
      </c>
      <c r="D2747" s="26">
        <v>31572</v>
      </c>
      <c r="E2747" s="27"/>
      <c r="F2747" s="27" t="s">
        <v>535</v>
      </c>
      <c r="G2747" s="27" t="s">
        <v>536</v>
      </c>
      <c r="H2747" s="27" t="s">
        <v>49</v>
      </c>
      <c r="I2747" s="27" t="s">
        <v>160</v>
      </c>
      <c r="J2747" s="26">
        <v>2025</v>
      </c>
      <c r="K2747" s="27" t="s">
        <v>537</v>
      </c>
      <c r="L2747" s="26">
        <v>9785961499285</v>
      </c>
      <c r="M2747" s="27" t="s">
        <v>538</v>
      </c>
      <c r="N2747" s="26">
        <v>32</v>
      </c>
      <c r="O2747" s="28">
        <v>0.23</v>
      </c>
      <c r="P2747" s="26">
        <v>180</v>
      </c>
      <c r="Q2747" s="26">
        <v>220</v>
      </c>
      <c r="R2747" s="26">
        <v>16</v>
      </c>
      <c r="S2747" s="27" t="s">
        <v>52</v>
      </c>
      <c r="T2747" s="27" t="s">
        <v>539</v>
      </c>
      <c r="U2747" s="29">
        <v>2000</v>
      </c>
      <c r="V2747" s="27" t="s">
        <v>77</v>
      </c>
      <c r="W2747" s="27" t="s">
        <v>184</v>
      </c>
      <c r="X2747" s="26">
        <v>10</v>
      </c>
      <c r="Y2747" s="27" t="s">
        <v>540</v>
      </c>
      <c r="Z2747" s="27"/>
      <c r="AS2747" s="1">
        <f>IF($A2747&lt;&gt;0,1,0)</f>
        <v>0</v>
      </c>
      <c r="AT2747" s="1">
        <f>$A2747*$B2747</f>
        <v>0</v>
      </c>
      <c r="AU2747" s="1">
        <f>$A2747*$O2747</f>
        <v>0</v>
      </c>
      <c r="AV2747" s="1">
        <f>IF($R2747=0,0,INT($A2747/$R2747))</f>
        <v>0</v>
      </c>
      <c r="AW2747" s="1">
        <f>$A2747-$AV2747*$R2747</f>
        <v>0</v>
      </c>
    </row>
    <row r="2748" ht="24.95" customHeight="1" outlineLevel="3" s="1" customFormat="1">
      <c r="A2748" s="15"/>
      <c r="B2748" s="16">
        <v>540</v>
      </c>
      <c r="C2748" s="16">
        <v>837</v>
      </c>
      <c r="D2748" s="16">
        <v>22556</v>
      </c>
      <c r="E2748" s="18"/>
      <c r="F2748" s="18" t="s">
        <v>9012</v>
      </c>
      <c r="G2748" s="18" t="s">
        <v>9036</v>
      </c>
      <c r="H2748" s="18" t="s">
        <v>49</v>
      </c>
      <c r="I2748" s="18" t="s">
        <v>87</v>
      </c>
      <c r="J2748" s="16">
        <v>2026</v>
      </c>
      <c r="K2748" s="18" t="s">
        <v>9037</v>
      </c>
      <c r="L2748" s="16">
        <v>9785961455519</v>
      </c>
      <c r="M2748" s="18" t="s">
        <v>9038</v>
      </c>
      <c r="N2748" s="16">
        <v>32</v>
      </c>
      <c r="O2748" s="19">
        <v>0.23</v>
      </c>
      <c r="P2748" s="16">
        <v>198</v>
      </c>
      <c r="Q2748" s="16">
        <v>199</v>
      </c>
      <c r="R2748" s="16">
        <v>15</v>
      </c>
      <c r="S2748" s="18" t="s">
        <v>83</v>
      </c>
      <c r="T2748" s="18" t="s">
        <v>9016</v>
      </c>
      <c r="U2748" s="17">
        <v>2000</v>
      </c>
      <c r="V2748" s="18" t="s">
        <v>77</v>
      </c>
      <c r="W2748" s="18" t="s">
        <v>184</v>
      </c>
      <c r="X2748" s="16">
        <v>10</v>
      </c>
      <c r="Y2748" s="18" t="s">
        <v>9017</v>
      </c>
      <c r="Z2748" s="18"/>
      <c r="AS2748" s="1">
        <f>IF($A2748&lt;&gt;0,1,0)</f>
        <v>0</v>
      </c>
      <c r="AT2748" s="1">
        <f>$A2748*$B2748</f>
        <v>0</v>
      </c>
      <c r="AU2748" s="1">
        <f>$A2748*$O2748</f>
        <v>0</v>
      </c>
      <c r="AV2748" s="1">
        <f>IF($R2748=0,0,INT($A2748/$R2748))</f>
        <v>0</v>
      </c>
      <c r="AW2748" s="1">
        <f>$A2748-$AV2748*$R2748</f>
        <v>0</v>
      </c>
    </row>
    <row r="2749" ht="24.95" customHeight="1" outlineLevel="3" s="1" customFormat="1">
      <c r="A2749" s="15"/>
      <c r="B2749" s="16">
        <v>540</v>
      </c>
      <c r="C2749" s="16">
        <v>837</v>
      </c>
      <c r="D2749" s="16">
        <v>22559</v>
      </c>
      <c r="E2749" s="18"/>
      <c r="F2749" s="18" t="s">
        <v>9012</v>
      </c>
      <c r="G2749" s="18" t="s">
        <v>9039</v>
      </c>
      <c r="H2749" s="18" t="s">
        <v>49</v>
      </c>
      <c r="I2749" s="18" t="s">
        <v>87</v>
      </c>
      <c r="J2749" s="16">
        <v>2026</v>
      </c>
      <c r="K2749" s="18" t="s">
        <v>9040</v>
      </c>
      <c r="L2749" s="16">
        <v>9785961456165</v>
      </c>
      <c r="M2749" s="18" t="s">
        <v>9041</v>
      </c>
      <c r="N2749" s="16">
        <v>32</v>
      </c>
      <c r="O2749" s="19">
        <v>0.24</v>
      </c>
      <c r="P2749" s="16">
        <v>198</v>
      </c>
      <c r="Q2749" s="16">
        <v>198</v>
      </c>
      <c r="R2749" s="16">
        <v>15</v>
      </c>
      <c r="S2749" s="18" t="s">
        <v>83</v>
      </c>
      <c r="T2749" s="18" t="s">
        <v>9016</v>
      </c>
      <c r="U2749" s="17">
        <v>2000</v>
      </c>
      <c r="V2749" s="18" t="s">
        <v>77</v>
      </c>
      <c r="W2749" s="18" t="s">
        <v>184</v>
      </c>
      <c r="X2749" s="16">
        <v>10</v>
      </c>
      <c r="Y2749" s="18" t="s">
        <v>9017</v>
      </c>
      <c r="Z2749" s="18"/>
      <c r="AS2749" s="1">
        <f>IF($A2749&lt;&gt;0,1,0)</f>
        <v>0</v>
      </c>
      <c r="AT2749" s="1">
        <f>$A2749*$B2749</f>
        <v>0</v>
      </c>
      <c r="AU2749" s="1">
        <f>$A2749*$O2749</f>
        <v>0</v>
      </c>
      <c r="AV2749" s="1">
        <f>IF($R2749=0,0,INT($A2749/$R2749))</f>
        <v>0</v>
      </c>
      <c r="AW2749" s="1">
        <f>$A2749-$AV2749*$R2749</f>
        <v>0</v>
      </c>
    </row>
    <row r="2750" ht="24.95" customHeight="1" outlineLevel="3" s="1" customFormat="1">
      <c r="A2750" s="15"/>
      <c r="B2750" s="16">
        <v>540</v>
      </c>
      <c r="C2750" s="16">
        <v>837</v>
      </c>
      <c r="D2750" s="16">
        <v>30940</v>
      </c>
      <c r="E2750" s="18"/>
      <c r="F2750" s="18" t="s">
        <v>9012</v>
      </c>
      <c r="G2750" s="18" t="s">
        <v>9042</v>
      </c>
      <c r="H2750" s="18" t="s">
        <v>49</v>
      </c>
      <c r="I2750" s="18" t="s">
        <v>87</v>
      </c>
      <c r="J2750" s="16">
        <v>2026</v>
      </c>
      <c r="K2750" s="18" t="s">
        <v>9043</v>
      </c>
      <c r="L2750" s="16">
        <v>9785961496994</v>
      </c>
      <c r="M2750" s="18" t="s">
        <v>9044</v>
      </c>
      <c r="N2750" s="16">
        <v>32</v>
      </c>
      <c r="O2750" s="19">
        <v>0.21</v>
      </c>
      <c r="P2750" s="16">
        <v>200</v>
      </c>
      <c r="Q2750" s="16">
        <v>200</v>
      </c>
      <c r="R2750" s="16">
        <v>15</v>
      </c>
      <c r="S2750" s="18" t="s">
        <v>83</v>
      </c>
      <c r="T2750" s="18" t="s">
        <v>9016</v>
      </c>
      <c r="U2750" s="17">
        <v>2000</v>
      </c>
      <c r="V2750" s="18" t="s">
        <v>77</v>
      </c>
      <c r="W2750" s="18" t="s">
        <v>184</v>
      </c>
      <c r="X2750" s="16">
        <v>10</v>
      </c>
      <c r="Y2750" s="18" t="s">
        <v>9017</v>
      </c>
      <c r="Z2750" s="18"/>
      <c r="AS2750" s="1">
        <f>IF($A2750&lt;&gt;0,1,0)</f>
        <v>0</v>
      </c>
      <c r="AT2750" s="1">
        <f>$A2750*$B2750</f>
        <v>0</v>
      </c>
      <c r="AU2750" s="1">
        <f>$A2750*$O2750</f>
        <v>0</v>
      </c>
      <c r="AV2750" s="1">
        <f>IF($R2750=0,0,INT($A2750/$R2750))</f>
        <v>0</v>
      </c>
      <c r="AW2750" s="1">
        <f>$A2750-$AV2750*$R2750</f>
        <v>0</v>
      </c>
    </row>
    <row r="2751" ht="24.95" customHeight="1" outlineLevel="3" s="1" customFormat="1">
      <c r="A2751" s="15"/>
      <c r="B2751" s="16">
        <v>540</v>
      </c>
      <c r="C2751" s="16">
        <v>837</v>
      </c>
      <c r="D2751" s="16">
        <v>22541</v>
      </c>
      <c r="E2751" s="18"/>
      <c r="F2751" s="18" t="s">
        <v>9012</v>
      </c>
      <c r="G2751" s="18" t="s">
        <v>9045</v>
      </c>
      <c r="H2751" s="18" t="s">
        <v>49</v>
      </c>
      <c r="I2751" s="18" t="s">
        <v>87</v>
      </c>
      <c r="J2751" s="16">
        <v>2026</v>
      </c>
      <c r="K2751" s="18" t="s">
        <v>9046</v>
      </c>
      <c r="L2751" s="16">
        <v>9785961452556</v>
      </c>
      <c r="M2751" s="18" t="s">
        <v>9047</v>
      </c>
      <c r="N2751" s="16">
        <v>32</v>
      </c>
      <c r="O2751" s="19">
        <v>0.23</v>
      </c>
      <c r="P2751" s="16">
        <v>200</v>
      </c>
      <c r="Q2751" s="16">
        <v>200</v>
      </c>
      <c r="R2751" s="16">
        <v>15</v>
      </c>
      <c r="S2751" s="18" t="s">
        <v>83</v>
      </c>
      <c r="T2751" s="18" t="s">
        <v>9016</v>
      </c>
      <c r="U2751" s="17">
        <v>1500</v>
      </c>
      <c r="V2751" s="18" t="s">
        <v>77</v>
      </c>
      <c r="W2751" s="18" t="s">
        <v>184</v>
      </c>
      <c r="X2751" s="16">
        <v>10</v>
      </c>
      <c r="Y2751" s="18" t="s">
        <v>9017</v>
      </c>
      <c r="Z2751" s="18"/>
      <c r="AS2751" s="1">
        <f>IF($A2751&lt;&gt;0,1,0)</f>
        <v>0</v>
      </c>
      <c r="AT2751" s="1">
        <f>$A2751*$B2751</f>
        <v>0</v>
      </c>
      <c r="AU2751" s="1">
        <f>$A2751*$O2751</f>
        <v>0</v>
      </c>
      <c r="AV2751" s="1">
        <f>IF($R2751=0,0,INT($A2751/$R2751))</f>
        <v>0</v>
      </c>
      <c r="AW2751" s="1">
        <f>$A2751-$AV2751*$R2751</f>
        <v>0</v>
      </c>
    </row>
    <row r="2752" ht="21.95" customHeight="1" outlineLevel="3" s="1" customFormat="1">
      <c r="A2752" s="15"/>
      <c r="B2752" s="16">
        <v>490</v>
      </c>
      <c r="C2752" s="16">
        <v>760</v>
      </c>
      <c r="D2752" s="16">
        <v>26585</v>
      </c>
      <c r="E2752" s="18"/>
      <c r="F2752" s="18" t="s">
        <v>8572</v>
      </c>
      <c r="G2752" s="18" t="s">
        <v>9048</v>
      </c>
      <c r="H2752" s="18" t="s">
        <v>49</v>
      </c>
      <c r="I2752" s="18"/>
      <c r="J2752" s="16">
        <v>2023</v>
      </c>
      <c r="K2752" s="18" t="s">
        <v>9049</v>
      </c>
      <c r="L2752" s="16">
        <v>9785961482324</v>
      </c>
      <c r="M2752" s="18" t="s">
        <v>9050</v>
      </c>
      <c r="N2752" s="16">
        <v>80</v>
      </c>
      <c r="O2752" s="19">
        <v>0.32</v>
      </c>
      <c r="P2752" s="16">
        <v>170</v>
      </c>
      <c r="Q2752" s="16">
        <v>240</v>
      </c>
      <c r="R2752" s="16">
        <v>14</v>
      </c>
      <c r="S2752" s="18" t="s">
        <v>123</v>
      </c>
      <c r="T2752" s="18"/>
      <c r="U2752" s="17">
        <v>2000</v>
      </c>
      <c r="V2752" s="18" t="s">
        <v>77</v>
      </c>
      <c r="W2752" s="18" t="s">
        <v>55</v>
      </c>
      <c r="X2752" s="16">
        <v>10</v>
      </c>
      <c r="Y2752" s="43" t="str">
        <f>HYPERLINK("","")</f>
      </c>
      <c r="Z2752" s="18"/>
      <c r="AS2752" s="1">
        <f>IF($A2752&lt;&gt;0,1,0)</f>
        <v>0</v>
      </c>
      <c r="AT2752" s="1">
        <f>$A2752*$B2752</f>
        <v>0</v>
      </c>
      <c r="AU2752" s="1">
        <f>$A2752*$O2752</f>
        <v>0</v>
      </c>
      <c r="AV2752" s="1">
        <f>IF($R2752=0,0,INT($A2752/$R2752))</f>
        <v>0</v>
      </c>
      <c r="AW2752" s="1">
        <f>$A2752-$AV2752*$R2752</f>
        <v>0</v>
      </c>
    </row>
    <row r="2753" ht="24.95" customHeight="1" outlineLevel="3" s="1" customFormat="1">
      <c r="A2753" s="15"/>
      <c r="B2753" s="16">
        <v>790</v>
      </c>
      <c r="C2753" s="17">
        <v>1146</v>
      </c>
      <c r="D2753" s="16">
        <v>33571</v>
      </c>
      <c r="E2753" s="18"/>
      <c r="F2753" s="18" t="s">
        <v>8682</v>
      </c>
      <c r="G2753" s="18" t="s">
        <v>9051</v>
      </c>
      <c r="H2753" s="18" t="s">
        <v>49</v>
      </c>
      <c r="I2753" s="18"/>
      <c r="J2753" s="16">
        <v>2025</v>
      </c>
      <c r="K2753" s="18" t="s">
        <v>9052</v>
      </c>
      <c r="L2753" s="16">
        <v>9785006305069</v>
      </c>
      <c r="M2753" s="18" t="s">
        <v>9053</v>
      </c>
      <c r="N2753" s="16">
        <v>120</v>
      </c>
      <c r="O2753" s="19">
        <v>0.42</v>
      </c>
      <c r="P2753" s="16">
        <v>170</v>
      </c>
      <c r="Q2753" s="16">
        <v>240</v>
      </c>
      <c r="R2753" s="16">
        <v>10</v>
      </c>
      <c r="S2753" s="18" t="s">
        <v>123</v>
      </c>
      <c r="T2753" s="18" t="s">
        <v>9054</v>
      </c>
      <c r="U2753" s="17">
        <v>2500</v>
      </c>
      <c r="V2753" s="18" t="s">
        <v>77</v>
      </c>
      <c r="W2753" s="18" t="s">
        <v>55</v>
      </c>
      <c r="X2753" s="16">
        <v>10</v>
      </c>
      <c r="Y2753" s="18" t="s">
        <v>8009</v>
      </c>
      <c r="Z2753" s="18"/>
      <c r="AS2753" s="1">
        <f>IF($A2753&lt;&gt;0,1,0)</f>
        <v>0</v>
      </c>
      <c r="AT2753" s="1">
        <f>$A2753*$B2753</f>
        <v>0</v>
      </c>
      <c r="AU2753" s="1">
        <f>$A2753*$O2753</f>
        <v>0</v>
      </c>
      <c r="AV2753" s="1">
        <f>IF($R2753=0,0,INT($A2753/$R2753))</f>
        <v>0</v>
      </c>
      <c r="AW2753" s="1">
        <f>$A2753-$AV2753*$R2753</f>
        <v>0</v>
      </c>
    </row>
    <row r="2754" ht="24.95" customHeight="1" outlineLevel="3" s="1" customFormat="1">
      <c r="A2754" s="15"/>
      <c r="B2754" s="16">
        <v>490</v>
      </c>
      <c r="C2754" s="16">
        <v>760</v>
      </c>
      <c r="D2754" s="16">
        <v>28965</v>
      </c>
      <c r="E2754" s="18"/>
      <c r="F2754" s="18" t="s">
        <v>9012</v>
      </c>
      <c r="G2754" s="18" t="s">
        <v>9055</v>
      </c>
      <c r="H2754" s="18" t="s">
        <v>49</v>
      </c>
      <c r="I2754" s="18" t="s">
        <v>87</v>
      </c>
      <c r="J2754" s="16">
        <v>2025</v>
      </c>
      <c r="K2754" s="18" t="s">
        <v>9056</v>
      </c>
      <c r="L2754" s="16">
        <v>9785961490909</v>
      </c>
      <c r="M2754" s="18" t="s">
        <v>9057</v>
      </c>
      <c r="N2754" s="16">
        <v>32</v>
      </c>
      <c r="O2754" s="19">
        <v>0.21</v>
      </c>
      <c r="P2754" s="16">
        <v>200</v>
      </c>
      <c r="Q2754" s="16">
        <v>200</v>
      </c>
      <c r="R2754" s="16">
        <v>15</v>
      </c>
      <c r="S2754" s="18" t="s">
        <v>83</v>
      </c>
      <c r="T2754" s="18" t="s">
        <v>9016</v>
      </c>
      <c r="U2754" s="17">
        <v>2000</v>
      </c>
      <c r="V2754" s="18" t="s">
        <v>77</v>
      </c>
      <c r="W2754" s="18" t="s">
        <v>184</v>
      </c>
      <c r="X2754" s="16">
        <v>10</v>
      </c>
      <c r="Y2754" s="18" t="s">
        <v>9017</v>
      </c>
      <c r="Z2754" s="18"/>
      <c r="AS2754" s="1">
        <f>IF($A2754&lt;&gt;0,1,0)</f>
        <v>0</v>
      </c>
      <c r="AT2754" s="1">
        <f>$A2754*$B2754</f>
        <v>0</v>
      </c>
      <c r="AU2754" s="1">
        <f>$A2754*$O2754</f>
        <v>0</v>
      </c>
      <c r="AV2754" s="1">
        <f>IF($R2754=0,0,INT($A2754/$R2754))</f>
        <v>0</v>
      </c>
      <c r="AW2754" s="1">
        <f>$A2754-$AV2754*$R2754</f>
        <v>0</v>
      </c>
    </row>
    <row r="2755" ht="24.95" customHeight="1" outlineLevel="3" s="1" customFormat="1">
      <c r="A2755" s="15"/>
      <c r="B2755" s="16">
        <v>540</v>
      </c>
      <c r="C2755" s="16">
        <v>837</v>
      </c>
      <c r="D2755" s="16">
        <v>28964</v>
      </c>
      <c r="E2755" s="18"/>
      <c r="F2755" s="18" t="s">
        <v>9012</v>
      </c>
      <c r="G2755" s="18" t="s">
        <v>9058</v>
      </c>
      <c r="H2755" s="18" t="s">
        <v>49</v>
      </c>
      <c r="I2755" s="18" t="s">
        <v>87</v>
      </c>
      <c r="J2755" s="16">
        <v>2026</v>
      </c>
      <c r="K2755" s="18" t="s">
        <v>9059</v>
      </c>
      <c r="L2755" s="16">
        <v>9785961490893</v>
      </c>
      <c r="M2755" s="18" t="s">
        <v>9060</v>
      </c>
      <c r="N2755" s="16">
        <v>32</v>
      </c>
      <c r="O2755" s="19">
        <v>0.21</v>
      </c>
      <c r="P2755" s="16">
        <v>200</v>
      </c>
      <c r="Q2755" s="16">
        <v>200</v>
      </c>
      <c r="R2755" s="16">
        <v>15</v>
      </c>
      <c r="S2755" s="18" t="s">
        <v>83</v>
      </c>
      <c r="T2755" s="18" t="s">
        <v>9016</v>
      </c>
      <c r="U2755" s="17">
        <v>3000</v>
      </c>
      <c r="V2755" s="18" t="s">
        <v>77</v>
      </c>
      <c r="W2755" s="18" t="s">
        <v>184</v>
      </c>
      <c r="X2755" s="16">
        <v>10</v>
      </c>
      <c r="Y2755" s="18" t="s">
        <v>9017</v>
      </c>
      <c r="Z2755" s="18"/>
      <c r="AS2755" s="1">
        <f>IF($A2755&lt;&gt;0,1,0)</f>
        <v>0</v>
      </c>
      <c r="AT2755" s="1">
        <f>$A2755*$B2755</f>
        <v>0</v>
      </c>
      <c r="AU2755" s="1">
        <f>$A2755*$O2755</f>
        <v>0</v>
      </c>
      <c r="AV2755" s="1">
        <f>IF($R2755=0,0,INT($A2755/$R2755))</f>
        <v>0</v>
      </c>
      <c r="AW2755" s="1">
        <f>$A2755-$AV2755*$R2755</f>
        <v>0</v>
      </c>
    </row>
    <row r="2756" ht="24.95" customHeight="1" outlineLevel="3" s="1" customFormat="1">
      <c r="A2756" s="15"/>
      <c r="B2756" s="16">
        <v>350</v>
      </c>
      <c r="C2756" s="16">
        <v>560</v>
      </c>
      <c r="D2756" s="16">
        <v>34359</v>
      </c>
      <c r="E2756" s="18"/>
      <c r="F2756" s="18" t="s">
        <v>9061</v>
      </c>
      <c r="G2756" s="18" t="s">
        <v>9062</v>
      </c>
      <c r="H2756" s="18" t="s">
        <v>49</v>
      </c>
      <c r="I2756" s="18" t="s">
        <v>87</v>
      </c>
      <c r="J2756" s="16">
        <v>2026</v>
      </c>
      <c r="K2756" s="18" t="s">
        <v>9063</v>
      </c>
      <c r="L2756" s="16">
        <v>9785006307254</v>
      </c>
      <c r="M2756" s="18" t="s">
        <v>9064</v>
      </c>
      <c r="N2756" s="16">
        <v>32</v>
      </c>
      <c r="O2756" s="19">
        <v>0.22</v>
      </c>
      <c r="P2756" s="16">
        <v>200</v>
      </c>
      <c r="Q2756" s="16">
        <v>200</v>
      </c>
      <c r="R2756" s="16">
        <v>25</v>
      </c>
      <c r="S2756" s="18" t="s">
        <v>83</v>
      </c>
      <c r="T2756" s="18" t="s">
        <v>9065</v>
      </c>
      <c r="U2756" s="17">
        <v>3000</v>
      </c>
      <c r="V2756" s="18" t="s">
        <v>77</v>
      </c>
      <c r="W2756" s="18" t="s">
        <v>184</v>
      </c>
      <c r="X2756" s="16">
        <v>10</v>
      </c>
      <c r="Y2756" s="18" t="s">
        <v>9066</v>
      </c>
      <c r="Z2756" s="18"/>
      <c r="AS2756" s="1">
        <f>IF($A2756&lt;&gt;0,1,0)</f>
        <v>0</v>
      </c>
      <c r="AT2756" s="1">
        <f>$A2756*$B2756</f>
        <v>0</v>
      </c>
      <c r="AU2756" s="1">
        <f>$A2756*$O2756</f>
        <v>0</v>
      </c>
      <c r="AV2756" s="1">
        <f>IF($R2756=0,0,INT($A2756/$R2756))</f>
        <v>0</v>
      </c>
      <c r="AW2756" s="1">
        <f>$A2756-$AV2756*$R2756</f>
        <v>0</v>
      </c>
    </row>
    <row r="2757" ht="24.95" customHeight="1" outlineLevel="3" s="1" customFormat="1">
      <c r="A2757" s="15"/>
      <c r="B2757" s="16">
        <v>350</v>
      </c>
      <c r="C2757" s="16">
        <v>560</v>
      </c>
      <c r="D2757" s="16">
        <v>34357</v>
      </c>
      <c r="E2757" s="18"/>
      <c r="F2757" s="18" t="s">
        <v>9061</v>
      </c>
      <c r="G2757" s="18" t="s">
        <v>9067</v>
      </c>
      <c r="H2757" s="18" t="s">
        <v>49</v>
      </c>
      <c r="I2757" s="18" t="s">
        <v>87</v>
      </c>
      <c r="J2757" s="16">
        <v>2026</v>
      </c>
      <c r="K2757" s="18" t="s">
        <v>9068</v>
      </c>
      <c r="L2757" s="16">
        <v>9785006307230</v>
      </c>
      <c r="M2757" s="18" t="s">
        <v>9069</v>
      </c>
      <c r="N2757" s="16">
        <v>32</v>
      </c>
      <c r="O2757" s="19">
        <v>0.18</v>
      </c>
      <c r="P2757" s="16">
        <v>200</v>
      </c>
      <c r="Q2757" s="16">
        <v>200</v>
      </c>
      <c r="R2757" s="16">
        <v>25</v>
      </c>
      <c r="S2757" s="18" t="s">
        <v>83</v>
      </c>
      <c r="T2757" s="18" t="s">
        <v>9065</v>
      </c>
      <c r="U2757" s="17">
        <v>3000</v>
      </c>
      <c r="V2757" s="18" t="s">
        <v>77</v>
      </c>
      <c r="W2757" s="18" t="s">
        <v>184</v>
      </c>
      <c r="X2757" s="16">
        <v>10</v>
      </c>
      <c r="Y2757" s="18" t="s">
        <v>9066</v>
      </c>
      <c r="Z2757" s="18"/>
      <c r="AS2757" s="1">
        <f>IF($A2757&lt;&gt;0,1,0)</f>
        <v>0</v>
      </c>
      <c r="AT2757" s="1">
        <f>$A2757*$B2757</f>
        <v>0</v>
      </c>
      <c r="AU2757" s="1">
        <f>$A2757*$O2757</f>
        <v>0</v>
      </c>
      <c r="AV2757" s="1">
        <f>IF($R2757=0,0,INT($A2757/$R2757))</f>
        <v>0</v>
      </c>
      <c r="AW2757" s="1">
        <f>$A2757-$AV2757*$R2757</f>
        <v>0</v>
      </c>
    </row>
    <row r="2758" ht="24.95" customHeight="1" outlineLevel="3" s="1" customFormat="1">
      <c r="A2758" s="15"/>
      <c r="B2758" s="16">
        <v>350</v>
      </c>
      <c r="C2758" s="16">
        <v>560</v>
      </c>
      <c r="D2758" s="16">
        <v>34358</v>
      </c>
      <c r="E2758" s="18"/>
      <c r="F2758" s="18" t="s">
        <v>9061</v>
      </c>
      <c r="G2758" s="18" t="s">
        <v>9070</v>
      </c>
      <c r="H2758" s="18" t="s">
        <v>49</v>
      </c>
      <c r="I2758" s="18" t="s">
        <v>87</v>
      </c>
      <c r="J2758" s="16">
        <v>2026</v>
      </c>
      <c r="K2758" s="18" t="s">
        <v>9071</v>
      </c>
      <c r="L2758" s="16">
        <v>9785006307247</v>
      </c>
      <c r="M2758" s="18" t="s">
        <v>9072</v>
      </c>
      <c r="N2758" s="16">
        <v>32</v>
      </c>
      <c r="O2758" s="19">
        <v>0.22</v>
      </c>
      <c r="P2758" s="16">
        <v>200</v>
      </c>
      <c r="Q2758" s="16">
        <v>200</v>
      </c>
      <c r="R2758" s="16">
        <v>25</v>
      </c>
      <c r="S2758" s="18" t="s">
        <v>83</v>
      </c>
      <c r="T2758" s="18" t="s">
        <v>9065</v>
      </c>
      <c r="U2758" s="17">
        <v>3000</v>
      </c>
      <c r="V2758" s="18" t="s">
        <v>77</v>
      </c>
      <c r="W2758" s="18" t="s">
        <v>184</v>
      </c>
      <c r="X2758" s="16">
        <v>10</v>
      </c>
      <c r="Y2758" s="18" t="s">
        <v>9066</v>
      </c>
      <c r="Z2758" s="18"/>
      <c r="AS2758" s="1">
        <f>IF($A2758&lt;&gt;0,1,0)</f>
        <v>0</v>
      </c>
      <c r="AT2758" s="1">
        <f>$A2758*$B2758</f>
        <v>0</v>
      </c>
      <c r="AU2758" s="1">
        <f>$A2758*$O2758</f>
        <v>0</v>
      </c>
      <c r="AV2758" s="1">
        <f>IF($R2758=0,0,INT($A2758/$R2758))</f>
        <v>0</v>
      </c>
      <c r="AW2758" s="1">
        <f>$A2758-$AV2758*$R2758</f>
        <v>0</v>
      </c>
    </row>
    <row r="2759" ht="24.95" customHeight="1" outlineLevel="3" s="1" customFormat="1">
      <c r="A2759" s="15"/>
      <c r="B2759" s="16">
        <v>490</v>
      </c>
      <c r="C2759" s="16">
        <v>760</v>
      </c>
      <c r="D2759" s="16">
        <v>25436</v>
      </c>
      <c r="E2759" s="18"/>
      <c r="F2759" s="18" t="s">
        <v>9073</v>
      </c>
      <c r="G2759" s="18" t="s">
        <v>9074</v>
      </c>
      <c r="H2759" s="18" t="s">
        <v>49</v>
      </c>
      <c r="I2759" s="18" t="s">
        <v>74</v>
      </c>
      <c r="J2759" s="16">
        <v>2023</v>
      </c>
      <c r="K2759" s="18" t="s">
        <v>9075</v>
      </c>
      <c r="L2759" s="16">
        <v>9785961481815</v>
      </c>
      <c r="M2759" s="18" t="s">
        <v>9076</v>
      </c>
      <c r="N2759" s="16">
        <v>40</v>
      </c>
      <c r="O2759" s="19">
        <v>0.34</v>
      </c>
      <c r="P2759" s="16">
        <v>206</v>
      </c>
      <c r="Q2759" s="16">
        <v>256</v>
      </c>
      <c r="R2759" s="16">
        <v>12</v>
      </c>
      <c r="S2759" s="18" t="s">
        <v>328</v>
      </c>
      <c r="T2759" s="18" t="s">
        <v>9077</v>
      </c>
      <c r="U2759" s="17">
        <v>2000</v>
      </c>
      <c r="V2759" s="18" t="s">
        <v>77</v>
      </c>
      <c r="W2759" s="18" t="s">
        <v>8203</v>
      </c>
      <c r="X2759" s="16">
        <v>10</v>
      </c>
      <c r="Y2759" s="18" t="s">
        <v>8196</v>
      </c>
      <c r="Z2759" s="18"/>
      <c r="AS2759" s="1">
        <f>IF($A2759&lt;&gt;0,1,0)</f>
        <v>0</v>
      </c>
      <c r="AT2759" s="1">
        <f>$A2759*$B2759</f>
        <v>0</v>
      </c>
      <c r="AU2759" s="1">
        <f>$A2759*$O2759</f>
        <v>0</v>
      </c>
      <c r="AV2759" s="1">
        <f>IF($R2759=0,0,INT($A2759/$R2759))</f>
        <v>0</v>
      </c>
      <c r="AW2759" s="1">
        <f>$A2759-$AV2759*$R2759</f>
        <v>0</v>
      </c>
    </row>
    <row r="2760" ht="21.95" customHeight="1" outlineLevel="3" s="1" customFormat="1">
      <c r="A2760" s="15"/>
      <c r="B2760" s="16">
        <v>840</v>
      </c>
      <c r="C2760" s="17">
        <v>1218</v>
      </c>
      <c r="D2760" s="16">
        <v>24448</v>
      </c>
      <c r="E2760" s="18"/>
      <c r="F2760" s="18" t="s">
        <v>9078</v>
      </c>
      <c r="G2760" s="18" t="s">
        <v>9079</v>
      </c>
      <c r="H2760" s="18" t="s">
        <v>49</v>
      </c>
      <c r="I2760" s="18"/>
      <c r="J2760" s="16">
        <v>2022</v>
      </c>
      <c r="K2760" s="18" t="s">
        <v>9080</v>
      </c>
      <c r="L2760" s="16">
        <v>9785907534292</v>
      </c>
      <c r="M2760" s="18" t="s">
        <v>9081</v>
      </c>
      <c r="N2760" s="16">
        <v>64</v>
      </c>
      <c r="O2760" s="19">
        <v>0.46</v>
      </c>
      <c r="P2760" s="16">
        <v>220</v>
      </c>
      <c r="Q2760" s="16">
        <v>286</v>
      </c>
      <c r="R2760" s="16">
        <v>12</v>
      </c>
      <c r="S2760" s="18" t="s">
        <v>83</v>
      </c>
      <c r="T2760" s="18"/>
      <c r="U2760" s="17">
        <v>3000</v>
      </c>
      <c r="V2760" s="18" t="s">
        <v>77</v>
      </c>
      <c r="W2760" s="18" t="s">
        <v>91</v>
      </c>
      <c r="X2760" s="16">
        <v>10</v>
      </c>
      <c r="Y2760" s="43" t="str">
        <f>HYPERLINK("","")</f>
      </c>
      <c r="Z2760" s="18"/>
      <c r="AS2760" s="1">
        <f>IF($A2760&lt;&gt;0,1,0)</f>
        <v>0</v>
      </c>
      <c r="AT2760" s="1">
        <f>$A2760*$B2760</f>
        <v>0</v>
      </c>
      <c r="AU2760" s="1">
        <f>$A2760*$O2760</f>
        <v>0</v>
      </c>
      <c r="AV2760" s="1">
        <f>IF($R2760=0,0,INT($A2760/$R2760))</f>
        <v>0</v>
      </c>
      <c r="AW2760" s="1">
        <f>$A2760-$AV2760*$R2760</f>
        <v>0</v>
      </c>
    </row>
    <row r="2761" ht="24.95" customHeight="1" outlineLevel="3" s="1" customFormat="1">
      <c r="A2761" s="15"/>
      <c r="B2761" s="16">
        <v>350</v>
      </c>
      <c r="C2761" s="16">
        <v>560</v>
      </c>
      <c r="D2761" s="16">
        <v>34356</v>
      </c>
      <c r="E2761" s="18"/>
      <c r="F2761" s="18" t="s">
        <v>9061</v>
      </c>
      <c r="G2761" s="18" t="s">
        <v>9082</v>
      </c>
      <c r="H2761" s="18" t="s">
        <v>49</v>
      </c>
      <c r="I2761" s="18" t="s">
        <v>87</v>
      </c>
      <c r="J2761" s="16">
        <v>2026</v>
      </c>
      <c r="K2761" s="18" t="s">
        <v>9083</v>
      </c>
      <c r="L2761" s="16">
        <v>9785006307223</v>
      </c>
      <c r="M2761" s="18" t="s">
        <v>9084</v>
      </c>
      <c r="N2761" s="16">
        <v>32</v>
      </c>
      <c r="O2761" s="19">
        <v>0.22</v>
      </c>
      <c r="P2761" s="16">
        <v>200</v>
      </c>
      <c r="Q2761" s="16">
        <v>200</v>
      </c>
      <c r="R2761" s="16">
        <v>25</v>
      </c>
      <c r="S2761" s="18" t="s">
        <v>83</v>
      </c>
      <c r="T2761" s="18" t="s">
        <v>9065</v>
      </c>
      <c r="U2761" s="17">
        <v>3000</v>
      </c>
      <c r="V2761" s="18" t="s">
        <v>77</v>
      </c>
      <c r="W2761" s="18" t="s">
        <v>184</v>
      </c>
      <c r="X2761" s="16">
        <v>10</v>
      </c>
      <c r="Y2761" s="18" t="s">
        <v>9066</v>
      </c>
      <c r="Z2761" s="18"/>
      <c r="AS2761" s="1">
        <f>IF($A2761&lt;&gt;0,1,0)</f>
        <v>0</v>
      </c>
      <c r="AT2761" s="1">
        <f>$A2761*$B2761</f>
        <v>0</v>
      </c>
      <c r="AU2761" s="1">
        <f>$A2761*$O2761</f>
        <v>0</v>
      </c>
      <c r="AV2761" s="1">
        <f>IF($R2761=0,0,INT($A2761/$R2761))</f>
        <v>0</v>
      </c>
      <c r="AW2761" s="1">
        <f>$A2761-$AV2761*$R2761</f>
        <v>0</v>
      </c>
    </row>
    <row r="2762" ht="24.95" customHeight="1" outlineLevel="3" s="1" customFormat="1">
      <c r="A2762" s="15"/>
      <c r="B2762" s="16">
        <v>540</v>
      </c>
      <c r="C2762" s="16">
        <v>837</v>
      </c>
      <c r="D2762" s="16">
        <v>30941</v>
      </c>
      <c r="E2762" s="18"/>
      <c r="F2762" s="18" t="s">
        <v>9012</v>
      </c>
      <c r="G2762" s="18" t="s">
        <v>9085</v>
      </c>
      <c r="H2762" s="18" t="s">
        <v>49</v>
      </c>
      <c r="I2762" s="18" t="s">
        <v>87</v>
      </c>
      <c r="J2762" s="16">
        <v>2026</v>
      </c>
      <c r="K2762" s="18" t="s">
        <v>9086</v>
      </c>
      <c r="L2762" s="16">
        <v>9785961497007</v>
      </c>
      <c r="M2762" s="18" t="s">
        <v>9087</v>
      </c>
      <c r="N2762" s="16">
        <v>32</v>
      </c>
      <c r="O2762" s="19">
        <v>0.21</v>
      </c>
      <c r="P2762" s="16">
        <v>200</v>
      </c>
      <c r="Q2762" s="16">
        <v>200</v>
      </c>
      <c r="R2762" s="16">
        <v>15</v>
      </c>
      <c r="S2762" s="18" t="s">
        <v>83</v>
      </c>
      <c r="T2762" s="18" t="s">
        <v>9016</v>
      </c>
      <c r="U2762" s="17">
        <v>2000</v>
      </c>
      <c r="V2762" s="18" t="s">
        <v>77</v>
      </c>
      <c r="W2762" s="18" t="s">
        <v>184</v>
      </c>
      <c r="X2762" s="16">
        <v>10</v>
      </c>
      <c r="Y2762" s="18" t="s">
        <v>7951</v>
      </c>
      <c r="Z2762" s="18"/>
      <c r="AS2762" s="1">
        <f>IF($A2762&lt;&gt;0,1,0)</f>
        <v>0</v>
      </c>
      <c r="AT2762" s="1">
        <f>$A2762*$B2762</f>
        <v>0</v>
      </c>
      <c r="AU2762" s="1">
        <f>$A2762*$O2762</f>
        <v>0</v>
      </c>
      <c r="AV2762" s="1">
        <f>IF($R2762=0,0,INT($A2762/$R2762))</f>
        <v>0</v>
      </c>
      <c r="AW2762" s="1">
        <f>$A2762-$AV2762*$R2762</f>
        <v>0</v>
      </c>
    </row>
    <row r="2763" ht="24.95" customHeight="1" outlineLevel="3" s="1" customFormat="1">
      <c r="A2763" s="15"/>
      <c r="B2763" s="16">
        <v>640</v>
      </c>
      <c r="C2763" s="16">
        <v>960</v>
      </c>
      <c r="D2763" s="16">
        <v>32251</v>
      </c>
      <c r="E2763" s="18"/>
      <c r="F2763" s="18" t="s">
        <v>9088</v>
      </c>
      <c r="G2763" s="18" t="s">
        <v>9089</v>
      </c>
      <c r="H2763" s="18" t="s">
        <v>49</v>
      </c>
      <c r="I2763" s="18"/>
      <c r="J2763" s="16">
        <v>2026</v>
      </c>
      <c r="K2763" s="18" t="s">
        <v>9090</v>
      </c>
      <c r="L2763" s="16">
        <v>9785006301719</v>
      </c>
      <c r="M2763" s="18" t="s">
        <v>9091</v>
      </c>
      <c r="N2763" s="16">
        <v>64</v>
      </c>
      <c r="O2763" s="19">
        <v>0.4</v>
      </c>
      <c r="P2763" s="16">
        <v>220</v>
      </c>
      <c r="Q2763" s="16">
        <v>260</v>
      </c>
      <c r="R2763" s="16">
        <v>12</v>
      </c>
      <c r="S2763" s="18" t="s">
        <v>83</v>
      </c>
      <c r="T2763" s="18" t="s">
        <v>9092</v>
      </c>
      <c r="U2763" s="17">
        <v>3000</v>
      </c>
      <c r="V2763" s="18" t="s">
        <v>77</v>
      </c>
      <c r="W2763" s="18" t="s">
        <v>184</v>
      </c>
      <c r="X2763" s="16">
        <v>10</v>
      </c>
      <c r="Y2763" s="18" t="s">
        <v>8868</v>
      </c>
      <c r="Z2763" s="18"/>
      <c r="AS2763" s="1">
        <f>IF($A2763&lt;&gt;0,1,0)</f>
        <v>0</v>
      </c>
      <c r="AT2763" s="1">
        <f>$A2763*$B2763</f>
        <v>0</v>
      </c>
      <c r="AU2763" s="1">
        <f>$A2763*$O2763</f>
        <v>0</v>
      </c>
      <c r="AV2763" s="1">
        <f>IF($R2763=0,0,INT($A2763/$R2763))</f>
        <v>0</v>
      </c>
      <c r="AW2763" s="1">
        <f>$A2763-$AV2763*$R2763</f>
        <v>0</v>
      </c>
    </row>
    <row r="2764" ht="24.95" customHeight="1" outlineLevel="3" s="1" customFormat="1">
      <c r="A2764" s="15"/>
      <c r="B2764" s="16">
        <v>540</v>
      </c>
      <c r="C2764" s="16">
        <v>837</v>
      </c>
      <c r="D2764" s="16">
        <v>32329</v>
      </c>
      <c r="E2764" s="18"/>
      <c r="F2764" s="18" t="s">
        <v>9012</v>
      </c>
      <c r="G2764" s="18" t="s">
        <v>9093</v>
      </c>
      <c r="H2764" s="18" t="s">
        <v>49</v>
      </c>
      <c r="I2764" s="18" t="s">
        <v>87</v>
      </c>
      <c r="J2764" s="16">
        <v>2026</v>
      </c>
      <c r="K2764" s="18" t="s">
        <v>9094</v>
      </c>
      <c r="L2764" s="16">
        <v>9785006301894</v>
      </c>
      <c r="M2764" s="18" t="s">
        <v>9095</v>
      </c>
      <c r="N2764" s="16">
        <v>32</v>
      </c>
      <c r="O2764" s="19">
        <v>0.21</v>
      </c>
      <c r="P2764" s="16">
        <v>200</v>
      </c>
      <c r="Q2764" s="16">
        <v>200</v>
      </c>
      <c r="R2764" s="16">
        <v>15</v>
      </c>
      <c r="S2764" s="18" t="s">
        <v>83</v>
      </c>
      <c r="T2764" s="18" t="s">
        <v>9016</v>
      </c>
      <c r="U2764" s="17">
        <v>2000</v>
      </c>
      <c r="V2764" s="18" t="s">
        <v>77</v>
      </c>
      <c r="W2764" s="18" t="s">
        <v>184</v>
      </c>
      <c r="X2764" s="16">
        <v>10</v>
      </c>
      <c r="Y2764" s="18" t="s">
        <v>7981</v>
      </c>
      <c r="Z2764" s="18"/>
      <c r="AS2764" s="1">
        <f>IF($A2764&lt;&gt;0,1,0)</f>
        <v>0</v>
      </c>
      <c r="AT2764" s="1">
        <f>$A2764*$B2764</f>
        <v>0</v>
      </c>
      <c r="AU2764" s="1">
        <f>$A2764*$O2764</f>
        <v>0</v>
      </c>
      <c r="AV2764" s="1">
        <f>IF($R2764=0,0,INT($A2764/$R2764))</f>
        <v>0</v>
      </c>
      <c r="AW2764" s="1">
        <f>$A2764-$AV2764*$R2764</f>
        <v>0</v>
      </c>
    </row>
    <row r="2765" ht="21.95" customHeight="1" outlineLevel="3" s="1" customFormat="1">
      <c r="A2765" s="15"/>
      <c r="B2765" s="16">
        <v>790</v>
      </c>
      <c r="C2765" s="17">
        <v>1146</v>
      </c>
      <c r="D2765" s="16">
        <v>32627</v>
      </c>
      <c r="E2765" s="18"/>
      <c r="F2765" s="18" t="s">
        <v>8682</v>
      </c>
      <c r="G2765" s="18" t="s">
        <v>9096</v>
      </c>
      <c r="H2765" s="18" t="s">
        <v>49</v>
      </c>
      <c r="I2765" s="18"/>
      <c r="J2765" s="16">
        <v>2025</v>
      </c>
      <c r="K2765" s="18" t="s">
        <v>9097</v>
      </c>
      <c r="L2765" s="16">
        <v>9785006302761</v>
      </c>
      <c r="M2765" s="18" t="s">
        <v>9098</v>
      </c>
      <c r="N2765" s="16">
        <v>104</v>
      </c>
      <c r="O2765" s="19">
        <v>0.38</v>
      </c>
      <c r="P2765" s="16">
        <v>170</v>
      </c>
      <c r="Q2765" s="16">
        <v>240</v>
      </c>
      <c r="R2765" s="16">
        <v>10</v>
      </c>
      <c r="S2765" s="18" t="s">
        <v>123</v>
      </c>
      <c r="T2765" s="18" t="s">
        <v>9054</v>
      </c>
      <c r="U2765" s="17">
        <v>1500</v>
      </c>
      <c r="V2765" s="18" t="s">
        <v>77</v>
      </c>
      <c r="W2765" s="18" t="s">
        <v>55</v>
      </c>
      <c r="X2765" s="16">
        <v>10</v>
      </c>
      <c r="Y2765" s="43" t="str">
        <f>HYPERLINK("","")</f>
      </c>
      <c r="Z2765" s="18"/>
      <c r="AS2765" s="1">
        <f>IF($A2765&lt;&gt;0,1,0)</f>
        <v>0</v>
      </c>
      <c r="AT2765" s="1">
        <f>$A2765*$B2765</f>
        <v>0</v>
      </c>
      <c r="AU2765" s="1">
        <f>$A2765*$O2765</f>
        <v>0</v>
      </c>
      <c r="AV2765" s="1">
        <f>IF($R2765=0,0,INT($A2765/$R2765))</f>
        <v>0</v>
      </c>
      <c r="AW2765" s="1">
        <f>$A2765-$AV2765*$R2765</f>
        <v>0</v>
      </c>
    </row>
    <row r="2766" ht="24.95" customHeight="1" outlineLevel="3" s="1" customFormat="1">
      <c r="A2766" s="15"/>
      <c r="B2766" s="16">
        <v>440</v>
      </c>
      <c r="C2766" s="16">
        <v>682</v>
      </c>
      <c r="D2766" s="16">
        <v>30880</v>
      </c>
      <c r="E2766" s="18"/>
      <c r="F2766" s="18" t="s">
        <v>9099</v>
      </c>
      <c r="G2766" s="18" t="s">
        <v>9100</v>
      </c>
      <c r="H2766" s="18" t="s">
        <v>49</v>
      </c>
      <c r="I2766" s="18" t="s">
        <v>87</v>
      </c>
      <c r="J2766" s="16">
        <v>2024</v>
      </c>
      <c r="K2766" s="18" t="s">
        <v>9101</v>
      </c>
      <c r="L2766" s="16">
        <v>9785961496864</v>
      </c>
      <c r="M2766" s="18" t="s">
        <v>9102</v>
      </c>
      <c r="N2766" s="16">
        <v>32</v>
      </c>
      <c r="O2766" s="19">
        <v>0.25</v>
      </c>
      <c r="P2766" s="16">
        <v>220</v>
      </c>
      <c r="Q2766" s="16">
        <v>220</v>
      </c>
      <c r="R2766" s="16">
        <v>18</v>
      </c>
      <c r="S2766" s="18" t="s">
        <v>83</v>
      </c>
      <c r="T2766" s="18"/>
      <c r="U2766" s="17">
        <v>3000</v>
      </c>
      <c r="V2766" s="18" t="s">
        <v>77</v>
      </c>
      <c r="W2766" s="18" t="s">
        <v>184</v>
      </c>
      <c r="X2766" s="16">
        <v>10</v>
      </c>
      <c r="Y2766" s="18" t="s">
        <v>7951</v>
      </c>
      <c r="Z2766" s="18"/>
      <c r="AS2766" s="1">
        <f>IF($A2766&lt;&gt;0,1,0)</f>
        <v>0</v>
      </c>
      <c r="AT2766" s="1">
        <f>$A2766*$B2766</f>
        <v>0</v>
      </c>
      <c r="AU2766" s="1">
        <f>$A2766*$O2766</f>
        <v>0</v>
      </c>
      <c r="AV2766" s="1">
        <f>IF($R2766=0,0,INT($A2766/$R2766))</f>
        <v>0</v>
      </c>
      <c r="AW2766" s="1">
        <f>$A2766-$AV2766*$R2766</f>
        <v>0</v>
      </c>
    </row>
    <row r="2767" ht="24.95" customHeight="1" outlineLevel="3" s="1" customFormat="1">
      <c r="A2767" s="15"/>
      <c r="B2767" s="16">
        <v>440</v>
      </c>
      <c r="C2767" s="16">
        <v>682</v>
      </c>
      <c r="D2767" s="16">
        <v>23995</v>
      </c>
      <c r="E2767" s="18"/>
      <c r="F2767" s="18" t="s">
        <v>9012</v>
      </c>
      <c r="G2767" s="18" t="s">
        <v>9103</v>
      </c>
      <c r="H2767" s="18" t="s">
        <v>49</v>
      </c>
      <c r="I2767" s="18" t="s">
        <v>87</v>
      </c>
      <c r="J2767" s="16">
        <v>2025</v>
      </c>
      <c r="K2767" s="18" t="s">
        <v>9104</v>
      </c>
      <c r="L2767" s="16">
        <v>9785961474442</v>
      </c>
      <c r="M2767" s="18" t="s">
        <v>9105</v>
      </c>
      <c r="N2767" s="16">
        <v>32</v>
      </c>
      <c r="O2767" s="19">
        <v>0.25</v>
      </c>
      <c r="P2767" s="16">
        <v>200</v>
      </c>
      <c r="Q2767" s="16">
        <v>200</v>
      </c>
      <c r="R2767" s="16">
        <v>15</v>
      </c>
      <c r="S2767" s="18" t="s">
        <v>83</v>
      </c>
      <c r="T2767" s="18" t="s">
        <v>9016</v>
      </c>
      <c r="U2767" s="17">
        <v>1500</v>
      </c>
      <c r="V2767" s="18" t="s">
        <v>77</v>
      </c>
      <c r="W2767" s="18" t="s">
        <v>184</v>
      </c>
      <c r="X2767" s="16">
        <v>10</v>
      </c>
      <c r="Y2767" s="18" t="s">
        <v>7981</v>
      </c>
      <c r="Z2767" s="18"/>
      <c r="AS2767" s="1">
        <f>IF($A2767&lt;&gt;0,1,0)</f>
        <v>0</v>
      </c>
      <c r="AT2767" s="1">
        <f>$A2767*$B2767</f>
        <v>0</v>
      </c>
      <c r="AU2767" s="1">
        <f>$A2767*$O2767</f>
        <v>0</v>
      </c>
      <c r="AV2767" s="1">
        <f>IF($R2767=0,0,INT($A2767/$R2767))</f>
        <v>0</v>
      </c>
      <c r="AW2767" s="1">
        <f>$A2767-$AV2767*$R2767</f>
        <v>0</v>
      </c>
    </row>
    <row r="2768" ht="24.95" customHeight="1" outlineLevel="3" s="1" customFormat="1">
      <c r="A2768" s="15"/>
      <c r="B2768" s="16">
        <v>540</v>
      </c>
      <c r="C2768" s="16">
        <v>837</v>
      </c>
      <c r="D2768" s="16">
        <v>22557</v>
      </c>
      <c r="E2768" s="18"/>
      <c r="F2768" s="18" t="s">
        <v>9106</v>
      </c>
      <c r="G2768" s="18" t="s">
        <v>9107</v>
      </c>
      <c r="H2768" s="18" t="s">
        <v>49</v>
      </c>
      <c r="I2768" s="18" t="s">
        <v>87</v>
      </c>
      <c r="J2768" s="16">
        <v>2026</v>
      </c>
      <c r="K2768" s="18" t="s">
        <v>9108</v>
      </c>
      <c r="L2768" s="16">
        <v>9785961455809</v>
      </c>
      <c r="M2768" s="18" t="s">
        <v>9109</v>
      </c>
      <c r="N2768" s="16">
        <v>32</v>
      </c>
      <c r="O2768" s="19">
        <v>0.24</v>
      </c>
      <c r="P2768" s="16">
        <v>198</v>
      </c>
      <c r="Q2768" s="16">
        <v>198</v>
      </c>
      <c r="R2768" s="16">
        <v>15</v>
      </c>
      <c r="S2768" s="18" t="s">
        <v>83</v>
      </c>
      <c r="T2768" s="18" t="s">
        <v>9016</v>
      </c>
      <c r="U2768" s="17">
        <v>1500</v>
      </c>
      <c r="V2768" s="18" t="s">
        <v>77</v>
      </c>
      <c r="W2768" s="18" t="s">
        <v>184</v>
      </c>
      <c r="X2768" s="16">
        <v>10</v>
      </c>
      <c r="Y2768" s="18" t="s">
        <v>9017</v>
      </c>
      <c r="Z2768" s="18"/>
      <c r="AS2768" s="1">
        <f>IF($A2768&lt;&gt;0,1,0)</f>
        <v>0</v>
      </c>
      <c r="AT2768" s="1">
        <f>$A2768*$B2768</f>
        <v>0</v>
      </c>
      <c r="AU2768" s="1">
        <f>$A2768*$O2768</f>
        <v>0</v>
      </c>
      <c r="AV2768" s="1">
        <f>IF($R2768=0,0,INT($A2768/$R2768))</f>
        <v>0</v>
      </c>
      <c r="AW2768" s="1">
        <f>$A2768-$AV2768*$R2768</f>
        <v>0</v>
      </c>
    </row>
    <row r="2769" ht="24.95" customHeight="1" outlineLevel="3" s="1" customFormat="1">
      <c r="A2769" s="15"/>
      <c r="B2769" s="16">
        <v>490</v>
      </c>
      <c r="C2769" s="16">
        <v>760</v>
      </c>
      <c r="D2769" s="16">
        <v>35487</v>
      </c>
      <c r="E2769" s="18"/>
      <c r="F2769" s="18" t="s">
        <v>9110</v>
      </c>
      <c r="G2769" s="18" t="s">
        <v>9111</v>
      </c>
      <c r="H2769" s="18" t="s">
        <v>49</v>
      </c>
      <c r="I2769" s="18"/>
      <c r="J2769" s="16">
        <v>2025</v>
      </c>
      <c r="K2769" s="18" t="s">
        <v>9112</v>
      </c>
      <c r="L2769" s="16">
        <v>9785006312203</v>
      </c>
      <c r="M2769" s="18" t="s">
        <v>9113</v>
      </c>
      <c r="N2769" s="16">
        <v>32</v>
      </c>
      <c r="O2769" s="19">
        <v>0.38</v>
      </c>
      <c r="P2769" s="16">
        <v>230</v>
      </c>
      <c r="Q2769" s="16">
        <v>290</v>
      </c>
      <c r="R2769" s="16">
        <v>4</v>
      </c>
      <c r="S2769" s="18" t="s">
        <v>83</v>
      </c>
      <c r="T2769" s="18"/>
      <c r="U2769" s="17">
        <v>2000</v>
      </c>
      <c r="V2769" s="18" t="s">
        <v>77</v>
      </c>
      <c r="W2769" s="18" t="s">
        <v>55</v>
      </c>
      <c r="X2769" s="16">
        <v>10</v>
      </c>
      <c r="Y2769" s="18" t="s">
        <v>9114</v>
      </c>
      <c r="Z2769" s="18"/>
      <c r="AS2769" s="1">
        <f>IF($A2769&lt;&gt;0,1,0)</f>
        <v>0</v>
      </c>
      <c r="AT2769" s="1">
        <f>$A2769*$B2769</f>
        <v>0</v>
      </c>
      <c r="AU2769" s="1">
        <f>$A2769*$O2769</f>
        <v>0</v>
      </c>
      <c r="AV2769" s="1">
        <f>IF($R2769=0,0,INT($A2769/$R2769))</f>
        <v>0</v>
      </c>
      <c r="AW2769" s="1">
        <f>$A2769-$AV2769*$R2769</f>
        <v>0</v>
      </c>
    </row>
    <row r="2770" ht="24.95" customHeight="1" outlineLevel="3" s="1" customFormat="1">
      <c r="A2770" s="15"/>
      <c r="B2770" s="16">
        <v>440</v>
      </c>
      <c r="C2770" s="16">
        <v>682</v>
      </c>
      <c r="D2770" s="16">
        <v>28962</v>
      </c>
      <c r="E2770" s="18"/>
      <c r="F2770" s="18" t="s">
        <v>9012</v>
      </c>
      <c r="G2770" s="18" t="s">
        <v>9115</v>
      </c>
      <c r="H2770" s="18" t="s">
        <v>49</v>
      </c>
      <c r="I2770" s="18" t="s">
        <v>87</v>
      </c>
      <c r="J2770" s="16">
        <v>2025</v>
      </c>
      <c r="K2770" s="18" t="s">
        <v>9116</v>
      </c>
      <c r="L2770" s="16">
        <v>9785961490879</v>
      </c>
      <c r="M2770" s="18" t="s">
        <v>9117</v>
      </c>
      <c r="N2770" s="16">
        <v>32</v>
      </c>
      <c r="O2770" s="19">
        <v>0.25</v>
      </c>
      <c r="P2770" s="16">
        <v>200</v>
      </c>
      <c r="Q2770" s="16">
        <v>200</v>
      </c>
      <c r="R2770" s="16">
        <v>18</v>
      </c>
      <c r="S2770" s="18" t="s">
        <v>83</v>
      </c>
      <c r="T2770" s="18" t="s">
        <v>9016</v>
      </c>
      <c r="U2770" s="17">
        <v>1500</v>
      </c>
      <c r="V2770" s="18" t="s">
        <v>77</v>
      </c>
      <c r="W2770" s="18" t="s">
        <v>184</v>
      </c>
      <c r="X2770" s="16">
        <v>10</v>
      </c>
      <c r="Y2770" s="18" t="s">
        <v>7951</v>
      </c>
      <c r="Z2770" s="18"/>
      <c r="AS2770" s="1">
        <f>IF($A2770&lt;&gt;0,1,0)</f>
        <v>0</v>
      </c>
      <c r="AT2770" s="1">
        <f>$A2770*$B2770</f>
        <v>0</v>
      </c>
      <c r="AU2770" s="1">
        <f>$A2770*$O2770</f>
        <v>0</v>
      </c>
      <c r="AV2770" s="1">
        <f>IF($R2770=0,0,INT($A2770/$R2770))</f>
        <v>0</v>
      </c>
      <c r="AW2770" s="1">
        <f>$A2770-$AV2770*$R2770</f>
        <v>0</v>
      </c>
    </row>
    <row r="2771" ht="24.95" customHeight="1" outlineLevel="3" s="1" customFormat="1">
      <c r="A2771" s="15"/>
      <c r="B2771" s="16">
        <v>440</v>
      </c>
      <c r="C2771" s="16">
        <v>682</v>
      </c>
      <c r="D2771" s="16">
        <v>22558</v>
      </c>
      <c r="E2771" s="18"/>
      <c r="F2771" s="18" t="s">
        <v>9012</v>
      </c>
      <c r="G2771" s="18" t="s">
        <v>9118</v>
      </c>
      <c r="H2771" s="18" t="s">
        <v>49</v>
      </c>
      <c r="I2771" s="18" t="s">
        <v>87</v>
      </c>
      <c r="J2771" s="16">
        <v>2025</v>
      </c>
      <c r="K2771" s="18" t="s">
        <v>9119</v>
      </c>
      <c r="L2771" s="16">
        <v>9785961455854</v>
      </c>
      <c r="M2771" s="18" t="s">
        <v>9120</v>
      </c>
      <c r="N2771" s="16">
        <v>32</v>
      </c>
      <c r="O2771" s="19">
        <v>0.27</v>
      </c>
      <c r="P2771" s="16">
        <v>198</v>
      </c>
      <c r="Q2771" s="16">
        <v>199</v>
      </c>
      <c r="R2771" s="16">
        <v>15</v>
      </c>
      <c r="S2771" s="18" t="s">
        <v>83</v>
      </c>
      <c r="T2771" s="18" t="s">
        <v>9016</v>
      </c>
      <c r="U2771" s="17">
        <v>1500</v>
      </c>
      <c r="V2771" s="18" t="s">
        <v>77</v>
      </c>
      <c r="W2771" s="18" t="s">
        <v>184</v>
      </c>
      <c r="X2771" s="16">
        <v>10</v>
      </c>
      <c r="Y2771" s="18" t="s">
        <v>9017</v>
      </c>
      <c r="Z2771" s="18"/>
      <c r="AS2771" s="1">
        <f>IF($A2771&lt;&gt;0,1,0)</f>
        <v>0</v>
      </c>
      <c r="AT2771" s="1">
        <f>$A2771*$B2771</f>
        <v>0</v>
      </c>
      <c r="AU2771" s="1">
        <f>$A2771*$O2771</f>
        <v>0</v>
      </c>
      <c r="AV2771" s="1">
        <f>IF($R2771=0,0,INT($A2771/$R2771))</f>
        <v>0</v>
      </c>
      <c r="AW2771" s="1">
        <f>$A2771-$AV2771*$R2771</f>
        <v>0</v>
      </c>
    </row>
    <row r="2772" ht="24.95" customHeight="1" outlineLevel="3" s="1" customFormat="1">
      <c r="A2772" s="15"/>
      <c r="B2772" s="16">
        <v>390</v>
      </c>
      <c r="C2772" s="16">
        <v>624</v>
      </c>
      <c r="D2772" s="16">
        <v>25120</v>
      </c>
      <c r="E2772" s="18"/>
      <c r="F2772" s="18" t="s">
        <v>9121</v>
      </c>
      <c r="G2772" s="18" t="s">
        <v>9122</v>
      </c>
      <c r="H2772" s="18" t="s">
        <v>49</v>
      </c>
      <c r="I2772" s="18"/>
      <c r="J2772" s="16">
        <v>2022</v>
      </c>
      <c r="K2772" s="18" t="s">
        <v>9123</v>
      </c>
      <c r="L2772" s="16">
        <v>9785961477795</v>
      </c>
      <c r="M2772" s="18" t="s">
        <v>9124</v>
      </c>
      <c r="N2772" s="16">
        <v>32</v>
      </c>
      <c r="O2772" s="19">
        <v>0.29</v>
      </c>
      <c r="P2772" s="16">
        <v>196</v>
      </c>
      <c r="Q2772" s="16">
        <v>269</v>
      </c>
      <c r="R2772" s="16">
        <v>15</v>
      </c>
      <c r="S2772" s="18" t="s">
        <v>83</v>
      </c>
      <c r="T2772" s="18" t="s">
        <v>9125</v>
      </c>
      <c r="U2772" s="17">
        <v>2000</v>
      </c>
      <c r="V2772" s="18" t="s">
        <v>77</v>
      </c>
      <c r="W2772" s="18" t="s">
        <v>8203</v>
      </c>
      <c r="X2772" s="16">
        <v>10</v>
      </c>
      <c r="Y2772" s="18" t="s">
        <v>8009</v>
      </c>
      <c r="Z2772" s="18"/>
      <c r="AS2772" s="1">
        <f>IF($A2772&lt;&gt;0,1,0)</f>
        <v>0</v>
      </c>
      <c r="AT2772" s="1">
        <f>$A2772*$B2772</f>
        <v>0</v>
      </c>
      <c r="AU2772" s="1">
        <f>$A2772*$O2772</f>
        <v>0</v>
      </c>
      <c r="AV2772" s="1">
        <f>IF($R2772=0,0,INT($A2772/$R2772))</f>
        <v>0</v>
      </c>
      <c r="AW2772" s="1">
        <f>$A2772-$AV2772*$R2772</f>
        <v>0</v>
      </c>
    </row>
    <row r="2773" ht="24.95" customHeight="1" outlineLevel="3" s="1" customFormat="1">
      <c r="A2773" s="15"/>
      <c r="B2773" s="16">
        <v>390</v>
      </c>
      <c r="C2773" s="16">
        <v>624</v>
      </c>
      <c r="D2773" s="16">
        <v>25417</v>
      </c>
      <c r="E2773" s="18"/>
      <c r="F2773" s="18" t="s">
        <v>9126</v>
      </c>
      <c r="G2773" s="18" t="s">
        <v>9127</v>
      </c>
      <c r="H2773" s="18" t="s">
        <v>49</v>
      </c>
      <c r="I2773" s="18"/>
      <c r="J2773" s="16">
        <v>2022</v>
      </c>
      <c r="K2773" s="18" t="s">
        <v>9128</v>
      </c>
      <c r="L2773" s="16">
        <v>9785961453379</v>
      </c>
      <c r="M2773" s="18" t="s">
        <v>9129</v>
      </c>
      <c r="N2773" s="16">
        <v>32</v>
      </c>
      <c r="O2773" s="19">
        <v>0.29</v>
      </c>
      <c r="P2773" s="16">
        <v>196</v>
      </c>
      <c r="Q2773" s="16">
        <v>268</v>
      </c>
      <c r="R2773" s="16">
        <v>15</v>
      </c>
      <c r="S2773" s="18" t="s">
        <v>83</v>
      </c>
      <c r="T2773" s="18" t="s">
        <v>9125</v>
      </c>
      <c r="U2773" s="17">
        <v>2000</v>
      </c>
      <c r="V2773" s="18" t="s">
        <v>77</v>
      </c>
      <c r="W2773" s="18" t="s">
        <v>8203</v>
      </c>
      <c r="X2773" s="16">
        <v>10</v>
      </c>
      <c r="Y2773" s="18" t="s">
        <v>8009</v>
      </c>
      <c r="Z2773" s="18"/>
      <c r="AS2773" s="1">
        <f>IF($A2773&lt;&gt;0,1,0)</f>
        <v>0</v>
      </c>
      <c r="AT2773" s="1">
        <f>$A2773*$B2773</f>
        <v>0</v>
      </c>
      <c r="AU2773" s="1">
        <f>$A2773*$O2773</f>
        <v>0</v>
      </c>
      <c r="AV2773" s="1">
        <f>IF($R2773=0,0,INT($A2773/$R2773))</f>
        <v>0</v>
      </c>
      <c r="AW2773" s="1">
        <f>$A2773-$AV2773*$R2773</f>
        <v>0</v>
      </c>
    </row>
    <row r="2774" ht="24.95" customHeight="1" outlineLevel="3" s="1" customFormat="1">
      <c r="A2774" s="15"/>
      <c r="B2774" s="16">
        <v>390</v>
      </c>
      <c r="C2774" s="16">
        <v>624</v>
      </c>
      <c r="D2774" s="16">
        <v>25416</v>
      </c>
      <c r="E2774" s="18"/>
      <c r="F2774" s="18" t="s">
        <v>9130</v>
      </c>
      <c r="G2774" s="18" t="s">
        <v>9131</v>
      </c>
      <c r="H2774" s="18" t="s">
        <v>49</v>
      </c>
      <c r="I2774" s="18"/>
      <c r="J2774" s="16">
        <v>2022</v>
      </c>
      <c r="K2774" s="18" t="s">
        <v>9132</v>
      </c>
      <c r="L2774" s="16">
        <v>9785961475074</v>
      </c>
      <c r="M2774" s="18" t="s">
        <v>9133</v>
      </c>
      <c r="N2774" s="16">
        <v>32</v>
      </c>
      <c r="O2774" s="19">
        <v>0.29</v>
      </c>
      <c r="P2774" s="16">
        <v>196</v>
      </c>
      <c r="Q2774" s="16">
        <v>268</v>
      </c>
      <c r="R2774" s="16">
        <v>15</v>
      </c>
      <c r="S2774" s="18" t="s">
        <v>83</v>
      </c>
      <c r="T2774" s="18" t="s">
        <v>9125</v>
      </c>
      <c r="U2774" s="17">
        <v>2000</v>
      </c>
      <c r="V2774" s="18" t="s">
        <v>77</v>
      </c>
      <c r="W2774" s="18" t="s">
        <v>8203</v>
      </c>
      <c r="X2774" s="16">
        <v>10</v>
      </c>
      <c r="Y2774" s="18" t="s">
        <v>8009</v>
      </c>
      <c r="Z2774" s="18"/>
      <c r="AS2774" s="1">
        <f>IF($A2774&lt;&gt;0,1,0)</f>
        <v>0</v>
      </c>
      <c r="AT2774" s="1">
        <f>$A2774*$B2774</f>
        <v>0</v>
      </c>
      <c r="AU2774" s="1">
        <f>$A2774*$O2774</f>
        <v>0</v>
      </c>
      <c r="AV2774" s="1">
        <f>IF($R2774=0,0,INT($A2774/$R2774))</f>
        <v>0</v>
      </c>
      <c r="AW2774" s="1">
        <f>$A2774-$AV2774*$R2774</f>
        <v>0</v>
      </c>
    </row>
    <row r="2775" ht="24.95" customHeight="1" outlineLevel="3" s="1" customFormat="1">
      <c r="A2775" s="25"/>
      <c r="B2775" s="26">
        <v>340</v>
      </c>
      <c r="C2775" s="26">
        <v>544</v>
      </c>
      <c r="D2775" s="26">
        <v>5531</v>
      </c>
      <c r="E2775" s="27"/>
      <c r="F2775" s="27" t="s">
        <v>9134</v>
      </c>
      <c r="G2775" s="27" t="s">
        <v>9135</v>
      </c>
      <c r="H2775" s="27" t="s">
        <v>49</v>
      </c>
      <c r="I2775" s="27"/>
      <c r="J2775" s="26">
        <v>2022</v>
      </c>
      <c r="K2775" s="27" t="s">
        <v>9136</v>
      </c>
      <c r="L2775" s="26">
        <v>9785961471199</v>
      </c>
      <c r="M2775" s="27" t="s">
        <v>9137</v>
      </c>
      <c r="N2775" s="26">
        <v>32</v>
      </c>
      <c r="O2775" s="28">
        <v>0.38</v>
      </c>
      <c r="P2775" s="26">
        <v>216</v>
      </c>
      <c r="Q2775" s="26">
        <v>298</v>
      </c>
      <c r="R2775" s="26">
        <v>16</v>
      </c>
      <c r="S2775" s="27" t="s">
        <v>83</v>
      </c>
      <c r="T2775" s="27" t="s">
        <v>9125</v>
      </c>
      <c r="U2775" s="29">
        <v>1500</v>
      </c>
      <c r="V2775" s="27" t="s">
        <v>77</v>
      </c>
      <c r="W2775" s="27" t="s">
        <v>8203</v>
      </c>
      <c r="X2775" s="26">
        <v>10</v>
      </c>
      <c r="Y2775" s="27" t="s">
        <v>7981</v>
      </c>
      <c r="Z2775" s="27"/>
      <c r="AS2775" s="1">
        <f>IF($A2775&lt;&gt;0,1,0)</f>
        <v>0</v>
      </c>
      <c r="AT2775" s="1">
        <f>$A2775*$B2775</f>
        <v>0</v>
      </c>
      <c r="AU2775" s="1">
        <f>$A2775*$O2775</f>
        <v>0</v>
      </c>
      <c r="AV2775" s="1">
        <f>IF($R2775=0,0,INT($A2775/$R2775))</f>
        <v>0</v>
      </c>
      <c r="AW2775" s="1">
        <f>$A2775-$AV2775*$R2775</f>
        <v>0</v>
      </c>
    </row>
    <row r="2776" ht="24.95" customHeight="1" outlineLevel="3" s="1" customFormat="1">
      <c r="A2776" s="15"/>
      <c r="B2776" s="16">
        <v>490</v>
      </c>
      <c r="C2776" s="16">
        <v>760</v>
      </c>
      <c r="D2776" s="16">
        <v>31157</v>
      </c>
      <c r="E2776" s="18"/>
      <c r="F2776" s="18" t="s">
        <v>9138</v>
      </c>
      <c r="G2776" s="18" t="s">
        <v>9139</v>
      </c>
      <c r="H2776" s="18" t="s">
        <v>49</v>
      </c>
      <c r="I2776" s="18"/>
      <c r="J2776" s="16">
        <v>2024</v>
      </c>
      <c r="K2776" s="18" t="s">
        <v>9140</v>
      </c>
      <c r="L2776" s="16">
        <v>9785961497748</v>
      </c>
      <c r="M2776" s="18" t="s">
        <v>9141</v>
      </c>
      <c r="N2776" s="16">
        <v>32</v>
      </c>
      <c r="O2776" s="19">
        <v>0.2</v>
      </c>
      <c r="P2776" s="16">
        <v>180</v>
      </c>
      <c r="Q2776" s="16">
        <v>180</v>
      </c>
      <c r="R2776" s="16">
        <v>20</v>
      </c>
      <c r="S2776" s="18" t="s">
        <v>328</v>
      </c>
      <c r="T2776" s="18" t="s">
        <v>9142</v>
      </c>
      <c r="U2776" s="17">
        <v>3000</v>
      </c>
      <c r="V2776" s="18" t="s">
        <v>77</v>
      </c>
      <c r="W2776" s="18" t="s">
        <v>184</v>
      </c>
      <c r="X2776" s="16">
        <v>10</v>
      </c>
      <c r="Y2776" s="18" t="s">
        <v>8637</v>
      </c>
      <c r="Z2776" s="18"/>
      <c r="AS2776" s="1">
        <f>IF($A2776&lt;&gt;0,1,0)</f>
        <v>0</v>
      </c>
      <c r="AT2776" s="1">
        <f>$A2776*$B2776</f>
        <v>0</v>
      </c>
      <c r="AU2776" s="1">
        <f>$A2776*$O2776</f>
        <v>0</v>
      </c>
      <c r="AV2776" s="1">
        <f>IF($R2776=0,0,INT($A2776/$R2776))</f>
        <v>0</v>
      </c>
      <c r="AW2776" s="1">
        <f>$A2776-$AV2776*$R2776</f>
        <v>0</v>
      </c>
    </row>
    <row r="2777" ht="24.95" customHeight="1" outlineLevel="3" s="1" customFormat="1">
      <c r="A2777" s="15"/>
      <c r="B2777" s="16">
        <v>340</v>
      </c>
      <c r="C2777" s="16">
        <v>760</v>
      </c>
      <c r="D2777" s="16">
        <v>33224</v>
      </c>
      <c r="E2777" s="18"/>
      <c r="F2777" s="18" t="s">
        <v>8572</v>
      </c>
      <c r="G2777" s="18" t="s">
        <v>9143</v>
      </c>
      <c r="H2777" s="18" t="s">
        <v>49</v>
      </c>
      <c r="I2777" s="18"/>
      <c r="J2777" s="16">
        <v>2025</v>
      </c>
      <c r="K2777" s="18" t="s">
        <v>9144</v>
      </c>
      <c r="L2777" s="16">
        <v>9785006304000</v>
      </c>
      <c r="M2777" s="18" t="s">
        <v>9145</v>
      </c>
      <c r="N2777" s="16">
        <v>32</v>
      </c>
      <c r="O2777" s="19">
        <v>0.22</v>
      </c>
      <c r="P2777" s="16">
        <v>180</v>
      </c>
      <c r="Q2777" s="16">
        <v>180</v>
      </c>
      <c r="R2777" s="16">
        <v>25</v>
      </c>
      <c r="S2777" s="18" t="s">
        <v>328</v>
      </c>
      <c r="T2777" s="18" t="s">
        <v>9142</v>
      </c>
      <c r="U2777" s="17">
        <v>3000</v>
      </c>
      <c r="V2777" s="18" t="s">
        <v>77</v>
      </c>
      <c r="W2777" s="18" t="s">
        <v>184</v>
      </c>
      <c r="X2777" s="16">
        <v>10</v>
      </c>
      <c r="Y2777" s="18" t="s">
        <v>8899</v>
      </c>
      <c r="Z2777" s="18"/>
      <c r="AS2777" s="1">
        <f>IF($A2777&lt;&gt;0,1,0)</f>
        <v>0</v>
      </c>
      <c r="AT2777" s="1">
        <f>$A2777*$B2777</f>
        <v>0</v>
      </c>
      <c r="AU2777" s="1">
        <f>$A2777*$O2777</f>
        <v>0</v>
      </c>
      <c r="AV2777" s="1">
        <f>IF($R2777=0,0,INT($A2777/$R2777))</f>
        <v>0</v>
      </c>
      <c r="AW2777" s="1">
        <f>$A2777-$AV2777*$R2777</f>
        <v>0</v>
      </c>
    </row>
    <row r="2778" ht="24.95" customHeight="1" outlineLevel="3" s="1" customFormat="1">
      <c r="A2778" s="15"/>
      <c r="B2778" s="16">
        <v>340</v>
      </c>
      <c r="C2778" s="16">
        <v>760</v>
      </c>
      <c r="D2778" s="16">
        <v>29902</v>
      </c>
      <c r="E2778" s="18"/>
      <c r="F2778" s="18" t="s">
        <v>8572</v>
      </c>
      <c r="G2778" s="18" t="s">
        <v>9146</v>
      </c>
      <c r="H2778" s="18" t="s">
        <v>49</v>
      </c>
      <c r="I2778" s="18"/>
      <c r="J2778" s="16">
        <v>2026</v>
      </c>
      <c r="K2778" s="18" t="s">
        <v>9147</v>
      </c>
      <c r="L2778" s="16">
        <v>9785961494372</v>
      </c>
      <c r="M2778" s="18" t="s">
        <v>9148</v>
      </c>
      <c r="N2778" s="16">
        <v>32</v>
      </c>
      <c r="O2778" s="19">
        <v>0.2</v>
      </c>
      <c r="P2778" s="16">
        <v>190</v>
      </c>
      <c r="Q2778" s="16">
        <v>180</v>
      </c>
      <c r="R2778" s="16">
        <v>20</v>
      </c>
      <c r="S2778" s="18" t="s">
        <v>328</v>
      </c>
      <c r="T2778" s="18" t="s">
        <v>9142</v>
      </c>
      <c r="U2778" s="17">
        <v>2000</v>
      </c>
      <c r="V2778" s="18" t="s">
        <v>77</v>
      </c>
      <c r="W2778" s="18" t="s">
        <v>184</v>
      </c>
      <c r="X2778" s="16">
        <v>10</v>
      </c>
      <c r="Y2778" s="18" t="s">
        <v>9149</v>
      </c>
      <c r="Z2778" s="18"/>
      <c r="AS2778" s="1">
        <f>IF($A2778&lt;&gt;0,1,0)</f>
        <v>0</v>
      </c>
      <c r="AT2778" s="1">
        <f>$A2778*$B2778</f>
        <v>0</v>
      </c>
      <c r="AU2778" s="1">
        <f>$A2778*$O2778</f>
        <v>0</v>
      </c>
      <c r="AV2778" s="1">
        <f>IF($R2778=0,0,INT($A2778/$R2778))</f>
        <v>0</v>
      </c>
      <c r="AW2778" s="1">
        <f>$A2778-$AV2778*$R2778</f>
        <v>0</v>
      </c>
    </row>
    <row r="2779" ht="24.95" customHeight="1" outlineLevel="3" s="1" customFormat="1">
      <c r="A2779" s="15"/>
      <c r="B2779" s="16">
        <v>490</v>
      </c>
      <c r="C2779" s="16">
        <v>760</v>
      </c>
      <c r="D2779" s="16">
        <v>31159</v>
      </c>
      <c r="E2779" s="18"/>
      <c r="F2779" s="18" t="s">
        <v>9138</v>
      </c>
      <c r="G2779" s="18" t="s">
        <v>9150</v>
      </c>
      <c r="H2779" s="18" t="s">
        <v>49</v>
      </c>
      <c r="I2779" s="18"/>
      <c r="J2779" s="16">
        <v>2024</v>
      </c>
      <c r="K2779" s="18" t="s">
        <v>9151</v>
      </c>
      <c r="L2779" s="16">
        <v>9785961497755</v>
      </c>
      <c r="M2779" s="18" t="s">
        <v>9152</v>
      </c>
      <c r="N2779" s="16">
        <v>32</v>
      </c>
      <c r="O2779" s="19">
        <v>0.2</v>
      </c>
      <c r="P2779" s="16">
        <v>180</v>
      </c>
      <c r="Q2779" s="16">
        <v>180</v>
      </c>
      <c r="R2779" s="16">
        <v>20</v>
      </c>
      <c r="S2779" s="18" t="s">
        <v>328</v>
      </c>
      <c r="T2779" s="18" t="s">
        <v>9142</v>
      </c>
      <c r="U2779" s="17">
        <v>3000</v>
      </c>
      <c r="V2779" s="18" t="s">
        <v>77</v>
      </c>
      <c r="W2779" s="18" t="s">
        <v>184</v>
      </c>
      <c r="X2779" s="16">
        <v>10</v>
      </c>
      <c r="Y2779" s="18" t="s">
        <v>8637</v>
      </c>
      <c r="Z2779" s="18"/>
      <c r="AS2779" s="1">
        <f>IF($A2779&lt;&gt;0,1,0)</f>
        <v>0</v>
      </c>
      <c r="AT2779" s="1">
        <f>$A2779*$B2779</f>
        <v>0</v>
      </c>
      <c r="AU2779" s="1">
        <f>$A2779*$O2779</f>
        <v>0</v>
      </c>
      <c r="AV2779" s="1">
        <f>IF($R2779=0,0,INT($A2779/$R2779))</f>
        <v>0</v>
      </c>
      <c r="AW2779" s="1">
        <f>$A2779-$AV2779*$R2779</f>
        <v>0</v>
      </c>
    </row>
    <row r="2780" ht="24.95" customHeight="1" outlineLevel="3" s="1" customFormat="1">
      <c r="A2780" s="15"/>
      <c r="B2780" s="16">
        <v>490</v>
      </c>
      <c r="C2780" s="16">
        <v>760</v>
      </c>
      <c r="D2780" s="16">
        <v>28709</v>
      </c>
      <c r="E2780" s="18"/>
      <c r="F2780" s="18" t="s">
        <v>9138</v>
      </c>
      <c r="G2780" s="18" t="s">
        <v>9153</v>
      </c>
      <c r="H2780" s="18" t="s">
        <v>49</v>
      </c>
      <c r="I2780" s="18"/>
      <c r="J2780" s="16">
        <v>2024</v>
      </c>
      <c r="K2780" s="18" t="s">
        <v>9154</v>
      </c>
      <c r="L2780" s="16">
        <v>9785961489781</v>
      </c>
      <c r="M2780" s="18" t="s">
        <v>9155</v>
      </c>
      <c r="N2780" s="16">
        <v>32</v>
      </c>
      <c r="O2780" s="19">
        <v>0.19</v>
      </c>
      <c r="P2780" s="16">
        <v>180</v>
      </c>
      <c r="Q2780" s="16">
        <v>190</v>
      </c>
      <c r="R2780" s="16">
        <v>20</v>
      </c>
      <c r="S2780" s="18" t="s">
        <v>328</v>
      </c>
      <c r="T2780" s="18" t="s">
        <v>9142</v>
      </c>
      <c r="U2780" s="17">
        <v>5000</v>
      </c>
      <c r="V2780" s="18" t="s">
        <v>77</v>
      </c>
      <c r="W2780" s="18" t="s">
        <v>8203</v>
      </c>
      <c r="X2780" s="16">
        <v>10</v>
      </c>
      <c r="Y2780" s="18" t="s">
        <v>9156</v>
      </c>
      <c r="Z2780" s="18"/>
      <c r="AS2780" s="1">
        <f>IF($A2780&lt;&gt;0,1,0)</f>
        <v>0</v>
      </c>
      <c r="AT2780" s="1">
        <f>$A2780*$B2780</f>
        <v>0</v>
      </c>
      <c r="AU2780" s="1">
        <f>$A2780*$O2780</f>
        <v>0</v>
      </c>
      <c r="AV2780" s="1">
        <f>IF($R2780=0,0,INT($A2780/$R2780))</f>
        <v>0</v>
      </c>
      <c r="AW2780" s="1">
        <f>$A2780-$AV2780*$R2780</f>
        <v>0</v>
      </c>
    </row>
    <row r="2781" ht="24.95" customHeight="1" outlineLevel="3" s="1" customFormat="1">
      <c r="A2781" s="15"/>
      <c r="B2781" s="16">
        <v>490</v>
      </c>
      <c r="C2781" s="16">
        <v>760</v>
      </c>
      <c r="D2781" s="16">
        <v>28707</v>
      </c>
      <c r="E2781" s="18"/>
      <c r="F2781" s="18" t="s">
        <v>9138</v>
      </c>
      <c r="G2781" s="18" t="s">
        <v>9157</v>
      </c>
      <c r="H2781" s="18" t="s">
        <v>49</v>
      </c>
      <c r="I2781" s="18"/>
      <c r="J2781" s="16">
        <v>2026</v>
      </c>
      <c r="K2781" s="18" t="s">
        <v>9158</v>
      </c>
      <c r="L2781" s="16">
        <v>9785961489767</v>
      </c>
      <c r="M2781" s="18" t="s">
        <v>9159</v>
      </c>
      <c r="N2781" s="16">
        <v>32</v>
      </c>
      <c r="O2781" s="19">
        <v>0.19</v>
      </c>
      <c r="P2781" s="16">
        <v>190</v>
      </c>
      <c r="Q2781" s="16">
        <v>180</v>
      </c>
      <c r="R2781" s="16">
        <v>20</v>
      </c>
      <c r="S2781" s="18" t="s">
        <v>328</v>
      </c>
      <c r="T2781" s="18" t="s">
        <v>9142</v>
      </c>
      <c r="U2781" s="17">
        <v>1500</v>
      </c>
      <c r="V2781" s="18" t="s">
        <v>77</v>
      </c>
      <c r="W2781" s="18" t="s">
        <v>8203</v>
      </c>
      <c r="X2781" s="16">
        <v>10</v>
      </c>
      <c r="Y2781" s="18" t="s">
        <v>8637</v>
      </c>
      <c r="Z2781" s="18" t="s">
        <v>8875</v>
      </c>
      <c r="AS2781" s="1">
        <f>IF($A2781&lt;&gt;0,1,0)</f>
        <v>0</v>
      </c>
      <c r="AT2781" s="1">
        <f>$A2781*$B2781</f>
        <v>0</v>
      </c>
      <c r="AU2781" s="1">
        <f>$A2781*$O2781</f>
        <v>0</v>
      </c>
      <c r="AV2781" s="1">
        <f>IF($R2781=0,0,INT($A2781/$R2781))</f>
        <v>0</v>
      </c>
      <c r="AW2781" s="1">
        <f>$A2781-$AV2781*$R2781</f>
        <v>0</v>
      </c>
    </row>
    <row r="2782" ht="24.95" customHeight="1" outlineLevel="3" s="1" customFormat="1">
      <c r="A2782" s="15"/>
      <c r="B2782" s="16">
        <v>340</v>
      </c>
      <c r="C2782" s="16">
        <v>760</v>
      </c>
      <c r="D2782" s="16">
        <v>31635</v>
      </c>
      <c r="E2782" s="18"/>
      <c r="F2782" s="18" t="s">
        <v>8572</v>
      </c>
      <c r="G2782" s="18" t="s">
        <v>9160</v>
      </c>
      <c r="H2782" s="18" t="s">
        <v>49</v>
      </c>
      <c r="I2782" s="18"/>
      <c r="J2782" s="16">
        <v>2026</v>
      </c>
      <c r="K2782" s="18" t="s">
        <v>9161</v>
      </c>
      <c r="L2782" s="16">
        <v>9785961499667</v>
      </c>
      <c r="M2782" s="18" t="s">
        <v>9162</v>
      </c>
      <c r="N2782" s="16">
        <v>32</v>
      </c>
      <c r="O2782" s="19">
        <v>0.2</v>
      </c>
      <c r="P2782" s="16">
        <v>190</v>
      </c>
      <c r="Q2782" s="16">
        <v>180</v>
      </c>
      <c r="R2782" s="16">
        <v>20</v>
      </c>
      <c r="S2782" s="18" t="s">
        <v>328</v>
      </c>
      <c r="T2782" s="18" t="s">
        <v>9142</v>
      </c>
      <c r="U2782" s="17">
        <v>2000</v>
      </c>
      <c r="V2782" s="18" t="s">
        <v>77</v>
      </c>
      <c r="W2782" s="18" t="s">
        <v>184</v>
      </c>
      <c r="X2782" s="16">
        <v>10</v>
      </c>
      <c r="Y2782" s="18" t="s">
        <v>9149</v>
      </c>
      <c r="Z2782" s="18"/>
      <c r="AS2782" s="1">
        <f>IF($A2782&lt;&gt;0,1,0)</f>
        <v>0</v>
      </c>
      <c r="AT2782" s="1">
        <f>$A2782*$B2782</f>
        <v>0</v>
      </c>
      <c r="AU2782" s="1">
        <f>$A2782*$O2782</f>
        <v>0</v>
      </c>
      <c r="AV2782" s="1">
        <f>IF($R2782=0,0,INT($A2782/$R2782))</f>
        <v>0</v>
      </c>
      <c r="AW2782" s="1">
        <f>$A2782-$AV2782*$R2782</f>
        <v>0</v>
      </c>
    </row>
    <row r="2783" ht="24.95" customHeight="1" outlineLevel="3" s="1" customFormat="1">
      <c r="A2783" s="15"/>
      <c r="B2783" s="16">
        <v>340</v>
      </c>
      <c r="C2783" s="16">
        <v>760</v>
      </c>
      <c r="D2783" s="16">
        <v>31579</v>
      </c>
      <c r="E2783" s="18"/>
      <c r="F2783" s="18" t="s">
        <v>8572</v>
      </c>
      <c r="G2783" s="18" t="s">
        <v>9163</v>
      </c>
      <c r="H2783" s="18" t="s">
        <v>49</v>
      </c>
      <c r="I2783" s="18"/>
      <c r="J2783" s="16">
        <v>2026</v>
      </c>
      <c r="K2783" s="18" t="s">
        <v>9164</v>
      </c>
      <c r="L2783" s="16">
        <v>9785961499346</v>
      </c>
      <c r="M2783" s="18" t="s">
        <v>9165</v>
      </c>
      <c r="N2783" s="16">
        <v>32</v>
      </c>
      <c r="O2783" s="19">
        <v>0.2</v>
      </c>
      <c r="P2783" s="16">
        <v>190</v>
      </c>
      <c r="Q2783" s="16">
        <v>180</v>
      </c>
      <c r="R2783" s="16">
        <v>20</v>
      </c>
      <c r="S2783" s="18" t="s">
        <v>328</v>
      </c>
      <c r="T2783" s="18" t="s">
        <v>9142</v>
      </c>
      <c r="U2783" s="17">
        <v>2000</v>
      </c>
      <c r="V2783" s="18" t="s">
        <v>77</v>
      </c>
      <c r="W2783" s="18" t="s">
        <v>184</v>
      </c>
      <c r="X2783" s="16">
        <v>10</v>
      </c>
      <c r="Y2783" s="18" t="s">
        <v>9149</v>
      </c>
      <c r="Z2783" s="18"/>
      <c r="AS2783" s="1">
        <f>IF($A2783&lt;&gt;0,1,0)</f>
        <v>0</v>
      </c>
      <c r="AT2783" s="1">
        <f>$A2783*$B2783</f>
        <v>0</v>
      </c>
      <c r="AU2783" s="1">
        <f>$A2783*$O2783</f>
        <v>0</v>
      </c>
      <c r="AV2783" s="1">
        <f>IF($R2783=0,0,INT($A2783/$R2783))</f>
        <v>0</v>
      </c>
      <c r="AW2783" s="1">
        <f>$A2783-$AV2783*$R2783</f>
        <v>0</v>
      </c>
    </row>
    <row r="2784" ht="24.95" customHeight="1" outlineLevel="3" s="1" customFormat="1">
      <c r="A2784" s="15"/>
      <c r="B2784" s="16">
        <v>490</v>
      </c>
      <c r="C2784" s="16">
        <v>760</v>
      </c>
      <c r="D2784" s="16">
        <v>28708</v>
      </c>
      <c r="E2784" s="18"/>
      <c r="F2784" s="18" t="s">
        <v>9138</v>
      </c>
      <c r="G2784" s="18" t="s">
        <v>9166</v>
      </c>
      <c r="H2784" s="18" t="s">
        <v>49</v>
      </c>
      <c r="I2784" s="18"/>
      <c r="J2784" s="16">
        <v>2023</v>
      </c>
      <c r="K2784" s="18" t="s">
        <v>9167</v>
      </c>
      <c r="L2784" s="16">
        <v>9785961489774</v>
      </c>
      <c r="M2784" s="18" t="s">
        <v>9168</v>
      </c>
      <c r="N2784" s="16">
        <v>32</v>
      </c>
      <c r="O2784" s="19">
        <v>0.19</v>
      </c>
      <c r="P2784" s="16">
        <v>190</v>
      </c>
      <c r="Q2784" s="16">
        <v>180</v>
      </c>
      <c r="R2784" s="16">
        <v>30</v>
      </c>
      <c r="S2784" s="18" t="s">
        <v>328</v>
      </c>
      <c r="T2784" s="18" t="s">
        <v>9142</v>
      </c>
      <c r="U2784" s="17">
        <v>5000</v>
      </c>
      <c r="V2784" s="18" t="s">
        <v>77</v>
      </c>
      <c r="W2784" s="18" t="s">
        <v>8203</v>
      </c>
      <c r="X2784" s="16">
        <v>10</v>
      </c>
      <c r="Y2784" s="18" t="s">
        <v>8637</v>
      </c>
      <c r="Z2784" s="18"/>
      <c r="AS2784" s="1">
        <f>IF($A2784&lt;&gt;0,1,0)</f>
        <v>0</v>
      </c>
      <c r="AT2784" s="1">
        <f>$A2784*$B2784</f>
        <v>0</v>
      </c>
      <c r="AU2784" s="1">
        <f>$A2784*$O2784</f>
        <v>0</v>
      </c>
      <c r="AV2784" s="1">
        <f>IF($R2784=0,0,INT($A2784/$R2784))</f>
        <v>0</v>
      </c>
      <c r="AW2784" s="1">
        <f>$A2784-$AV2784*$R2784</f>
        <v>0</v>
      </c>
    </row>
    <row r="2785" ht="24.95" customHeight="1" outlineLevel="3" s="1" customFormat="1">
      <c r="A2785" s="15"/>
      <c r="B2785" s="16">
        <v>340</v>
      </c>
      <c r="C2785" s="16">
        <v>760</v>
      </c>
      <c r="D2785" s="16">
        <v>32585</v>
      </c>
      <c r="E2785" s="18"/>
      <c r="F2785" s="18" t="s">
        <v>8572</v>
      </c>
      <c r="G2785" s="18" t="s">
        <v>9169</v>
      </c>
      <c r="H2785" s="18" t="s">
        <v>49</v>
      </c>
      <c r="I2785" s="18"/>
      <c r="J2785" s="16">
        <v>2026</v>
      </c>
      <c r="K2785" s="18" t="s">
        <v>9170</v>
      </c>
      <c r="L2785" s="16">
        <v>9785006302532</v>
      </c>
      <c r="M2785" s="18" t="s">
        <v>9171</v>
      </c>
      <c r="N2785" s="16">
        <v>32</v>
      </c>
      <c r="O2785" s="19">
        <v>0.19</v>
      </c>
      <c r="P2785" s="16">
        <v>190</v>
      </c>
      <c r="Q2785" s="16">
        <v>180</v>
      </c>
      <c r="R2785" s="16">
        <v>20</v>
      </c>
      <c r="S2785" s="18" t="s">
        <v>328</v>
      </c>
      <c r="T2785" s="18" t="s">
        <v>9142</v>
      </c>
      <c r="U2785" s="17">
        <v>2000</v>
      </c>
      <c r="V2785" s="18" t="s">
        <v>77</v>
      </c>
      <c r="W2785" s="18" t="s">
        <v>184</v>
      </c>
      <c r="X2785" s="16">
        <v>10</v>
      </c>
      <c r="Y2785" s="18" t="s">
        <v>9149</v>
      </c>
      <c r="Z2785" s="18"/>
      <c r="AS2785" s="1">
        <f>IF($A2785&lt;&gt;0,1,0)</f>
        <v>0</v>
      </c>
      <c r="AT2785" s="1">
        <f>$A2785*$B2785</f>
        <v>0</v>
      </c>
      <c r="AU2785" s="1">
        <f>$A2785*$O2785</f>
        <v>0</v>
      </c>
      <c r="AV2785" s="1">
        <f>IF($R2785=0,0,INT($A2785/$R2785))</f>
        <v>0</v>
      </c>
      <c r="AW2785" s="1">
        <f>$A2785-$AV2785*$R2785</f>
        <v>0</v>
      </c>
    </row>
    <row r="2786" ht="24.95" customHeight="1" outlineLevel="3" s="1" customFormat="1">
      <c r="A2786" s="15"/>
      <c r="B2786" s="16">
        <v>390</v>
      </c>
      <c r="C2786" s="16">
        <v>624</v>
      </c>
      <c r="D2786" s="16">
        <v>26670</v>
      </c>
      <c r="E2786" s="18"/>
      <c r="F2786" s="18" t="s">
        <v>9172</v>
      </c>
      <c r="G2786" s="18" t="s">
        <v>9173</v>
      </c>
      <c r="H2786" s="18" t="s">
        <v>49</v>
      </c>
      <c r="I2786" s="18"/>
      <c r="J2786" s="16">
        <v>2022</v>
      </c>
      <c r="K2786" s="18" t="s">
        <v>9174</v>
      </c>
      <c r="L2786" s="16">
        <v>9785961482591</v>
      </c>
      <c r="M2786" s="18" t="s">
        <v>9175</v>
      </c>
      <c r="N2786" s="16">
        <v>36</v>
      </c>
      <c r="O2786" s="19">
        <v>0.3</v>
      </c>
      <c r="P2786" s="16">
        <v>196</v>
      </c>
      <c r="Q2786" s="16">
        <v>258</v>
      </c>
      <c r="R2786" s="16">
        <v>15</v>
      </c>
      <c r="S2786" s="18" t="s">
        <v>83</v>
      </c>
      <c r="T2786" s="18" t="s">
        <v>9125</v>
      </c>
      <c r="U2786" s="17">
        <v>5000</v>
      </c>
      <c r="V2786" s="18" t="s">
        <v>77</v>
      </c>
      <c r="W2786" s="18" t="s">
        <v>8203</v>
      </c>
      <c r="X2786" s="16">
        <v>10</v>
      </c>
      <c r="Y2786" s="18" t="s">
        <v>8009</v>
      </c>
      <c r="Z2786" s="18"/>
      <c r="AS2786" s="1">
        <f>IF($A2786&lt;&gt;0,1,0)</f>
        <v>0</v>
      </c>
      <c r="AT2786" s="1">
        <f>$A2786*$B2786</f>
        <v>0</v>
      </c>
      <c r="AU2786" s="1">
        <f>$A2786*$O2786</f>
        <v>0</v>
      </c>
      <c r="AV2786" s="1">
        <f>IF($R2786=0,0,INT($A2786/$R2786))</f>
        <v>0</v>
      </c>
      <c r="AW2786" s="1">
        <f>$A2786-$AV2786*$R2786</f>
        <v>0</v>
      </c>
    </row>
    <row r="2787" ht="24.95" customHeight="1" outlineLevel="3" s="1" customFormat="1">
      <c r="A2787" s="15"/>
      <c r="B2787" s="16">
        <v>390</v>
      </c>
      <c r="C2787" s="16">
        <v>624</v>
      </c>
      <c r="D2787" s="16">
        <v>25460</v>
      </c>
      <c r="E2787" s="18"/>
      <c r="F2787" s="18" t="s">
        <v>9176</v>
      </c>
      <c r="G2787" s="18" t="s">
        <v>9177</v>
      </c>
      <c r="H2787" s="18" t="s">
        <v>49</v>
      </c>
      <c r="I2787" s="18"/>
      <c r="J2787" s="16">
        <v>2022</v>
      </c>
      <c r="K2787" s="18" t="s">
        <v>9178</v>
      </c>
      <c r="L2787" s="16">
        <v>9785961477801</v>
      </c>
      <c r="M2787" s="18" t="s">
        <v>9179</v>
      </c>
      <c r="N2787" s="16">
        <v>36</v>
      </c>
      <c r="O2787" s="19">
        <v>0.28</v>
      </c>
      <c r="P2787" s="16">
        <v>196</v>
      </c>
      <c r="Q2787" s="16">
        <v>269</v>
      </c>
      <c r="R2787" s="16">
        <v>16</v>
      </c>
      <c r="S2787" s="18" t="s">
        <v>83</v>
      </c>
      <c r="T2787" s="18" t="s">
        <v>9125</v>
      </c>
      <c r="U2787" s="17">
        <v>2000</v>
      </c>
      <c r="V2787" s="18" t="s">
        <v>77</v>
      </c>
      <c r="W2787" s="18" t="s">
        <v>8203</v>
      </c>
      <c r="X2787" s="16">
        <v>10</v>
      </c>
      <c r="Y2787" s="18" t="s">
        <v>8009</v>
      </c>
      <c r="Z2787" s="18"/>
      <c r="AS2787" s="1">
        <f>IF($A2787&lt;&gt;0,1,0)</f>
        <v>0</v>
      </c>
      <c r="AT2787" s="1">
        <f>$A2787*$B2787</f>
        <v>0</v>
      </c>
      <c r="AU2787" s="1">
        <f>$A2787*$O2787</f>
        <v>0</v>
      </c>
      <c r="AV2787" s="1">
        <f>IF($R2787=0,0,INT($A2787/$R2787))</f>
        <v>0</v>
      </c>
      <c r="AW2787" s="1">
        <f>$A2787-$AV2787*$R2787</f>
        <v>0</v>
      </c>
    </row>
    <row r="2788" ht="24.95" customHeight="1" outlineLevel="3" s="1" customFormat="1">
      <c r="A2788" s="15"/>
      <c r="B2788" s="16">
        <v>390</v>
      </c>
      <c r="C2788" s="16">
        <v>624</v>
      </c>
      <c r="D2788" s="16">
        <v>25459</v>
      </c>
      <c r="E2788" s="18"/>
      <c r="F2788" s="18" t="s">
        <v>9180</v>
      </c>
      <c r="G2788" s="18" t="s">
        <v>9181</v>
      </c>
      <c r="H2788" s="18" t="s">
        <v>49</v>
      </c>
      <c r="I2788" s="18"/>
      <c r="J2788" s="16">
        <v>2022</v>
      </c>
      <c r="K2788" s="18" t="s">
        <v>9182</v>
      </c>
      <c r="L2788" s="16">
        <v>9785961477818</v>
      </c>
      <c r="M2788" s="18" t="s">
        <v>9183</v>
      </c>
      <c r="N2788" s="16">
        <v>36</v>
      </c>
      <c r="O2788" s="19">
        <v>0.28</v>
      </c>
      <c r="P2788" s="16">
        <v>196</v>
      </c>
      <c r="Q2788" s="16">
        <v>269</v>
      </c>
      <c r="R2788" s="16">
        <v>16</v>
      </c>
      <c r="S2788" s="18" t="s">
        <v>83</v>
      </c>
      <c r="T2788" s="18" t="s">
        <v>9125</v>
      </c>
      <c r="U2788" s="17">
        <v>2000</v>
      </c>
      <c r="V2788" s="18" t="s">
        <v>77</v>
      </c>
      <c r="W2788" s="18" t="s">
        <v>8203</v>
      </c>
      <c r="X2788" s="16">
        <v>10</v>
      </c>
      <c r="Y2788" s="18" t="s">
        <v>8009</v>
      </c>
      <c r="Z2788" s="18"/>
      <c r="AS2788" s="1">
        <f>IF($A2788&lt;&gt;0,1,0)</f>
        <v>0</v>
      </c>
      <c r="AT2788" s="1">
        <f>$A2788*$B2788</f>
        <v>0</v>
      </c>
      <c r="AU2788" s="1">
        <f>$A2788*$O2788</f>
        <v>0</v>
      </c>
      <c r="AV2788" s="1">
        <f>IF($R2788=0,0,INT($A2788/$R2788))</f>
        <v>0</v>
      </c>
      <c r="AW2788" s="1">
        <f>$A2788-$AV2788*$R2788</f>
        <v>0</v>
      </c>
    </row>
    <row r="2789" ht="24.95" customHeight="1" outlineLevel="3" s="1" customFormat="1">
      <c r="A2789" s="15"/>
      <c r="B2789" s="16">
        <v>390</v>
      </c>
      <c r="C2789" s="16">
        <v>624</v>
      </c>
      <c r="D2789" s="16">
        <v>25458</v>
      </c>
      <c r="E2789" s="18"/>
      <c r="F2789" s="18" t="s">
        <v>9184</v>
      </c>
      <c r="G2789" s="18" t="s">
        <v>9185</v>
      </c>
      <c r="H2789" s="18" t="s">
        <v>49</v>
      </c>
      <c r="I2789" s="18"/>
      <c r="J2789" s="16">
        <v>2022</v>
      </c>
      <c r="K2789" s="18" t="s">
        <v>9186</v>
      </c>
      <c r="L2789" s="16">
        <v>9785961477702</v>
      </c>
      <c r="M2789" s="18" t="s">
        <v>9187</v>
      </c>
      <c r="N2789" s="16">
        <v>36</v>
      </c>
      <c r="O2789" s="19">
        <v>0.28</v>
      </c>
      <c r="P2789" s="16">
        <v>196</v>
      </c>
      <c r="Q2789" s="16">
        <v>269</v>
      </c>
      <c r="R2789" s="16">
        <v>16</v>
      </c>
      <c r="S2789" s="18" t="s">
        <v>83</v>
      </c>
      <c r="T2789" s="18" t="s">
        <v>9125</v>
      </c>
      <c r="U2789" s="17">
        <v>2000</v>
      </c>
      <c r="V2789" s="18" t="s">
        <v>77</v>
      </c>
      <c r="W2789" s="18" t="s">
        <v>8203</v>
      </c>
      <c r="X2789" s="16">
        <v>10</v>
      </c>
      <c r="Y2789" s="18" t="s">
        <v>8009</v>
      </c>
      <c r="Z2789" s="18"/>
      <c r="AS2789" s="1">
        <f>IF($A2789&lt;&gt;0,1,0)</f>
        <v>0</v>
      </c>
      <c r="AT2789" s="1">
        <f>$A2789*$B2789</f>
        <v>0</v>
      </c>
      <c r="AU2789" s="1">
        <f>$A2789*$O2789</f>
        <v>0</v>
      </c>
      <c r="AV2789" s="1">
        <f>IF($R2789=0,0,INT($A2789/$R2789))</f>
        <v>0</v>
      </c>
      <c r="AW2789" s="1">
        <f>$A2789-$AV2789*$R2789</f>
        <v>0</v>
      </c>
    </row>
    <row r="2790" ht="11.1" customHeight="1" outlineLevel="2">
      <c r="A2790" s="41" t="s">
        <v>9188</v>
      </c>
      <c r="B2790" s="41"/>
      <c r="C2790" s="41"/>
      <c r="D2790" s="41"/>
      <c r="E2790" s="41"/>
      <c r="F2790" s="41"/>
      <c r="G2790" s="41"/>
      <c r="H2790" s="41"/>
      <c r="I2790" s="41"/>
      <c r="J2790" s="41"/>
      <c r="K2790" s="41"/>
      <c r="L2790" s="41"/>
      <c r="M2790" s="41"/>
      <c r="N2790" s="41"/>
      <c r="O2790" s="41"/>
      <c r="P2790" s="41"/>
      <c r="Q2790" s="41"/>
      <c r="R2790" s="41"/>
      <c r="S2790" s="41"/>
      <c r="T2790" s="41"/>
      <c r="U2790" s="41"/>
      <c r="V2790" s="41"/>
      <c r="W2790" s="41"/>
      <c r="X2790" s="41"/>
      <c r="Y2790" s="41"/>
      <c r="Z2790" s="24"/>
    </row>
    <row r="2791" ht="24.95" customHeight="1" outlineLevel="3" s="1" customFormat="1">
      <c r="A2791" s="15"/>
      <c r="B2791" s="16">
        <v>640</v>
      </c>
      <c r="C2791" s="16">
        <v>960</v>
      </c>
      <c r="D2791" s="16">
        <v>32316</v>
      </c>
      <c r="E2791" s="18"/>
      <c r="F2791" s="18" t="s">
        <v>9189</v>
      </c>
      <c r="G2791" s="18" t="s">
        <v>9190</v>
      </c>
      <c r="H2791" s="18" t="s">
        <v>49</v>
      </c>
      <c r="I2791" s="18" t="s">
        <v>74</v>
      </c>
      <c r="J2791" s="16">
        <v>2026</v>
      </c>
      <c r="K2791" s="18" t="s">
        <v>9191</v>
      </c>
      <c r="L2791" s="16">
        <v>9785006301849</v>
      </c>
      <c r="M2791" s="18" t="s">
        <v>9192</v>
      </c>
      <c r="N2791" s="16">
        <v>40</v>
      </c>
      <c r="O2791" s="19">
        <v>0.39</v>
      </c>
      <c r="P2791" s="16">
        <v>220</v>
      </c>
      <c r="Q2791" s="16">
        <v>310</v>
      </c>
      <c r="R2791" s="16">
        <v>10</v>
      </c>
      <c r="S2791" s="18" t="s">
        <v>83</v>
      </c>
      <c r="T2791" s="18"/>
      <c r="U2791" s="17">
        <v>5000</v>
      </c>
      <c r="V2791" s="18" t="s">
        <v>77</v>
      </c>
      <c r="W2791" s="18" t="s">
        <v>184</v>
      </c>
      <c r="X2791" s="16">
        <v>10</v>
      </c>
      <c r="Y2791" s="18" t="s">
        <v>7967</v>
      </c>
      <c r="Z2791" s="18"/>
      <c r="AS2791" s="1">
        <f>IF($A2791&lt;&gt;0,1,0)</f>
        <v>0</v>
      </c>
      <c r="AT2791" s="1">
        <f>$A2791*$B2791</f>
        <v>0</v>
      </c>
      <c r="AU2791" s="1">
        <f>$A2791*$O2791</f>
        <v>0</v>
      </c>
      <c r="AV2791" s="1">
        <f>IF($R2791=0,0,INT($A2791/$R2791))</f>
        <v>0</v>
      </c>
      <c r="AW2791" s="1">
        <f>$A2791-$AV2791*$R2791</f>
        <v>0</v>
      </c>
    </row>
    <row r="2792" ht="24.95" customHeight="1" outlineLevel="3" s="1" customFormat="1">
      <c r="A2792" s="15"/>
      <c r="B2792" s="16">
        <v>690</v>
      </c>
      <c r="C2792" s="17">
        <v>1035</v>
      </c>
      <c r="D2792" s="16">
        <v>29502</v>
      </c>
      <c r="E2792" s="18"/>
      <c r="F2792" s="18" t="s">
        <v>9193</v>
      </c>
      <c r="G2792" s="18" t="s">
        <v>9194</v>
      </c>
      <c r="H2792" s="18" t="s">
        <v>49</v>
      </c>
      <c r="I2792" s="18" t="s">
        <v>65</v>
      </c>
      <c r="J2792" s="16">
        <v>2026</v>
      </c>
      <c r="K2792" s="18" t="s">
        <v>9195</v>
      </c>
      <c r="L2792" s="16">
        <v>9785961492866</v>
      </c>
      <c r="M2792" s="18" t="s">
        <v>9196</v>
      </c>
      <c r="N2792" s="16">
        <v>48</v>
      </c>
      <c r="O2792" s="19">
        <v>0.39</v>
      </c>
      <c r="P2792" s="16">
        <v>210</v>
      </c>
      <c r="Q2792" s="16">
        <v>290</v>
      </c>
      <c r="R2792" s="16">
        <v>15</v>
      </c>
      <c r="S2792" s="18" t="s">
        <v>83</v>
      </c>
      <c r="T2792" s="18"/>
      <c r="U2792" s="17">
        <v>1500</v>
      </c>
      <c r="V2792" s="18" t="s">
        <v>77</v>
      </c>
      <c r="W2792" s="18" t="s">
        <v>184</v>
      </c>
      <c r="X2792" s="16">
        <v>10</v>
      </c>
      <c r="Y2792" s="18" t="s">
        <v>7899</v>
      </c>
      <c r="Z2792" s="18"/>
      <c r="AS2792" s="1">
        <f>IF($A2792&lt;&gt;0,1,0)</f>
        <v>0</v>
      </c>
      <c r="AT2792" s="1">
        <f>$A2792*$B2792</f>
        <v>0</v>
      </c>
      <c r="AU2792" s="1">
        <f>$A2792*$O2792</f>
        <v>0</v>
      </c>
      <c r="AV2792" s="1">
        <f>IF($R2792=0,0,INT($A2792/$R2792))</f>
        <v>0</v>
      </c>
      <c r="AW2792" s="1">
        <f>$A2792-$AV2792*$R2792</f>
        <v>0</v>
      </c>
    </row>
    <row r="2793" ht="21.95" customHeight="1" outlineLevel="3" s="1" customFormat="1">
      <c r="A2793" s="15"/>
      <c r="B2793" s="16">
        <v>390</v>
      </c>
      <c r="C2793" s="16">
        <v>624</v>
      </c>
      <c r="D2793" s="16">
        <v>17699</v>
      </c>
      <c r="E2793" s="18"/>
      <c r="F2793" s="18" t="s">
        <v>9197</v>
      </c>
      <c r="G2793" s="18" t="s">
        <v>9198</v>
      </c>
      <c r="H2793" s="18" t="s">
        <v>49</v>
      </c>
      <c r="I2793" s="18" t="s">
        <v>160</v>
      </c>
      <c r="J2793" s="16">
        <v>2020</v>
      </c>
      <c r="K2793" s="18" t="s">
        <v>9199</v>
      </c>
      <c r="L2793" s="16">
        <v>9785961432008</v>
      </c>
      <c r="M2793" s="18" t="s">
        <v>9200</v>
      </c>
      <c r="N2793" s="16">
        <v>40</v>
      </c>
      <c r="O2793" s="19">
        <v>0.31</v>
      </c>
      <c r="P2793" s="16">
        <v>204</v>
      </c>
      <c r="Q2793" s="16">
        <v>257</v>
      </c>
      <c r="R2793" s="16">
        <v>16</v>
      </c>
      <c r="S2793" s="18" t="s">
        <v>328</v>
      </c>
      <c r="T2793" s="18" t="s">
        <v>726</v>
      </c>
      <c r="U2793" s="17">
        <v>3000</v>
      </c>
      <c r="V2793" s="18" t="s">
        <v>77</v>
      </c>
      <c r="W2793" s="18" t="s">
        <v>184</v>
      </c>
      <c r="X2793" s="16">
        <v>10</v>
      </c>
      <c r="Y2793" s="43" t="str">
        <f>HYPERLINK("","")</f>
      </c>
      <c r="Z2793" s="18"/>
      <c r="AS2793" s="1">
        <f>IF($A2793&lt;&gt;0,1,0)</f>
        <v>0</v>
      </c>
      <c r="AT2793" s="1">
        <f>$A2793*$B2793</f>
        <v>0</v>
      </c>
      <c r="AU2793" s="1">
        <f>$A2793*$O2793</f>
        <v>0</v>
      </c>
      <c r="AV2793" s="1">
        <f>IF($R2793=0,0,INT($A2793/$R2793))</f>
        <v>0</v>
      </c>
      <c r="AW2793" s="1">
        <f>$A2793-$AV2793*$R2793</f>
        <v>0</v>
      </c>
    </row>
    <row r="2794" ht="24.95" customHeight="1" outlineLevel="3" s="1" customFormat="1">
      <c r="A2794" s="15"/>
      <c r="B2794" s="16">
        <v>440</v>
      </c>
      <c r="C2794" s="16">
        <v>682</v>
      </c>
      <c r="D2794" s="16">
        <v>34083</v>
      </c>
      <c r="E2794" s="18"/>
      <c r="F2794" s="18" t="s">
        <v>406</v>
      </c>
      <c r="G2794" s="18" t="s">
        <v>9201</v>
      </c>
      <c r="H2794" s="18" t="s">
        <v>49</v>
      </c>
      <c r="I2794" s="18"/>
      <c r="J2794" s="16">
        <v>2025</v>
      </c>
      <c r="K2794" s="18" t="s">
        <v>9202</v>
      </c>
      <c r="L2794" s="16">
        <v>9785006310476</v>
      </c>
      <c r="M2794" s="18" t="s">
        <v>9203</v>
      </c>
      <c r="N2794" s="16">
        <v>32</v>
      </c>
      <c r="O2794" s="19">
        <v>0.19</v>
      </c>
      <c r="P2794" s="16">
        <v>180</v>
      </c>
      <c r="Q2794" s="16">
        <v>180</v>
      </c>
      <c r="R2794" s="16">
        <v>20</v>
      </c>
      <c r="S2794" s="18" t="s">
        <v>52</v>
      </c>
      <c r="T2794" s="18" t="s">
        <v>9204</v>
      </c>
      <c r="U2794" s="17">
        <v>3000</v>
      </c>
      <c r="V2794" s="18" t="s">
        <v>77</v>
      </c>
      <c r="W2794" s="18" t="s">
        <v>184</v>
      </c>
      <c r="X2794" s="16">
        <v>10</v>
      </c>
      <c r="Y2794" s="18" t="s">
        <v>9205</v>
      </c>
      <c r="Z2794" s="18"/>
      <c r="AS2794" s="1">
        <f>IF($A2794&lt;&gt;0,1,0)</f>
        <v>0</v>
      </c>
      <c r="AT2794" s="1">
        <f>$A2794*$B2794</f>
        <v>0</v>
      </c>
      <c r="AU2794" s="1">
        <f>$A2794*$O2794</f>
        <v>0</v>
      </c>
      <c r="AV2794" s="1">
        <f>IF($R2794=0,0,INT($A2794/$R2794))</f>
        <v>0</v>
      </c>
      <c r="AW2794" s="1">
        <f>$A2794-$AV2794*$R2794</f>
        <v>0</v>
      </c>
    </row>
    <row r="2795" ht="24.95" customHeight="1" outlineLevel="3" s="1" customFormat="1">
      <c r="A2795" s="15"/>
      <c r="B2795" s="16">
        <v>440</v>
      </c>
      <c r="C2795" s="16">
        <v>682</v>
      </c>
      <c r="D2795" s="16">
        <v>34324</v>
      </c>
      <c r="E2795" s="18"/>
      <c r="F2795" s="18" t="s">
        <v>406</v>
      </c>
      <c r="G2795" s="18" t="s">
        <v>9206</v>
      </c>
      <c r="H2795" s="18" t="s">
        <v>49</v>
      </c>
      <c r="I2795" s="18"/>
      <c r="J2795" s="16">
        <v>2025</v>
      </c>
      <c r="K2795" s="18" t="s">
        <v>9207</v>
      </c>
      <c r="L2795" s="16">
        <v>9785006310483</v>
      </c>
      <c r="M2795" s="18" t="s">
        <v>9208</v>
      </c>
      <c r="N2795" s="16">
        <v>32</v>
      </c>
      <c r="O2795" s="19">
        <v>0.19</v>
      </c>
      <c r="P2795" s="16">
        <v>180</v>
      </c>
      <c r="Q2795" s="16">
        <v>180</v>
      </c>
      <c r="R2795" s="16">
        <v>20</v>
      </c>
      <c r="S2795" s="18" t="s">
        <v>52</v>
      </c>
      <c r="T2795" s="18" t="s">
        <v>9204</v>
      </c>
      <c r="U2795" s="17">
        <v>3000</v>
      </c>
      <c r="V2795" s="18" t="s">
        <v>77</v>
      </c>
      <c r="W2795" s="18" t="s">
        <v>184</v>
      </c>
      <c r="X2795" s="16">
        <v>10</v>
      </c>
      <c r="Y2795" s="18" t="s">
        <v>9205</v>
      </c>
      <c r="Z2795" s="18"/>
      <c r="AS2795" s="1">
        <f>IF($A2795&lt;&gt;0,1,0)</f>
        <v>0</v>
      </c>
      <c r="AT2795" s="1">
        <f>$A2795*$B2795</f>
        <v>0</v>
      </c>
      <c r="AU2795" s="1">
        <f>$A2795*$O2795</f>
        <v>0</v>
      </c>
      <c r="AV2795" s="1">
        <f>IF($R2795=0,0,INT($A2795/$R2795))</f>
        <v>0</v>
      </c>
      <c r="AW2795" s="1">
        <f>$A2795-$AV2795*$R2795</f>
        <v>0</v>
      </c>
    </row>
    <row r="2796" ht="24.95" customHeight="1" outlineLevel="3" s="1" customFormat="1">
      <c r="A2796" s="15"/>
      <c r="B2796" s="16">
        <v>440</v>
      </c>
      <c r="C2796" s="16">
        <v>682</v>
      </c>
      <c r="D2796" s="16">
        <v>34336</v>
      </c>
      <c r="E2796" s="18"/>
      <c r="F2796" s="18" t="s">
        <v>406</v>
      </c>
      <c r="G2796" s="18" t="s">
        <v>9209</v>
      </c>
      <c r="H2796" s="18" t="s">
        <v>49</v>
      </c>
      <c r="I2796" s="18"/>
      <c r="J2796" s="16">
        <v>2025</v>
      </c>
      <c r="K2796" s="18" t="s">
        <v>9210</v>
      </c>
      <c r="L2796" s="16">
        <v>9785006310490</v>
      </c>
      <c r="M2796" s="18" t="s">
        <v>9211</v>
      </c>
      <c r="N2796" s="16">
        <v>34</v>
      </c>
      <c r="O2796" s="19">
        <v>0.19</v>
      </c>
      <c r="P2796" s="16">
        <v>180</v>
      </c>
      <c r="Q2796" s="16">
        <v>180</v>
      </c>
      <c r="R2796" s="16">
        <v>20</v>
      </c>
      <c r="S2796" s="18" t="s">
        <v>52</v>
      </c>
      <c r="T2796" s="18" t="s">
        <v>9204</v>
      </c>
      <c r="U2796" s="17">
        <v>3000</v>
      </c>
      <c r="V2796" s="18" t="s">
        <v>77</v>
      </c>
      <c r="W2796" s="18" t="s">
        <v>184</v>
      </c>
      <c r="X2796" s="16">
        <v>10</v>
      </c>
      <c r="Y2796" s="18" t="s">
        <v>9205</v>
      </c>
      <c r="Z2796" s="18"/>
      <c r="AS2796" s="1">
        <f>IF($A2796&lt;&gt;0,1,0)</f>
        <v>0</v>
      </c>
      <c r="AT2796" s="1">
        <f>$A2796*$B2796</f>
        <v>0</v>
      </c>
      <c r="AU2796" s="1">
        <f>$A2796*$O2796</f>
        <v>0</v>
      </c>
      <c r="AV2796" s="1">
        <f>IF($R2796=0,0,INT($A2796/$R2796))</f>
        <v>0</v>
      </c>
      <c r="AW2796" s="1">
        <f>$A2796-$AV2796*$R2796</f>
        <v>0</v>
      </c>
    </row>
    <row r="2797" ht="24.95" customHeight="1" outlineLevel="3" s="1" customFormat="1">
      <c r="A2797" s="15"/>
      <c r="B2797" s="16">
        <v>590</v>
      </c>
      <c r="C2797" s="17">
        <v>1035</v>
      </c>
      <c r="D2797" s="16">
        <v>32960</v>
      </c>
      <c r="E2797" s="18"/>
      <c r="F2797" s="18" t="s">
        <v>9189</v>
      </c>
      <c r="G2797" s="18" t="s">
        <v>9212</v>
      </c>
      <c r="H2797" s="18" t="s">
        <v>49</v>
      </c>
      <c r="I2797" s="18" t="s">
        <v>74</v>
      </c>
      <c r="J2797" s="16">
        <v>2025</v>
      </c>
      <c r="K2797" s="18" t="s">
        <v>9213</v>
      </c>
      <c r="L2797" s="16">
        <v>9785006303478</v>
      </c>
      <c r="M2797" s="18" t="s">
        <v>9214</v>
      </c>
      <c r="N2797" s="16">
        <v>48</v>
      </c>
      <c r="O2797" s="19">
        <v>0.44</v>
      </c>
      <c r="P2797" s="16">
        <v>220</v>
      </c>
      <c r="Q2797" s="16">
        <v>310</v>
      </c>
      <c r="R2797" s="16">
        <v>14</v>
      </c>
      <c r="S2797" s="18" t="s">
        <v>83</v>
      </c>
      <c r="T2797" s="18"/>
      <c r="U2797" s="17">
        <v>4000</v>
      </c>
      <c r="V2797" s="18" t="s">
        <v>77</v>
      </c>
      <c r="W2797" s="18" t="s">
        <v>184</v>
      </c>
      <c r="X2797" s="16">
        <v>10</v>
      </c>
      <c r="Y2797" s="18" t="s">
        <v>8738</v>
      </c>
      <c r="Z2797" s="18"/>
      <c r="AS2797" s="1">
        <f>IF($A2797&lt;&gt;0,1,0)</f>
        <v>0</v>
      </c>
      <c r="AT2797" s="1">
        <f>$A2797*$B2797</f>
        <v>0</v>
      </c>
      <c r="AU2797" s="1">
        <f>$A2797*$O2797</f>
        <v>0</v>
      </c>
      <c r="AV2797" s="1">
        <f>IF($R2797=0,0,INT($A2797/$R2797))</f>
        <v>0</v>
      </c>
      <c r="AW2797" s="1">
        <f>$A2797-$AV2797*$R2797</f>
        <v>0</v>
      </c>
    </row>
    <row r="2798" ht="21.95" customHeight="1" outlineLevel="3" s="1" customFormat="1">
      <c r="A2798" s="15"/>
      <c r="B2798" s="16">
        <v>590</v>
      </c>
      <c r="C2798" s="16">
        <v>885</v>
      </c>
      <c r="D2798" s="16">
        <v>34087</v>
      </c>
      <c r="E2798" s="18"/>
      <c r="F2798" s="18" t="s">
        <v>9215</v>
      </c>
      <c r="G2798" s="18" t="s">
        <v>9216</v>
      </c>
      <c r="H2798" s="18" t="s">
        <v>49</v>
      </c>
      <c r="I2798" s="18" t="s">
        <v>65</v>
      </c>
      <c r="J2798" s="16">
        <v>2026</v>
      </c>
      <c r="K2798" s="18" t="s">
        <v>9217</v>
      </c>
      <c r="L2798" s="16">
        <v>9785006306325</v>
      </c>
      <c r="M2798" s="18" t="s">
        <v>9218</v>
      </c>
      <c r="N2798" s="16">
        <v>40</v>
      </c>
      <c r="O2798" s="19">
        <v>0.37</v>
      </c>
      <c r="P2798" s="16">
        <v>200</v>
      </c>
      <c r="Q2798" s="16">
        <v>280</v>
      </c>
      <c r="R2798" s="16">
        <v>16</v>
      </c>
      <c r="S2798" s="18" t="s">
        <v>83</v>
      </c>
      <c r="T2798" s="18"/>
      <c r="U2798" s="17">
        <v>3000</v>
      </c>
      <c r="V2798" s="18" t="s">
        <v>77</v>
      </c>
      <c r="W2798" s="18" t="s">
        <v>184</v>
      </c>
      <c r="X2798" s="16">
        <v>10</v>
      </c>
      <c r="Y2798" s="43" t="str">
        <f>HYPERLINK("","")</f>
      </c>
      <c r="Z2798" s="18"/>
      <c r="AS2798" s="1">
        <f>IF($A2798&lt;&gt;0,1,0)</f>
        <v>0</v>
      </c>
      <c r="AT2798" s="1">
        <f>$A2798*$B2798</f>
        <v>0</v>
      </c>
      <c r="AU2798" s="1">
        <f>$A2798*$O2798</f>
        <v>0</v>
      </c>
      <c r="AV2798" s="1">
        <f>IF($R2798=0,0,INT($A2798/$R2798))</f>
        <v>0</v>
      </c>
      <c r="AW2798" s="1">
        <f>$A2798-$AV2798*$R2798</f>
        <v>0</v>
      </c>
    </row>
    <row r="2799" ht="11.1" customHeight="1" outlineLevel="2">
      <c r="A2799" s="41" t="s">
        <v>9219</v>
      </c>
      <c r="B2799" s="41"/>
      <c r="C2799" s="41"/>
      <c r="D2799" s="41"/>
      <c r="E2799" s="41"/>
      <c r="F2799" s="41"/>
      <c r="G2799" s="41"/>
      <c r="H2799" s="41"/>
      <c r="I2799" s="41"/>
      <c r="J2799" s="41"/>
      <c r="K2799" s="41"/>
      <c r="L2799" s="41"/>
      <c r="M2799" s="41"/>
      <c r="N2799" s="41"/>
      <c r="O2799" s="41"/>
      <c r="P2799" s="41"/>
      <c r="Q2799" s="41"/>
      <c r="R2799" s="41"/>
      <c r="S2799" s="41"/>
      <c r="T2799" s="41"/>
      <c r="U2799" s="41"/>
      <c r="V2799" s="41"/>
      <c r="W2799" s="41"/>
      <c r="X2799" s="41"/>
      <c r="Y2799" s="41"/>
      <c r="Z2799" s="24"/>
    </row>
    <row r="2800" ht="24.95" customHeight="1" outlineLevel="3" s="1" customFormat="1">
      <c r="A2800" s="15"/>
      <c r="B2800" s="16">
        <v>630</v>
      </c>
      <c r="C2800" s="16">
        <v>945</v>
      </c>
      <c r="D2800" s="16">
        <v>34834</v>
      </c>
      <c r="E2800" s="18"/>
      <c r="F2800" s="18" t="s">
        <v>9220</v>
      </c>
      <c r="G2800" s="18" t="s">
        <v>9221</v>
      </c>
      <c r="H2800" s="18" t="s">
        <v>49</v>
      </c>
      <c r="I2800" s="18" t="s">
        <v>74</v>
      </c>
      <c r="J2800" s="16">
        <v>2026</v>
      </c>
      <c r="K2800" s="18" t="s">
        <v>9222</v>
      </c>
      <c r="L2800" s="16">
        <v>9785006309227</v>
      </c>
      <c r="M2800" s="18" t="s">
        <v>9223</v>
      </c>
      <c r="N2800" s="16">
        <v>80</v>
      </c>
      <c r="O2800" s="19">
        <v>0.24</v>
      </c>
      <c r="P2800" s="16">
        <v>140</v>
      </c>
      <c r="Q2800" s="16">
        <v>210</v>
      </c>
      <c r="R2800" s="16">
        <v>28</v>
      </c>
      <c r="S2800" s="18" t="s">
        <v>43</v>
      </c>
      <c r="T2800" s="18"/>
      <c r="U2800" s="17">
        <v>2000</v>
      </c>
      <c r="V2800" s="18" t="s">
        <v>77</v>
      </c>
      <c r="W2800" s="18" t="s">
        <v>55</v>
      </c>
      <c r="X2800" s="16">
        <v>10</v>
      </c>
      <c r="Y2800" s="18" t="s">
        <v>9224</v>
      </c>
      <c r="Z2800" s="18"/>
      <c r="AS2800" s="1">
        <f>IF($A2800&lt;&gt;0,1,0)</f>
        <v>0</v>
      </c>
      <c r="AT2800" s="1">
        <f>$A2800*$B2800</f>
        <v>0</v>
      </c>
      <c r="AU2800" s="1">
        <f>$A2800*$O2800</f>
        <v>0</v>
      </c>
      <c r="AV2800" s="1">
        <f>IF($R2800=0,0,INT($A2800/$R2800))</f>
        <v>0</v>
      </c>
      <c r="AW2800" s="1">
        <f>$A2800-$AV2800*$R2800</f>
        <v>0</v>
      </c>
    </row>
    <row r="2801" ht="24.95" customHeight="1" outlineLevel="3" s="1" customFormat="1">
      <c r="A2801" s="15"/>
      <c r="B2801" s="16">
        <v>890</v>
      </c>
      <c r="C2801" s="17">
        <v>1246</v>
      </c>
      <c r="D2801" s="16">
        <v>33370</v>
      </c>
      <c r="E2801" s="18"/>
      <c r="F2801" s="18" t="s">
        <v>9225</v>
      </c>
      <c r="G2801" s="18" t="s">
        <v>9226</v>
      </c>
      <c r="H2801" s="18" t="s">
        <v>49</v>
      </c>
      <c r="I2801" s="18" t="s">
        <v>160</v>
      </c>
      <c r="J2801" s="16">
        <v>2026</v>
      </c>
      <c r="K2801" s="18" t="s">
        <v>9227</v>
      </c>
      <c r="L2801" s="16">
        <v>9785006304369</v>
      </c>
      <c r="M2801" s="18" t="s">
        <v>9228</v>
      </c>
      <c r="N2801" s="16">
        <v>64</v>
      </c>
      <c r="O2801" s="19">
        <v>0.51</v>
      </c>
      <c r="P2801" s="16">
        <v>220</v>
      </c>
      <c r="Q2801" s="16">
        <v>300</v>
      </c>
      <c r="R2801" s="16">
        <v>10</v>
      </c>
      <c r="S2801" s="18" t="s">
        <v>83</v>
      </c>
      <c r="T2801" s="18"/>
      <c r="U2801" s="17">
        <v>2000</v>
      </c>
      <c r="V2801" s="18" t="s">
        <v>77</v>
      </c>
      <c r="W2801" s="18" t="s">
        <v>91</v>
      </c>
      <c r="X2801" s="16">
        <v>10</v>
      </c>
      <c r="Y2801" s="18" t="s">
        <v>9229</v>
      </c>
      <c r="Z2801" s="18" t="s">
        <v>5629</v>
      </c>
      <c r="AS2801" s="1">
        <f>IF($A2801&lt;&gt;0,1,0)</f>
        <v>0</v>
      </c>
      <c r="AT2801" s="1">
        <f>$A2801*$B2801</f>
        <v>0</v>
      </c>
      <c r="AU2801" s="1">
        <f>$A2801*$O2801</f>
        <v>0</v>
      </c>
      <c r="AV2801" s="1">
        <f>IF($R2801=0,0,INT($A2801/$R2801))</f>
        <v>0</v>
      </c>
      <c r="AW2801" s="1">
        <f>$A2801-$AV2801*$R2801</f>
        <v>0</v>
      </c>
    </row>
    <row r="2802" ht="21.95" customHeight="1" outlineLevel="3" s="1" customFormat="1">
      <c r="A2802" s="15"/>
      <c r="B2802" s="16">
        <v>990</v>
      </c>
      <c r="C2802" s="17">
        <v>1386</v>
      </c>
      <c r="D2802" s="16">
        <v>35250</v>
      </c>
      <c r="E2802" s="18"/>
      <c r="F2802" s="18" t="s">
        <v>145</v>
      </c>
      <c r="G2802" s="18" t="s">
        <v>146</v>
      </c>
      <c r="H2802" s="18" t="s">
        <v>49</v>
      </c>
      <c r="I2802" s="18" t="s">
        <v>65</v>
      </c>
      <c r="J2802" s="16">
        <v>2026</v>
      </c>
      <c r="K2802" s="18" t="s">
        <v>147</v>
      </c>
      <c r="L2802" s="16">
        <v>9785002830510</v>
      </c>
      <c r="M2802" s="18" t="s">
        <v>148</v>
      </c>
      <c r="N2802" s="16">
        <v>200</v>
      </c>
      <c r="O2802" s="19">
        <v>0.7</v>
      </c>
      <c r="P2802" s="16">
        <v>200</v>
      </c>
      <c r="Q2802" s="16">
        <v>270</v>
      </c>
      <c r="R2802" s="16">
        <v>8</v>
      </c>
      <c r="S2802" s="18" t="s">
        <v>83</v>
      </c>
      <c r="T2802" s="18"/>
      <c r="U2802" s="17">
        <v>3000</v>
      </c>
      <c r="V2802" s="18" t="s">
        <v>77</v>
      </c>
      <c r="W2802" s="18" t="s">
        <v>91</v>
      </c>
      <c r="X2802" s="16">
        <v>10</v>
      </c>
      <c r="Y2802" s="43" t="str">
        <f>HYPERLINK("","")</f>
      </c>
      <c r="Z2802" s="18" t="s">
        <v>149</v>
      </c>
      <c r="AS2802" s="1">
        <f>IF($A2802&lt;&gt;0,1,0)</f>
        <v>0</v>
      </c>
      <c r="AT2802" s="1">
        <f>$A2802*$B2802</f>
        <v>0</v>
      </c>
      <c r="AU2802" s="1">
        <f>$A2802*$O2802</f>
        <v>0</v>
      </c>
      <c r="AV2802" s="1">
        <f>IF($R2802=0,0,INT($A2802/$R2802))</f>
        <v>0</v>
      </c>
      <c r="AW2802" s="1">
        <f>$A2802-$AV2802*$R2802</f>
        <v>0</v>
      </c>
    </row>
    <row r="2803" ht="24.95" customHeight="1" outlineLevel="3" s="1" customFormat="1">
      <c r="A2803" s="15"/>
      <c r="B2803" s="16">
        <v>930</v>
      </c>
      <c r="C2803" s="17">
        <v>1330</v>
      </c>
      <c r="D2803" s="16">
        <v>30783</v>
      </c>
      <c r="E2803" s="18"/>
      <c r="F2803" s="18" t="s">
        <v>9230</v>
      </c>
      <c r="G2803" s="18" t="s">
        <v>9231</v>
      </c>
      <c r="H2803" s="18" t="s">
        <v>49</v>
      </c>
      <c r="I2803" s="18" t="s">
        <v>87</v>
      </c>
      <c r="J2803" s="16">
        <v>2025</v>
      </c>
      <c r="K2803" s="18" t="s">
        <v>9232</v>
      </c>
      <c r="L2803" s="16">
        <v>9785961496550</v>
      </c>
      <c r="M2803" s="18" t="s">
        <v>9233</v>
      </c>
      <c r="N2803" s="16">
        <v>96</v>
      </c>
      <c r="O2803" s="19">
        <v>0.45</v>
      </c>
      <c r="P2803" s="16">
        <v>210</v>
      </c>
      <c r="Q2803" s="16">
        <v>270</v>
      </c>
      <c r="R2803" s="16">
        <v>10</v>
      </c>
      <c r="S2803" s="18" t="s">
        <v>83</v>
      </c>
      <c r="T2803" s="18" t="s">
        <v>9234</v>
      </c>
      <c r="U2803" s="17">
        <v>2000</v>
      </c>
      <c r="V2803" s="18" t="s">
        <v>77</v>
      </c>
      <c r="W2803" s="18" t="s">
        <v>55</v>
      </c>
      <c r="X2803" s="16">
        <v>10</v>
      </c>
      <c r="Y2803" s="18" t="s">
        <v>9235</v>
      </c>
      <c r="Z2803" s="18"/>
      <c r="AS2803" s="1">
        <f>IF($A2803&lt;&gt;0,1,0)</f>
        <v>0</v>
      </c>
      <c r="AT2803" s="1">
        <f>$A2803*$B2803</f>
        <v>0</v>
      </c>
      <c r="AU2803" s="1">
        <f>$A2803*$O2803</f>
        <v>0</v>
      </c>
      <c r="AV2803" s="1">
        <f>IF($R2803=0,0,INT($A2803/$R2803))</f>
        <v>0</v>
      </c>
      <c r="AW2803" s="1">
        <f>$A2803-$AV2803*$R2803</f>
        <v>0</v>
      </c>
    </row>
    <row r="2804" ht="24.95" customHeight="1" outlineLevel="3" s="1" customFormat="1">
      <c r="A2804" s="15"/>
      <c r="B2804" s="16">
        <v>690</v>
      </c>
      <c r="C2804" s="17">
        <v>1035</v>
      </c>
      <c r="D2804" s="16">
        <v>30782</v>
      </c>
      <c r="E2804" s="18"/>
      <c r="F2804" s="18" t="s">
        <v>9230</v>
      </c>
      <c r="G2804" s="18" t="s">
        <v>9236</v>
      </c>
      <c r="H2804" s="18" t="s">
        <v>49</v>
      </c>
      <c r="I2804" s="18" t="s">
        <v>87</v>
      </c>
      <c r="J2804" s="16">
        <v>2024</v>
      </c>
      <c r="K2804" s="18" t="s">
        <v>9237</v>
      </c>
      <c r="L2804" s="16">
        <v>9785961496543</v>
      </c>
      <c r="M2804" s="18" t="s">
        <v>9238</v>
      </c>
      <c r="N2804" s="16">
        <v>96</v>
      </c>
      <c r="O2804" s="19">
        <v>0.5</v>
      </c>
      <c r="P2804" s="16">
        <v>210</v>
      </c>
      <c r="Q2804" s="16">
        <v>270</v>
      </c>
      <c r="R2804" s="16">
        <v>10</v>
      </c>
      <c r="S2804" s="18" t="s">
        <v>83</v>
      </c>
      <c r="T2804" s="18" t="s">
        <v>9234</v>
      </c>
      <c r="U2804" s="17">
        <v>3000</v>
      </c>
      <c r="V2804" s="18" t="s">
        <v>77</v>
      </c>
      <c r="W2804" s="18" t="s">
        <v>55</v>
      </c>
      <c r="X2804" s="16">
        <v>10</v>
      </c>
      <c r="Y2804" s="18" t="s">
        <v>9239</v>
      </c>
      <c r="Z2804" s="18"/>
      <c r="AS2804" s="1">
        <f>IF($A2804&lt;&gt;0,1,0)</f>
        <v>0</v>
      </c>
      <c r="AT2804" s="1">
        <f>$A2804*$B2804</f>
        <v>0</v>
      </c>
      <c r="AU2804" s="1">
        <f>$A2804*$O2804</f>
        <v>0</v>
      </c>
      <c r="AV2804" s="1">
        <f>IF($R2804=0,0,INT($A2804/$R2804))</f>
        <v>0</v>
      </c>
      <c r="AW2804" s="1">
        <f>$A2804-$AV2804*$R2804</f>
        <v>0</v>
      </c>
    </row>
    <row r="2805" ht="24.95" customHeight="1" outlineLevel="3" s="1" customFormat="1">
      <c r="A2805" s="15"/>
      <c r="B2805" s="16">
        <v>690</v>
      </c>
      <c r="C2805" s="17">
        <v>1035</v>
      </c>
      <c r="D2805" s="16">
        <v>30674</v>
      </c>
      <c r="E2805" s="18"/>
      <c r="F2805" s="18" t="s">
        <v>9240</v>
      </c>
      <c r="G2805" s="18" t="s">
        <v>9241</v>
      </c>
      <c r="H2805" s="18" t="s">
        <v>49</v>
      </c>
      <c r="I2805" s="18" t="s">
        <v>87</v>
      </c>
      <c r="J2805" s="16">
        <v>2024</v>
      </c>
      <c r="K2805" s="18" t="s">
        <v>9242</v>
      </c>
      <c r="L2805" s="16">
        <v>9785961496178</v>
      </c>
      <c r="M2805" s="18" t="s">
        <v>9243</v>
      </c>
      <c r="N2805" s="16">
        <v>80</v>
      </c>
      <c r="O2805" s="19">
        <v>0.43</v>
      </c>
      <c r="P2805" s="16">
        <v>210</v>
      </c>
      <c r="Q2805" s="16">
        <v>270</v>
      </c>
      <c r="R2805" s="16">
        <v>10</v>
      </c>
      <c r="S2805" s="18" t="s">
        <v>83</v>
      </c>
      <c r="T2805" s="18"/>
      <c r="U2805" s="17">
        <v>3000</v>
      </c>
      <c r="V2805" s="18" t="s">
        <v>77</v>
      </c>
      <c r="W2805" s="18" t="s">
        <v>91</v>
      </c>
      <c r="X2805" s="16">
        <v>10</v>
      </c>
      <c r="Y2805" s="18" t="s">
        <v>9239</v>
      </c>
      <c r="Z2805" s="18"/>
      <c r="AS2805" s="1">
        <f>IF($A2805&lt;&gt;0,1,0)</f>
        <v>0</v>
      </c>
      <c r="AT2805" s="1">
        <f>$A2805*$B2805</f>
        <v>0</v>
      </c>
      <c r="AU2805" s="1">
        <f>$A2805*$O2805</f>
        <v>0</v>
      </c>
      <c r="AV2805" s="1">
        <f>IF($R2805=0,0,INT($A2805/$R2805))</f>
        <v>0</v>
      </c>
      <c r="AW2805" s="1">
        <f>$A2805-$AV2805*$R2805</f>
        <v>0</v>
      </c>
    </row>
    <row r="2806" ht="24.95" customHeight="1" outlineLevel="3" s="1" customFormat="1">
      <c r="A2806" s="15"/>
      <c r="B2806" s="16">
        <v>790</v>
      </c>
      <c r="C2806" s="17">
        <v>1146</v>
      </c>
      <c r="D2806" s="16">
        <v>33944</v>
      </c>
      <c r="E2806" s="18"/>
      <c r="F2806" s="18" t="s">
        <v>9244</v>
      </c>
      <c r="G2806" s="18" t="s">
        <v>9245</v>
      </c>
      <c r="H2806" s="18" t="s">
        <v>49</v>
      </c>
      <c r="I2806" s="18" t="s">
        <v>87</v>
      </c>
      <c r="J2806" s="16">
        <v>2025</v>
      </c>
      <c r="K2806" s="18" t="s">
        <v>9246</v>
      </c>
      <c r="L2806" s="16">
        <v>9785006306042</v>
      </c>
      <c r="M2806" s="18" t="s">
        <v>9247</v>
      </c>
      <c r="N2806" s="16">
        <v>32</v>
      </c>
      <c r="O2806" s="19">
        <v>0.29</v>
      </c>
      <c r="P2806" s="16">
        <v>180</v>
      </c>
      <c r="Q2806" s="16">
        <v>270</v>
      </c>
      <c r="R2806" s="16">
        <v>20</v>
      </c>
      <c r="S2806" s="18" t="s">
        <v>43</v>
      </c>
      <c r="T2806" s="18"/>
      <c r="U2806" s="17">
        <v>3000</v>
      </c>
      <c r="V2806" s="18" t="s">
        <v>77</v>
      </c>
      <c r="W2806" s="18" t="s">
        <v>55</v>
      </c>
      <c r="X2806" s="16">
        <v>10</v>
      </c>
      <c r="Y2806" s="18" t="s">
        <v>9248</v>
      </c>
      <c r="Z2806" s="18"/>
      <c r="AS2806" s="1">
        <f>IF($A2806&lt;&gt;0,1,0)</f>
        <v>0</v>
      </c>
      <c r="AT2806" s="1">
        <f>$A2806*$B2806</f>
        <v>0</v>
      </c>
      <c r="AU2806" s="1">
        <f>$A2806*$O2806</f>
        <v>0</v>
      </c>
      <c r="AV2806" s="1">
        <f>IF($R2806=0,0,INT($A2806/$R2806))</f>
        <v>0</v>
      </c>
      <c r="AW2806" s="1">
        <f>$A2806-$AV2806*$R2806</f>
        <v>0</v>
      </c>
    </row>
    <row r="2807" ht="24.95" customHeight="1" outlineLevel="3" s="1" customFormat="1">
      <c r="A2807" s="15"/>
      <c r="B2807" s="16">
        <v>890</v>
      </c>
      <c r="C2807" s="17">
        <v>1246</v>
      </c>
      <c r="D2807" s="16">
        <v>31919</v>
      </c>
      <c r="E2807" s="18"/>
      <c r="F2807" s="18" t="s">
        <v>9249</v>
      </c>
      <c r="G2807" s="18" t="s">
        <v>9250</v>
      </c>
      <c r="H2807" s="18" t="s">
        <v>49</v>
      </c>
      <c r="I2807" s="18" t="s">
        <v>160</v>
      </c>
      <c r="J2807" s="16">
        <v>2026</v>
      </c>
      <c r="K2807" s="18" t="s">
        <v>9251</v>
      </c>
      <c r="L2807" s="16">
        <v>9785006300569</v>
      </c>
      <c r="M2807" s="18" t="s">
        <v>9252</v>
      </c>
      <c r="N2807" s="16">
        <v>80</v>
      </c>
      <c r="O2807" s="19">
        <v>0.45</v>
      </c>
      <c r="P2807" s="16">
        <v>210</v>
      </c>
      <c r="Q2807" s="16">
        <v>270</v>
      </c>
      <c r="R2807" s="16">
        <v>12</v>
      </c>
      <c r="S2807" s="18" t="s">
        <v>83</v>
      </c>
      <c r="T2807" s="18"/>
      <c r="U2807" s="17">
        <v>4000</v>
      </c>
      <c r="V2807" s="18" t="s">
        <v>77</v>
      </c>
      <c r="W2807" s="18" t="s">
        <v>55</v>
      </c>
      <c r="X2807" s="16">
        <v>10</v>
      </c>
      <c r="Y2807" s="18" t="s">
        <v>9253</v>
      </c>
      <c r="Z2807" s="18" t="s">
        <v>149</v>
      </c>
      <c r="AS2807" s="1">
        <f>IF($A2807&lt;&gt;0,1,0)</f>
        <v>0</v>
      </c>
      <c r="AT2807" s="1">
        <f>$A2807*$B2807</f>
        <v>0</v>
      </c>
      <c r="AU2807" s="1">
        <f>$A2807*$O2807</f>
        <v>0</v>
      </c>
      <c r="AV2807" s="1">
        <f>IF($R2807=0,0,INT($A2807/$R2807))</f>
        <v>0</v>
      </c>
      <c r="AW2807" s="1">
        <f>$A2807-$AV2807*$R2807</f>
        <v>0</v>
      </c>
    </row>
    <row r="2808" ht="24.95" customHeight="1" outlineLevel="3" s="1" customFormat="1">
      <c r="A2808" s="15"/>
      <c r="B2808" s="16">
        <v>690</v>
      </c>
      <c r="C2808" s="17">
        <v>1035</v>
      </c>
      <c r="D2808" s="16">
        <v>32974</v>
      </c>
      <c r="E2808" s="18"/>
      <c r="F2808" s="18" t="s">
        <v>9254</v>
      </c>
      <c r="G2808" s="18" t="s">
        <v>9255</v>
      </c>
      <c r="H2808" s="18" t="s">
        <v>49</v>
      </c>
      <c r="I2808" s="18" t="s">
        <v>87</v>
      </c>
      <c r="J2808" s="16">
        <v>2026</v>
      </c>
      <c r="K2808" s="18" t="s">
        <v>9256</v>
      </c>
      <c r="L2808" s="16">
        <v>9785006303553</v>
      </c>
      <c r="M2808" s="18" t="s">
        <v>9257</v>
      </c>
      <c r="N2808" s="16">
        <v>80</v>
      </c>
      <c r="O2808" s="19">
        <v>0.39</v>
      </c>
      <c r="P2808" s="16">
        <v>200</v>
      </c>
      <c r="Q2808" s="16">
        <v>270</v>
      </c>
      <c r="R2808" s="16">
        <v>15</v>
      </c>
      <c r="S2808" s="18" t="s">
        <v>83</v>
      </c>
      <c r="T2808" s="18"/>
      <c r="U2808" s="17">
        <v>3000</v>
      </c>
      <c r="V2808" s="18" t="s">
        <v>77</v>
      </c>
      <c r="W2808" s="18" t="s">
        <v>55</v>
      </c>
      <c r="X2808" s="16">
        <v>10</v>
      </c>
      <c r="Y2808" s="18" t="s">
        <v>8857</v>
      </c>
      <c r="Z2808" s="18"/>
      <c r="AS2808" s="1">
        <f>IF($A2808&lt;&gt;0,1,0)</f>
        <v>0</v>
      </c>
      <c r="AT2808" s="1">
        <f>$A2808*$B2808</f>
        <v>0</v>
      </c>
      <c r="AU2808" s="1">
        <f>$A2808*$O2808</f>
        <v>0</v>
      </c>
      <c r="AV2808" s="1">
        <f>IF($R2808=0,0,INT($A2808/$R2808))</f>
        <v>0</v>
      </c>
      <c r="AW2808" s="1">
        <f>$A2808-$AV2808*$R2808</f>
        <v>0</v>
      </c>
    </row>
    <row r="2809" ht="11.1" customHeight="1" outlineLevel="2">
      <c r="A2809" s="41" t="s">
        <v>9258</v>
      </c>
      <c r="B2809" s="41"/>
      <c r="C2809" s="41"/>
      <c r="D2809" s="41"/>
      <c r="E2809" s="41"/>
      <c r="F2809" s="41"/>
      <c r="G2809" s="41"/>
      <c r="H2809" s="41"/>
      <c r="I2809" s="41"/>
      <c r="J2809" s="41"/>
      <c r="K2809" s="41"/>
      <c r="L2809" s="41"/>
      <c r="M2809" s="41"/>
      <c r="N2809" s="41"/>
      <c r="O2809" s="41"/>
      <c r="P2809" s="41"/>
      <c r="Q2809" s="41"/>
      <c r="R2809" s="41"/>
      <c r="S2809" s="41"/>
      <c r="T2809" s="41"/>
      <c r="U2809" s="41"/>
      <c r="V2809" s="41"/>
      <c r="W2809" s="41"/>
      <c r="X2809" s="41"/>
      <c r="Y2809" s="41"/>
      <c r="Z2809" s="24"/>
    </row>
    <row r="2810" ht="24.95" customHeight="1" outlineLevel="3" s="1" customFormat="1">
      <c r="A2810" s="15"/>
      <c r="B2810" s="16">
        <v>590</v>
      </c>
      <c r="C2810" s="16">
        <v>885</v>
      </c>
      <c r="D2810" s="16">
        <v>31226</v>
      </c>
      <c r="E2810" s="18"/>
      <c r="F2810" s="18" t="s">
        <v>6950</v>
      </c>
      <c r="G2810" s="18" t="s">
        <v>9259</v>
      </c>
      <c r="H2810" s="18" t="s">
        <v>49</v>
      </c>
      <c r="I2810" s="18"/>
      <c r="J2810" s="16">
        <v>2024</v>
      </c>
      <c r="K2810" s="18" t="s">
        <v>9260</v>
      </c>
      <c r="L2810" s="16">
        <v>9785961497908</v>
      </c>
      <c r="M2810" s="18" t="s">
        <v>9261</v>
      </c>
      <c r="N2810" s="16">
        <v>96</v>
      </c>
      <c r="O2810" s="19">
        <v>0.41</v>
      </c>
      <c r="P2810" s="16">
        <v>190</v>
      </c>
      <c r="Q2810" s="16">
        <v>240</v>
      </c>
      <c r="R2810" s="16">
        <v>12</v>
      </c>
      <c r="S2810" s="18" t="s">
        <v>328</v>
      </c>
      <c r="T2810" s="18"/>
      <c r="U2810" s="17">
        <v>3000</v>
      </c>
      <c r="V2810" s="18" t="s">
        <v>77</v>
      </c>
      <c r="W2810" s="18" t="s">
        <v>55</v>
      </c>
      <c r="X2810" s="16">
        <v>10</v>
      </c>
      <c r="Y2810" s="18" t="s">
        <v>7926</v>
      </c>
      <c r="Z2810" s="18"/>
      <c r="AS2810" s="1">
        <f>IF($A2810&lt;&gt;0,1,0)</f>
        <v>0</v>
      </c>
      <c r="AT2810" s="1">
        <f>$A2810*$B2810</f>
        <v>0</v>
      </c>
      <c r="AU2810" s="1">
        <f>$A2810*$O2810</f>
        <v>0</v>
      </c>
      <c r="AV2810" s="1">
        <f>IF($R2810=0,0,INT($A2810/$R2810))</f>
        <v>0</v>
      </c>
      <c r="AW2810" s="1">
        <f>$A2810-$AV2810*$R2810</f>
        <v>0</v>
      </c>
    </row>
    <row r="2811" ht="24.95" customHeight="1" outlineLevel="3" s="1" customFormat="1">
      <c r="A2811" s="15"/>
      <c r="B2811" s="16">
        <v>590</v>
      </c>
      <c r="C2811" s="16">
        <v>885</v>
      </c>
      <c r="D2811" s="16">
        <v>35146</v>
      </c>
      <c r="E2811" s="18"/>
      <c r="F2811" s="18" t="s">
        <v>9262</v>
      </c>
      <c r="G2811" s="18" t="s">
        <v>9263</v>
      </c>
      <c r="H2811" s="18" t="s">
        <v>49</v>
      </c>
      <c r="I2811" s="18" t="s">
        <v>65</v>
      </c>
      <c r="J2811" s="16">
        <v>2026</v>
      </c>
      <c r="K2811" s="18" t="s">
        <v>9264</v>
      </c>
      <c r="L2811" s="16">
        <v>9785006310445</v>
      </c>
      <c r="M2811" s="18" t="s">
        <v>9265</v>
      </c>
      <c r="N2811" s="16">
        <v>96</v>
      </c>
      <c r="O2811" s="19">
        <v>0.27</v>
      </c>
      <c r="P2811" s="16">
        <v>150</v>
      </c>
      <c r="Q2811" s="16">
        <v>220</v>
      </c>
      <c r="R2811" s="16">
        <v>20</v>
      </c>
      <c r="S2811" s="18" t="s">
        <v>43</v>
      </c>
      <c r="T2811" s="18"/>
      <c r="U2811" s="17">
        <v>2000</v>
      </c>
      <c r="V2811" s="18" t="s">
        <v>77</v>
      </c>
      <c r="W2811" s="18" t="s">
        <v>55</v>
      </c>
      <c r="X2811" s="16">
        <v>10</v>
      </c>
      <c r="Y2811" s="18" t="s">
        <v>9266</v>
      </c>
      <c r="Z2811" s="18" t="s">
        <v>9267</v>
      </c>
      <c r="AS2811" s="1">
        <f>IF($A2811&lt;&gt;0,1,0)</f>
        <v>0</v>
      </c>
      <c r="AT2811" s="1">
        <f>$A2811*$B2811</f>
        <v>0</v>
      </c>
      <c r="AU2811" s="1">
        <f>$A2811*$O2811</f>
        <v>0</v>
      </c>
      <c r="AV2811" s="1">
        <f>IF($R2811=0,0,INT($A2811/$R2811))</f>
        <v>0</v>
      </c>
      <c r="AW2811" s="1">
        <f>$A2811-$AV2811*$R2811</f>
        <v>0</v>
      </c>
    </row>
    <row r="2812" ht="24.95" customHeight="1" outlineLevel="3" s="1" customFormat="1">
      <c r="A2812" s="15"/>
      <c r="B2812" s="16">
        <v>120</v>
      </c>
      <c r="C2812" s="16">
        <v>192</v>
      </c>
      <c r="D2812" s="16">
        <v>28807</v>
      </c>
      <c r="E2812" s="18"/>
      <c r="F2812" s="18" t="s">
        <v>57</v>
      </c>
      <c r="G2812" s="18" t="s">
        <v>58</v>
      </c>
      <c r="H2812" s="18" t="s">
        <v>49</v>
      </c>
      <c r="I2812" s="18"/>
      <c r="J2812" s="16">
        <v>2023</v>
      </c>
      <c r="K2812" s="18" t="s">
        <v>59</v>
      </c>
      <c r="L2812" s="16">
        <v>9785961490114</v>
      </c>
      <c r="M2812" s="18" t="s">
        <v>60</v>
      </c>
      <c r="N2812" s="16">
        <v>24</v>
      </c>
      <c r="O2812" s="19">
        <v>0.06</v>
      </c>
      <c r="P2812" s="16">
        <v>170</v>
      </c>
      <c r="Q2812" s="16">
        <v>210</v>
      </c>
      <c r="R2812" s="16">
        <v>70</v>
      </c>
      <c r="S2812" s="18" t="s">
        <v>52</v>
      </c>
      <c r="T2812" s="18"/>
      <c r="U2812" s="17">
        <v>3000</v>
      </c>
      <c r="V2812" s="18" t="s">
        <v>44</v>
      </c>
      <c r="W2812" s="18" t="s">
        <v>55</v>
      </c>
      <c r="X2812" s="16">
        <v>10</v>
      </c>
      <c r="Y2812" s="18" t="s">
        <v>61</v>
      </c>
      <c r="Z2812" s="18"/>
      <c r="AS2812" s="1">
        <f>IF($A2812&lt;&gt;0,1,0)</f>
        <v>0</v>
      </c>
      <c r="AT2812" s="1">
        <f>$A2812*$B2812</f>
        <v>0</v>
      </c>
      <c r="AU2812" s="1">
        <f>$A2812*$O2812</f>
        <v>0</v>
      </c>
      <c r="AV2812" s="1">
        <f>IF($R2812=0,0,INT($A2812/$R2812))</f>
        <v>0</v>
      </c>
      <c r="AW2812" s="1">
        <f>$A2812-$AV2812*$R2812</f>
        <v>0</v>
      </c>
    </row>
    <row r="2813" ht="24.95" customHeight="1" outlineLevel="3" s="1" customFormat="1">
      <c r="A2813" s="15"/>
      <c r="B2813" s="16">
        <v>590</v>
      </c>
      <c r="C2813" s="16">
        <v>885</v>
      </c>
      <c r="D2813" s="16">
        <v>28987</v>
      </c>
      <c r="E2813" s="18"/>
      <c r="F2813" s="18" t="s">
        <v>9268</v>
      </c>
      <c r="G2813" s="18" t="s">
        <v>9269</v>
      </c>
      <c r="H2813" s="18" t="s">
        <v>49</v>
      </c>
      <c r="I2813" s="18" t="s">
        <v>87</v>
      </c>
      <c r="J2813" s="16">
        <v>2024</v>
      </c>
      <c r="K2813" s="18" t="s">
        <v>9270</v>
      </c>
      <c r="L2813" s="16">
        <v>9785961481693</v>
      </c>
      <c r="M2813" s="18" t="s">
        <v>9271</v>
      </c>
      <c r="N2813" s="16">
        <v>144</v>
      </c>
      <c r="O2813" s="19">
        <v>0.46</v>
      </c>
      <c r="P2813" s="16">
        <v>170</v>
      </c>
      <c r="Q2813" s="16">
        <v>240</v>
      </c>
      <c r="R2813" s="16">
        <v>10</v>
      </c>
      <c r="S2813" s="18" t="s">
        <v>123</v>
      </c>
      <c r="T2813" s="18"/>
      <c r="U2813" s="17">
        <v>3000</v>
      </c>
      <c r="V2813" s="18" t="s">
        <v>77</v>
      </c>
      <c r="W2813" s="18" t="s">
        <v>55</v>
      </c>
      <c r="X2813" s="16">
        <v>10</v>
      </c>
      <c r="Y2813" s="18" t="s">
        <v>9272</v>
      </c>
      <c r="Z2813" s="18"/>
      <c r="AS2813" s="1">
        <f>IF($A2813&lt;&gt;0,1,0)</f>
        <v>0</v>
      </c>
      <c r="AT2813" s="1">
        <f>$A2813*$B2813</f>
        <v>0</v>
      </c>
      <c r="AU2813" s="1">
        <f>$A2813*$O2813</f>
        <v>0</v>
      </c>
      <c r="AV2813" s="1">
        <f>IF($R2813=0,0,INT($A2813/$R2813))</f>
        <v>0</v>
      </c>
      <c r="AW2813" s="1">
        <f>$A2813-$AV2813*$R2813</f>
        <v>0</v>
      </c>
    </row>
    <row r="2814" ht="24.95" customHeight="1" outlineLevel="3" s="1" customFormat="1">
      <c r="A2814" s="15"/>
      <c r="B2814" s="16">
        <v>590</v>
      </c>
      <c r="C2814" s="16">
        <v>885</v>
      </c>
      <c r="D2814" s="16">
        <v>30707</v>
      </c>
      <c r="E2814" s="18"/>
      <c r="F2814" s="18" t="s">
        <v>9273</v>
      </c>
      <c r="G2814" s="18" t="s">
        <v>9274</v>
      </c>
      <c r="H2814" s="18" t="s">
        <v>49</v>
      </c>
      <c r="I2814" s="18"/>
      <c r="J2814" s="16">
        <v>2024</v>
      </c>
      <c r="K2814" s="18" t="s">
        <v>9275</v>
      </c>
      <c r="L2814" s="16">
        <v>9785961496215</v>
      </c>
      <c r="M2814" s="18" t="s">
        <v>9276</v>
      </c>
      <c r="N2814" s="16">
        <v>80</v>
      </c>
      <c r="O2814" s="19">
        <v>0.34</v>
      </c>
      <c r="P2814" s="16">
        <v>170</v>
      </c>
      <c r="Q2814" s="16">
        <v>240</v>
      </c>
      <c r="R2814" s="16">
        <v>12</v>
      </c>
      <c r="S2814" s="18" t="s">
        <v>123</v>
      </c>
      <c r="T2814" s="18"/>
      <c r="U2814" s="17">
        <v>5000</v>
      </c>
      <c r="V2814" s="18" t="s">
        <v>77</v>
      </c>
      <c r="W2814" s="18" t="s">
        <v>55</v>
      </c>
      <c r="X2814" s="16">
        <v>10</v>
      </c>
      <c r="Y2814" s="18" t="s">
        <v>9277</v>
      </c>
      <c r="Z2814" s="18"/>
      <c r="AS2814" s="1">
        <f>IF($A2814&lt;&gt;0,1,0)</f>
        <v>0</v>
      </c>
      <c r="AT2814" s="1">
        <f>$A2814*$B2814</f>
        <v>0</v>
      </c>
      <c r="AU2814" s="1">
        <f>$A2814*$O2814</f>
        <v>0</v>
      </c>
      <c r="AV2814" s="1">
        <f>IF($R2814=0,0,INT($A2814/$R2814))</f>
        <v>0</v>
      </c>
      <c r="AW2814" s="1">
        <f>$A2814-$AV2814*$R2814</f>
        <v>0</v>
      </c>
    </row>
    <row r="2815" ht="24.95" customHeight="1" outlineLevel="3" s="1" customFormat="1">
      <c r="A2815" s="15"/>
      <c r="B2815" s="16">
        <v>350</v>
      </c>
      <c r="C2815" s="16">
        <v>560</v>
      </c>
      <c r="D2815" s="16">
        <v>34365</v>
      </c>
      <c r="E2815" s="18"/>
      <c r="F2815" s="18" t="s">
        <v>9278</v>
      </c>
      <c r="G2815" s="18" t="s">
        <v>9279</v>
      </c>
      <c r="H2815" s="18" t="s">
        <v>49</v>
      </c>
      <c r="I2815" s="18"/>
      <c r="J2815" s="16">
        <v>2026</v>
      </c>
      <c r="K2815" s="18" t="s">
        <v>9280</v>
      </c>
      <c r="L2815" s="16">
        <v>9785006307285</v>
      </c>
      <c r="M2815" s="18" t="s">
        <v>9281</v>
      </c>
      <c r="N2815" s="16">
        <v>48</v>
      </c>
      <c r="O2815" s="19">
        <v>0.2</v>
      </c>
      <c r="P2815" s="16">
        <v>150</v>
      </c>
      <c r="Q2815" s="16">
        <v>210</v>
      </c>
      <c r="R2815" s="16">
        <v>10</v>
      </c>
      <c r="S2815" s="18" t="s">
        <v>43</v>
      </c>
      <c r="T2815" s="18" t="s">
        <v>9282</v>
      </c>
      <c r="U2815" s="17">
        <v>3000</v>
      </c>
      <c r="V2815" s="18" t="s">
        <v>77</v>
      </c>
      <c r="W2815" s="18" t="s">
        <v>184</v>
      </c>
      <c r="X2815" s="16">
        <v>10</v>
      </c>
      <c r="Y2815" s="18" t="s">
        <v>9283</v>
      </c>
      <c r="Z2815" s="18" t="s">
        <v>1110</v>
      </c>
      <c r="AS2815" s="1">
        <f>IF($A2815&lt;&gt;0,1,0)</f>
        <v>0</v>
      </c>
      <c r="AT2815" s="1">
        <f>$A2815*$B2815</f>
        <v>0</v>
      </c>
      <c r="AU2815" s="1">
        <f>$A2815*$O2815</f>
        <v>0</v>
      </c>
      <c r="AV2815" s="1">
        <f>IF($R2815=0,0,INT($A2815/$R2815))</f>
        <v>0</v>
      </c>
      <c r="AW2815" s="1">
        <f>$A2815-$AV2815*$R2815</f>
        <v>0</v>
      </c>
    </row>
    <row r="2816" ht="24.95" customHeight="1" outlineLevel="3" s="1" customFormat="1">
      <c r="A2816" s="15"/>
      <c r="B2816" s="16">
        <v>790</v>
      </c>
      <c r="C2816" s="17">
        <v>1146</v>
      </c>
      <c r="D2816" s="16">
        <v>28290</v>
      </c>
      <c r="E2816" s="18"/>
      <c r="F2816" s="18" t="s">
        <v>9284</v>
      </c>
      <c r="G2816" s="18" t="s">
        <v>9285</v>
      </c>
      <c r="H2816" s="18" t="s">
        <v>49</v>
      </c>
      <c r="I2816" s="18" t="s">
        <v>9286</v>
      </c>
      <c r="J2816" s="16">
        <v>2024</v>
      </c>
      <c r="K2816" s="18" t="s">
        <v>9287</v>
      </c>
      <c r="L2816" s="16">
        <v>9785961487763</v>
      </c>
      <c r="M2816" s="18" t="s">
        <v>9288</v>
      </c>
      <c r="N2816" s="16">
        <v>120</v>
      </c>
      <c r="O2816" s="19">
        <v>0.56</v>
      </c>
      <c r="P2816" s="16">
        <v>220</v>
      </c>
      <c r="Q2816" s="16">
        <v>250</v>
      </c>
      <c r="R2816" s="16">
        <v>10</v>
      </c>
      <c r="S2816" s="18" t="s">
        <v>328</v>
      </c>
      <c r="T2816" s="18"/>
      <c r="U2816" s="17">
        <v>2500</v>
      </c>
      <c r="V2816" s="18" t="s">
        <v>77</v>
      </c>
      <c r="W2816" s="18" t="s">
        <v>55</v>
      </c>
      <c r="X2816" s="16">
        <v>10</v>
      </c>
      <c r="Y2816" s="18" t="s">
        <v>9289</v>
      </c>
      <c r="Z2816" s="18"/>
      <c r="AS2816" s="1">
        <f>IF($A2816&lt;&gt;0,1,0)</f>
        <v>0</v>
      </c>
      <c r="AT2816" s="1">
        <f>$A2816*$B2816</f>
        <v>0</v>
      </c>
      <c r="AU2816" s="1">
        <f>$A2816*$O2816</f>
        <v>0</v>
      </c>
      <c r="AV2816" s="1">
        <f>IF($R2816=0,0,INT($A2816/$R2816))</f>
        <v>0</v>
      </c>
      <c r="AW2816" s="1">
        <f>$A2816-$AV2816*$R2816</f>
        <v>0</v>
      </c>
    </row>
    <row r="2817" ht="24.95" customHeight="1" outlineLevel="3" s="1" customFormat="1">
      <c r="A2817" s="15"/>
      <c r="B2817" s="16">
        <v>490</v>
      </c>
      <c r="C2817" s="16">
        <v>837</v>
      </c>
      <c r="D2817" s="16">
        <v>32518</v>
      </c>
      <c r="E2817" s="18"/>
      <c r="F2817" s="18" t="s">
        <v>8739</v>
      </c>
      <c r="G2817" s="18" t="s">
        <v>9290</v>
      </c>
      <c r="H2817" s="18" t="s">
        <v>49</v>
      </c>
      <c r="I2817" s="18"/>
      <c r="J2817" s="16">
        <v>2026</v>
      </c>
      <c r="K2817" s="18" t="s">
        <v>9291</v>
      </c>
      <c r="L2817" s="16">
        <v>9785006302464</v>
      </c>
      <c r="M2817" s="18" t="s">
        <v>9292</v>
      </c>
      <c r="N2817" s="16">
        <v>80</v>
      </c>
      <c r="O2817" s="19">
        <v>0.36</v>
      </c>
      <c r="P2817" s="16">
        <v>210</v>
      </c>
      <c r="Q2817" s="16">
        <v>210</v>
      </c>
      <c r="R2817" s="16">
        <v>12</v>
      </c>
      <c r="S2817" s="18" t="s">
        <v>83</v>
      </c>
      <c r="T2817" s="18"/>
      <c r="U2817" s="17">
        <v>5000</v>
      </c>
      <c r="V2817" s="18" t="s">
        <v>77</v>
      </c>
      <c r="W2817" s="18" t="s">
        <v>184</v>
      </c>
      <c r="X2817" s="16">
        <v>10</v>
      </c>
      <c r="Y2817" s="18" t="s">
        <v>9293</v>
      </c>
      <c r="Z2817" s="18" t="s">
        <v>753</v>
      </c>
      <c r="AS2817" s="1">
        <f>IF($A2817&lt;&gt;0,1,0)</f>
        <v>0</v>
      </c>
      <c r="AT2817" s="1">
        <f>$A2817*$B2817</f>
        <v>0</v>
      </c>
      <c r="AU2817" s="1">
        <f>$A2817*$O2817</f>
        <v>0</v>
      </c>
      <c r="AV2817" s="1">
        <f>IF($R2817=0,0,INT($A2817/$R2817))</f>
        <v>0</v>
      </c>
      <c r="AW2817" s="1">
        <f>$A2817-$AV2817*$R2817</f>
        <v>0</v>
      </c>
    </row>
    <row r="2818" ht="21.95" customHeight="1" outlineLevel="3" s="1" customFormat="1">
      <c r="A2818" s="15"/>
      <c r="B2818" s="16">
        <v>590</v>
      </c>
      <c r="C2818" s="16">
        <v>885</v>
      </c>
      <c r="D2818" s="16">
        <v>34739</v>
      </c>
      <c r="E2818" s="18"/>
      <c r="F2818" s="18" t="s">
        <v>9294</v>
      </c>
      <c r="G2818" s="18" t="s">
        <v>9295</v>
      </c>
      <c r="H2818" s="18" t="s">
        <v>49</v>
      </c>
      <c r="I2818" s="18" t="s">
        <v>65</v>
      </c>
      <c r="J2818" s="16">
        <v>2026</v>
      </c>
      <c r="K2818" s="18" t="s">
        <v>9296</v>
      </c>
      <c r="L2818" s="16">
        <v>9785006308817</v>
      </c>
      <c r="M2818" s="18" t="s">
        <v>9297</v>
      </c>
      <c r="N2818" s="16">
        <v>96</v>
      </c>
      <c r="O2818" s="19">
        <v>0.19</v>
      </c>
      <c r="P2818" s="16">
        <v>150</v>
      </c>
      <c r="Q2818" s="16">
        <v>220</v>
      </c>
      <c r="R2818" s="16">
        <v>24</v>
      </c>
      <c r="S2818" s="18" t="s">
        <v>43</v>
      </c>
      <c r="T2818" s="18"/>
      <c r="U2818" s="17">
        <v>2000</v>
      </c>
      <c r="V2818" s="18" t="s">
        <v>77</v>
      </c>
      <c r="W2818" s="18" t="s">
        <v>184</v>
      </c>
      <c r="X2818" s="16">
        <v>10</v>
      </c>
      <c r="Y2818" s="43" t="str">
        <f>HYPERLINK("","")</f>
      </c>
      <c r="Z2818" s="18"/>
      <c r="AS2818" s="1">
        <f>IF($A2818&lt;&gt;0,1,0)</f>
        <v>0</v>
      </c>
      <c r="AT2818" s="1">
        <f>$A2818*$B2818</f>
        <v>0</v>
      </c>
      <c r="AU2818" s="1">
        <f>$A2818*$O2818</f>
        <v>0</v>
      </c>
      <c r="AV2818" s="1">
        <f>IF($R2818=0,0,INT($A2818/$R2818))</f>
        <v>0</v>
      </c>
      <c r="AW2818" s="1">
        <f>$A2818-$AV2818*$R2818</f>
        <v>0</v>
      </c>
    </row>
    <row r="2819" ht="24.95" customHeight="1" outlineLevel="3" s="1" customFormat="1">
      <c r="A2819" s="15"/>
      <c r="B2819" s="16">
        <v>650</v>
      </c>
      <c r="C2819" s="17">
        <v>1035</v>
      </c>
      <c r="D2819" s="16">
        <v>32920</v>
      </c>
      <c r="E2819" s="18"/>
      <c r="F2819" s="18" t="s">
        <v>9298</v>
      </c>
      <c r="G2819" s="18" t="s">
        <v>9299</v>
      </c>
      <c r="H2819" s="18" t="s">
        <v>49</v>
      </c>
      <c r="I2819" s="18" t="s">
        <v>87</v>
      </c>
      <c r="J2819" s="16">
        <v>2025</v>
      </c>
      <c r="K2819" s="18" t="s">
        <v>9300</v>
      </c>
      <c r="L2819" s="16">
        <v>9785006303379</v>
      </c>
      <c r="M2819" s="18" t="s">
        <v>9301</v>
      </c>
      <c r="N2819" s="16">
        <v>192</v>
      </c>
      <c r="O2819" s="19">
        <v>0.51</v>
      </c>
      <c r="P2819" s="16">
        <v>160</v>
      </c>
      <c r="Q2819" s="16">
        <v>220</v>
      </c>
      <c r="R2819" s="16">
        <v>8</v>
      </c>
      <c r="S2819" s="18" t="s">
        <v>43</v>
      </c>
      <c r="T2819" s="18"/>
      <c r="U2819" s="17">
        <v>2000</v>
      </c>
      <c r="V2819" s="18" t="s">
        <v>77</v>
      </c>
      <c r="W2819" s="18" t="s">
        <v>91</v>
      </c>
      <c r="X2819" s="16">
        <v>10</v>
      </c>
      <c r="Y2819" s="18" t="s">
        <v>9302</v>
      </c>
      <c r="Z2819" s="18"/>
      <c r="AS2819" s="1">
        <f>IF($A2819&lt;&gt;0,1,0)</f>
        <v>0</v>
      </c>
      <c r="AT2819" s="1">
        <f>$A2819*$B2819</f>
        <v>0</v>
      </c>
      <c r="AU2819" s="1">
        <f>$A2819*$O2819</f>
        <v>0</v>
      </c>
      <c r="AV2819" s="1">
        <f>IF($R2819=0,0,INT($A2819/$R2819))</f>
        <v>0</v>
      </c>
      <c r="AW2819" s="1">
        <f>$A2819-$AV2819*$R2819</f>
        <v>0</v>
      </c>
    </row>
    <row r="2820" ht="21.95" customHeight="1" outlineLevel="3" s="1" customFormat="1">
      <c r="A2820" s="15"/>
      <c r="B2820" s="16">
        <v>750</v>
      </c>
      <c r="C2820" s="17">
        <v>1088</v>
      </c>
      <c r="D2820" s="16">
        <v>32430</v>
      </c>
      <c r="E2820" s="18"/>
      <c r="F2820" s="18" t="s">
        <v>650</v>
      </c>
      <c r="G2820" s="18" t="s">
        <v>651</v>
      </c>
      <c r="H2820" s="18" t="s">
        <v>49</v>
      </c>
      <c r="I2820" s="18"/>
      <c r="J2820" s="16">
        <v>2025</v>
      </c>
      <c r="K2820" s="18" t="s">
        <v>652</v>
      </c>
      <c r="L2820" s="16">
        <v>9785006302259</v>
      </c>
      <c r="M2820" s="18" t="s">
        <v>653</v>
      </c>
      <c r="N2820" s="16">
        <v>152</v>
      </c>
      <c r="O2820" s="19">
        <v>0.29</v>
      </c>
      <c r="P2820" s="16">
        <v>150</v>
      </c>
      <c r="Q2820" s="16">
        <v>220</v>
      </c>
      <c r="R2820" s="16">
        <v>10</v>
      </c>
      <c r="S2820" s="18" t="s">
        <v>43</v>
      </c>
      <c r="T2820" s="18"/>
      <c r="U2820" s="17">
        <v>1500</v>
      </c>
      <c r="V2820" s="18" t="s">
        <v>77</v>
      </c>
      <c r="W2820" s="18" t="s">
        <v>45</v>
      </c>
      <c r="X2820" s="16">
        <v>22</v>
      </c>
      <c r="Y2820" s="43" t="str">
        <f>HYPERLINK("","")</f>
      </c>
      <c r="Z2820" s="18"/>
      <c r="AS2820" s="1">
        <f>IF($A2820&lt;&gt;0,1,0)</f>
        <v>0</v>
      </c>
      <c r="AT2820" s="1">
        <f>$A2820*$B2820</f>
        <v>0</v>
      </c>
      <c r="AU2820" s="1">
        <f>$A2820*$O2820</f>
        <v>0</v>
      </c>
      <c r="AV2820" s="1">
        <f>IF($R2820=0,0,INT($A2820/$R2820))</f>
        <v>0</v>
      </c>
      <c r="AW2820" s="1">
        <f>$A2820-$AV2820*$R2820</f>
        <v>0</v>
      </c>
    </row>
    <row r="2821" ht="24.95" customHeight="1" outlineLevel="3" s="1" customFormat="1">
      <c r="A2821" s="15"/>
      <c r="B2821" s="16">
        <v>490</v>
      </c>
      <c r="C2821" s="16">
        <v>760</v>
      </c>
      <c r="D2821" s="16">
        <v>23945</v>
      </c>
      <c r="E2821" s="18"/>
      <c r="F2821" s="18" t="s">
        <v>8739</v>
      </c>
      <c r="G2821" s="18" t="s">
        <v>9303</v>
      </c>
      <c r="H2821" s="18" t="s">
        <v>49</v>
      </c>
      <c r="I2821" s="18"/>
      <c r="J2821" s="16">
        <v>2022</v>
      </c>
      <c r="K2821" s="18" t="s">
        <v>9304</v>
      </c>
      <c r="L2821" s="16">
        <v>9785961473964</v>
      </c>
      <c r="M2821" s="18" t="s">
        <v>9305</v>
      </c>
      <c r="N2821" s="16">
        <v>40</v>
      </c>
      <c r="O2821" s="19">
        <v>0.2</v>
      </c>
      <c r="P2821" s="16">
        <v>170</v>
      </c>
      <c r="Q2821" s="16">
        <v>221</v>
      </c>
      <c r="R2821" s="16">
        <v>25</v>
      </c>
      <c r="S2821" s="18" t="s">
        <v>52</v>
      </c>
      <c r="T2821" s="18" t="s">
        <v>9306</v>
      </c>
      <c r="U2821" s="17">
        <v>3000</v>
      </c>
      <c r="V2821" s="18" t="s">
        <v>77</v>
      </c>
      <c r="W2821" s="18" t="s">
        <v>55</v>
      </c>
      <c r="X2821" s="16">
        <v>10</v>
      </c>
      <c r="Y2821" s="18" t="s">
        <v>7955</v>
      </c>
      <c r="Z2821" s="18"/>
      <c r="AS2821" s="1">
        <f>IF($A2821&lt;&gt;0,1,0)</f>
        <v>0</v>
      </c>
      <c r="AT2821" s="1">
        <f>$A2821*$B2821</f>
        <v>0</v>
      </c>
      <c r="AU2821" s="1">
        <f>$A2821*$O2821</f>
        <v>0</v>
      </c>
      <c r="AV2821" s="1">
        <f>IF($R2821=0,0,INT($A2821/$R2821))</f>
        <v>0</v>
      </c>
      <c r="AW2821" s="1">
        <f>$A2821-$AV2821*$R2821</f>
        <v>0</v>
      </c>
    </row>
    <row r="2822" ht="24.95" customHeight="1" outlineLevel="3" s="1" customFormat="1">
      <c r="A2822" s="15"/>
      <c r="B2822" s="16">
        <v>990</v>
      </c>
      <c r="C2822" s="17">
        <v>1386</v>
      </c>
      <c r="D2822" s="16">
        <v>31486</v>
      </c>
      <c r="E2822" s="18"/>
      <c r="F2822" s="18" t="s">
        <v>9307</v>
      </c>
      <c r="G2822" s="18" t="s">
        <v>9308</v>
      </c>
      <c r="H2822" s="18" t="s">
        <v>49</v>
      </c>
      <c r="I2822" s="18"/>
      <c r="J2822" s="16">
        <v>2026</v>
      </c>
      <c r="K2822" s="18" t="s">
        <v>9309</v>
      </c>
      <c r="L2822" s="16">
        <v>9785961498974</v>
      </c>
      <c r="M2822" s="18" t="s">
        <v>9310</v>
      </c>
      <c r="N2822" s="16">
        <v>208</v>
      </c>
      <c r="O2822" s="19">
        <v>0.54</v>
      </c>
      <c r="P2822" s="16">
        <v>170</v>
      </c>
      <c r="Q2822" s="16">
        <v>240</v>
      </c>
      <c r="R2822" s="16">
        <v>8</v>
      </c>
      <c r="S2822" s="18" t="s">
        <v>123</v>
      </c>
      <c r="T2822" s="18"/>
      <c r="U2822" s="17">
        <v>2000</v>
      </c>
      <c r="V2822" s="18" t="s">
        <v>77</v>
      </c>
      <c r="W2822" s="18" t="s">
        <v>55</v>
      </c>
      <c r="X2822" s="16">
        <v>10</v>
      </c>
      <c r="Y2822" s="18" t="s">
        <v>8047</v>
      </c>
      <c r="Z2822" s="18" t="s">
        <v>2419</v>
      </c>
      <c r="AS2822" s="1">
        <f>IF($A2822&lt;&gt;0,1,0)</f>
        <v>0</v>
      </c>
      <c r="AT2822" s="1">
        <f>$A2822*$B2822</f>
        <v>0</v>
      </c>
      <c r="AU2822" s="1">
        <f>$A2822*$O2822</f>
        <v>0</v>
      </c>
      <c r="AV2822" s="1">
        <f>IF($R2822=0,0,INT($A2822/$R2822))</f>
        <v>0</v>
      </c>
      <c r="AW2822" s="1">
        <f>$A2822-$AV2822*$R2822</f>
        <v>0</v>
      </c>
    </row>
    <row r="2823" ht="24.95" customHeight="1" outlineLevel="3" s="1" customFormat="1">
      <c r="A2823" s="15"/>
      <c r="B2823" s="16">
        <v>640</v>
      </c>
      <c r="C2823" s="16">
        <v>960</v>
      </c>
      <c r="D2823" s="16">
        <v>26168</v>
      </c>
      <c r="E2823" s="18"/>
      <c r="F2823" s="18" t="s">
        <v>9311</v>
      </c>
      <c r="G2823" s="18" t="s">
        <v>9312</v>
      </c>
      <c r="H2823" s="18" t="s">
        <v>49</v>
      </c>
      <c r="I2823" s="18"/>
      <c r="J2823" s="16">
        <v>2025</v>
      </c>
      <c r="K2823" s="18" t="s">
        <v>9313</v>
      </c>
      <c r="L2823" s="16">
        <v>9785961480665</v>
      </c>
      <c r="M2823" s="18" t="s">
        <v>9314</v>
      </c>
      <c r="N2823" s="16">
        <v>288</v>
      </c>
      <c r="O2823" s="19">
        <v>0.62</v>
      </c>
      <c r="P2823" s="16">
        <v>170</v>
      </c>
      <c r="Q2823" s="16">
        <v>220</v>
      </c>
      <c r="R2823" s="16">
        <v>6</v>
      </c>
      <c r="S2823" s="18" t="s">
        <v>52</v>
      </c>
      <c r="T2823" s="18"/>
      <c r="U2823" s="17">
        <v>1000</v>
      </c>
      <c r="V2823" s="18" t="s">
        <v>77</v>
      </c>
      <c r="W2823" s="18" t="s">
        <v>55</v>
      </c>
      <c r="X2823" s="16">
        <v>10</v>
      </c>
      <c r="Y2823" s="18" t="s">
        <v>7922</v>
      </c>
      <c r="Z2823" s="18"/>
      <c r="AS2823" s="1">
        <f>IF($A2823&lt;&gt;0,1,0)</f>
        <v>0</v>
      </c>
      <c r="AT2823" s="1">
        <f>$A2823*$B2823</f>
        <v>0</v>
      </c>
      <c r="AU2823" s="1">
        <f>$A2823*$O2823</f>
        <v>0</v>
      </c>
      <c r="AV2823" s="1">
        <f>IF($R2823=0,0,INT($A2823/$R2823))</f>
        <v>0</v>
      </c>
      <c r="AW2823" s="1">
        <f>$A2823-$AV2823*$R2823</f>
        <v>0</v>
      </c>
    </row>
    <row r="2824" ht="24.95" customHeight="1" outlineLevel="3" s="1" customFormat="1">
      <c r="A2824" s="15"/>
      <c r="B2824" s="16">
        <v>690</v>
      </c>
      <c r="C2824" s="17">
        <v>1035</v>
      </c>
      <c r="D2824" s="16">
        <v>33677</v>
      </c>
      <c r="E2824" s="18"/>
      <c r="F2824" s="18" t="s">
        <v>9315</v>
      </c>
      <c r="G2824" s="18" t="s">
        <v>9316</v>
      </c>
      <c r="H2824" s="18" t="s">
        <v>49</v>
      </c>
      <c r="I2824" s="18"/>
      <c r="J2824" s="16">
        <v>2025</v>
      </c>
      <c r="K2824" s="18" t="s">
        <v>9317</v>
      </c>
      <c r="L2824" s="16">
        <v>9785006305274</v>
      </c>
      <c r="M2824" s="18" t="s">
        <v>9318</v>
      </c>
      <c r="N2824" s="16">
        <v>64</v>
      </c>
      <c r="O2824" s="19">
        <v>0.34</v>
      </c>
      <c r="P2824" s="16">
        <v>200</v>
      </c>
      <c r="Q2824" s="16">
        <v>260</v>
      </c>
      <c r="R2824" s="16">
        <v>16</v>
      </c>
      <c r="S2824" s="18" t="s">
        <v>328</v>
      </c>
      <c r="T2824" s="18"/>
      <c r="U2824" s="17">
        <v>4658</v>
      </c>
      <c r="V2824" s="18" t="s">
        <v>77</v>
      </c>
      <c r="W2824" s="18" t="s">
        <v>55</v>
      </c>
      <c r="X2824" s="16">
        <v>10</v>
      </c>
      <c r="Y2824" s="18" t="s">
        <v>9319</v>
      </c>
      <c r="Z2824" s="18"/>
      <c r="AS2824" s="1">
        <f>IF($A2824&lt;&gt;0,1,0)</f>
        <v>0</v>
      </c>
      <c r="AT2824" s="1">
        <f>$A2824*$B2824</f>
        <v>0</v>
      </c>
      <c r="AU2824" s="1">
        <f>$A2824*$O2824</f>
        <v>0</v>
      </c>
      <c r="AV2824" s="1">
        <f>IF($R2824=0,0,INT($A2824/$R2824))</f>
        <v>0</v>
      </c>
      <c r="AW2824" s="1">
        <f>$A2824-$AV2824*$R2824</f>
        <v>0</v>
      </c>
    </row>
    <row r="2825" ht="24.95" customHeight="1" outlineLevel="3" s="1" customFormat="1">
      <c r="A2825" s="15"/>
      <c r="B2825" s="16">
        <v>490</v>
      </c>
      <c r="C2825" s="16">
        <v>760</v>
      </c>
      <c r="D2825" s="16">
        <v>23951</v>
      </c>
      <c r="E2825" s="18"/>
      <c r="F2825" s="18" t="s">
        <v>8739</v>
      </c>
      <c r="G2825" s="18" t="s">
        <v>9320</v>
      </c>
      <c r="H2825" s="18" t="s">
        <v>49</v>
      </c>
      <c r="I2825" s="18"/>
      <c r="J2825" s="16">
        <v>2022</v>
      </c>
      <c r="K2825" s="18" t="s">
        <v>9321</v>
      </c>
      <c r="L2825" s="16">
        <v>9785961473988</v>
      </c>
      <c r="M2825" s="18" t="s">
        <v>9322</v>
      </c>
      <c r="N2825" s="16">
        <v>40</v>
      </c>
      <c r="O2825" s="19">
        <v>0.21</v>
      </c>
      <c r="P2825" s="16">
        <v>168</v>
      </c>
      <c r="Q2825" s="16">
        <v>221</v>
      </c>
      <c r="R2825" s="16">
        <v>18</v>
      </c>
      <c r="S2825" s="18" t="s">
        <v>52</v>
      </c>
      <c r="T2825" s="18" t="s">
        <v>9306</v>
      </c>
      <c r="U2825" s="17">
        <v>3000</v>
      </c>
      <c r="V2825" s="18" t="s">
        <v>77</v>
      </c>
      <c r="W2825" s="18" t="s">
        <v>55</v>
      </c>
      <c r="X2825" s="16">
        <v>10</v>
      </c>
      <c r="Y2825" s="18" t="s">
        <v>7955</v>
      </c>
      <c r="Z2825" s="18"/>
      <c r="AS2825" s="1">
        <f>IF($A2825&lt;&gt;0,1,0)</f>
        <v>0</v>
      </c>
      <c r="AT2825" s="1">
        <f>$A2825*$B2825</f>
        <v>0</v>
      </c>
      <c r="AU2825" s="1">
        <f>$A2825*$O2825</f>
        <v>0</v>
      </c>
      <c r="AV2825" s="1">
        <f>IF($R2825=0,0,INT($A2825/$R2825))</f>
        <v>0</v>
      </c>
      <c r="AW2825" s="1">
        <f>$A2825-$AV2825*$R2825</f>
        <v>0</v>
      </c>
    </row>
    <row r="2826" ht="24.95" customHeight="1" outlineLevel="3" s="1" customFormat="1">
      <c r="A2826" s="15"/>
      <c r="B2826" s="16">
        <v>350</v>
      </c>
      <c r="C2826" s="16">
        <v>560</v>
      </c>
      <c r="D2826" s="16">
        <v>34249</v>
      </c>
      <c r="E2826" s="18"/>
      <c r="F2826" s="18" t="s">
        <v>9273</v>
      </c>
      <c r="G2826" s="18" t="s">
        <v>9323</v>
      </c>
      <c r="H2826" s="18" t="s">
        <v>49</v>
      </c>
      <c r="I2826" s="18"/>
      <c r="J2826" s="16">
        <v>2026</v>
      </c>
      <c r="K2826" s="18" t="s">
        <v>9324</v>
      </c>
      <c r="L2826" s="16">
        <v>9785006306844</v>
      </c>
      <c r="M2826" s="18" t="s">
        <v>9325</v>
      </c>
      <c r="N2826" s="16">
        <v>48</v>
      </c>
      <c r="O2826" s="19">
        <v>0.2</v>
      </c>
      <c r="P2826" s="16">
        <v>150</v>
      </c>
      <c r="Q2826" s="16">
        <v>210</v>
      </c>
      <c r="R2826" s="16">
        <v>10</v>
      </c>
      <c r="S2826" s="18" t="s">
        <v>52</v>
      </c>
      <c r="T2826" s="18" t="s">
        <v>9326</v>
      </c>
      <c r="U2826" s="17">
        <v>3000</v>
      </c>
      <c r="V2826" s="18" t="s">
        <v>77</v>
      </c>
      <c r="W2826" s="18" t="s">
        <v>184</v>
      </c>
      <c r="X2826" s="16">
        <v>10</v>
      </c>
      <c r="Y2826" s="18" t="s">
        <v>9283</v>
      </c>
      <c r="Z2826" s="18" t="s">
        <v>1110</v>
      </c>
      <c r="AS2826" s="1">
        <f>IF($A2826&lt;&gt;0,1,0)</f>
        <v>0</v>
      </c>
      <c r="AT2826" s="1">
        <f>$A2826*$B2826</f>
        <v>0</v>
      </c>
      <c r="AU2826" s="1">
        <f>$A2826*$O2826</f>
        <v>0</v>
      </c>
      <c r="AV2826" s="1">
        <f>IF($R2826=0,0,INT($A2826/$R2826))</f>
        <v>0</v>
      </c>
      <c r="AW2826" s="1">
        <f>$A2826-$AV2826*$R2826</f>
        <v>0</v>
      </c>
    </row>
    <row r="2827" ht="24.95" customHeight="1" outlineLevel="3" s="1" customFormat="1">
      <c r="A2827" s="15"/>
      <c r="B2827" s="16">
        <v>350</v>
      </c>
      <c r="C2827" s="16">
        <v>560</v>
      </c>
      <c r="D2827" s="16">
        <v>34250</v>
      </c>
      <c r="E2827" s="18"/>
      <c r="F2827" s="18" t="s">
        <v>9273</v>
      </c>
      <c r="G2827" s="18" t="s">
        <v>9327</v>
      </c>
      <c r="H2827" s="18" t="s">
        <v>49</v>
      </c>
      <c r="I2827" s="18"/>
      <c r="J2827" s="16">
        <v>2026</v>
      </c>
      <c r="K2827" s="18" t="s">
        <v>9328</v>
      </c>
      <c r="L2827" s="16">
        <v>9785006306851</v>
      </c>
      <c r="M2827" s="18" t="s">
        <v>9329</v>
      </c>
      <c r="N2827" s="16">
        <v>48</v>
      </c>
      <c r="O2827" s="19">
        <v>0.2</v>
      </c>
      <c r="P2827" s="16">
        <v>150</v>
      </c>
      <c r="Q2827" s="16">
        <v>210</v>
      </c>
      <c r="R2827" s="16">
        <v>10</v>
      </c>
      <c r="S2827" s="18" t="s">
        <v>52</v>
      </c>
      <c r="T2827" s="18" t="s">
        <v>9326</v>
      </c>
      <c r="U2827" s="17">
        <v>3000</v>
      </c>
      <c r="V2827" s="18" t="s">
        <v>77</v>
      </c>
      <c r="W2827" s="18" t="s">
        <v>184</v>
      </c>
      <c r="X2827" s="16">
        <v>10</v>
      </c>
      <c r="Y2827" s="18" t="s">
        <v>9283</v>
      </c>
      <c r="Z2827" s="18" t="s">
        <v>1110</v>
      </c>
      <c r="AS2827" s="1">
        <f>IF($A2827&lt;&gt;0,1,0)</f>
        <v>0</v>
      </c>
      <c r="AT2827" s="1">
        <f>$A2827*$B2827</f>
        <v>0</v>
      </c>
      <c r="AU2827" s="1">
        <f>$A2827*$O2827</f>
        <v>0</v>
      </c>
      <c r="AV2827" s="1">
        <f>IF($R2827=0,0,INT($A2827/$R2827))</f>
        <v>0</v>
      </c>
      <c r="AW2827" s="1">
        <f>$A2827-$AV2827*$R2827</f>
        <v>0</v>
      </c>
    </row>
    <row r="2828" ht="24.95" customHeight="1" outlineLevel="3" s="1" customFormat="1">
      <c r="A2828" s="15"/>
      <c r="B2828" s="16">
        <v>930</v>
      </c>
      <c r="C2828" s="17">
        <v>1302</v>
      </c>
      <c r="D2828" s="16">
        <v>33593</v>
      </c>
      <c r="E2828" s="18"/>
      <c r="F2828" s="18" t="s">
        <v>9330</v>
      </c>
      <c r="G2828" s="18" t="s">
        <v>9331</v>
      </c>
      <c r="H2828" s="18" t="s">
        <v>49</v>
      </c>
      <c r="I2828" s="18"/>
      <c r="J2828" s="16">
        <v>2026</v>
      </c>
      <c r="K2828" s="18" t="s">
        <v>9332</v>
      </c>
      <c r="L2828" s="16">
        <v>9785006305168</v>
      </c>
      <c r="M2828" s="18" t="s">
        <v>9333</v>
      </c>
      <c r="N2828" s="16">
        <v>312</v>
      </c>
      <c r="O2828" s="19">
        <v>0.54</v>
      </c>
      <c r="P2828" s="16">
        <v>150</v>
      </c>
      <c r="Q2828" s="16">
        <v>210</v>
      </c>
      <c r="R2828" s="16">
        <v>10</v>
      </c>
      <c r="S2828" s="18" t="s">
        <v>43</v>
      </c>
      <c r="T2828" s="18"/>
      <c r="U2828" s="17">
        <v>5000</v>
      </c>
      <c r="V2828" s="18" t="s">
        <v>77</v>
      </c>
      <c r="W2828" s="18" t="s">
        <v>55</v>
      </c>
      <c r="X2828" s="16">
        <v>10</v>
      </c>
      <c r="Y2828" s="18" t="s">
        <v>9334</v>
      </c>
      <c r="Z2828" s="18"/>
      <c r="AS2828" s="1">
        <f>IF($A2828&lt;&gt;0,1,0)</f>
        <v>0</v>
      </c>
      <c r="AT2828" s="1">
        <f>$A2828*$B2828</f>
        <v>0</v>
      </c>
      <c r="AU2828" s="1">
        <f>$A2828*$O2828</f>
        <v>0</v>
      </c>
      <c r="AV2828" s="1">
        <f>IF($R2828=0,0,INT($A2828/$R2828))</f>
        <v>0</v>
      </c>
      <c r="AW2828" s="1">
        <f>$A2828-$AV2828*$R2828</f>
        <v>0</v>
      </c>
    </row>
    <row r="2829" ht="24.95" customHeight="1" outlineLevel="3" s="1" customFormat="1">
      <c r="A2829" s="15"/>
      <c r="B2829" s="16">
        <v>590</v>
      </c>
      <c r="C2829" s="16">
        <v>885</v>
      </c>
      <c r="D2829" s="16">
        <v>34819</v>
      </c>
      <c r="E2829" s="18"/>
      <c r="F2829" s="18" t="s">
        <v>9335</v>
      </c>
      <c r="G2829" s="18" t="s">
        <v>9336</v>
      </c>
      <c r="H2829" s="18" t="s">
        <v>49</v>
      </c>
      <c r="I2829" s="18"/>
      <c r="J2829" s="16">
        <v>2026</v>
      </c>
      <c r="K2829" s="18" t="s">
        <v>9337</v>
      </c>
      <c r="L2829" s="16">
        <v>9785006318304</v>
      </c>
      <c r="M2829" s="18" t="s">
        <v>9338</v>
      </c>
      <c r="N2829" s="16">
        <v>112</v>
      </c>
      <c r="O2829" s="19">
        <v>0.32</v>
      </c>
      <c r="P2829" s="16">
        <v>150</v>
      </c>
      <c r="Q2829" s="16">
        <v>220</v>
      </c>
      <c r="R2829" s="16">
        <v>12</v>
      </c>
      <c r="S2829" s="18" t="s">
        <v>52</v>
      </c>
      <c r="T2829" s="18"/>
      <c r="U2829" s="17">
        <v>1200</v>
      </c>
      <c r="V2829" s="18" t="s">
        <v>77</v>
      </c>
      <c r="W2829" s="18" t="s">
        <v>184</v>
      </c>
      <c r="X2829" s="16">
        <v>10</v>
      </c>
      <c r="Y2829" s="18" t="s">
        <v>9266</v>
      </c>
      <c r="Z2829" s="18"/>
      <c r="AS2829" s="1">
        <f>IF($A2829&lt;&gt;0,1,0)</f>
        <v>0</v>
      </c>
      <c r="AT2829" s="1">
        <f>$A2829*$B2829</f>
        <v>0</v>
      </c>
      <c r="AU2829" s="1">
        <f>$A2829*$O2829</f>
        <v>0</v>
      </c>
      <c r="AV2829" s="1">
        <f>IF($R2829=0,0,INT($A2829/$R2829))</f>
        <v>0</v>
      </c>
      <c r="AW2829" s="1">
        <f>$A2829-$AV2829*$R2829</f>
        <v>0</v>
      </c>
    </row>
    <row r="2830" ht="24.95" customHeight="1" outlineLevel="3" s="1" customFormat="1">
      <c r="A2830" s="25"/>
      <c r="B2830" s="26">
        <v>890</v>
      </c>
      <c r="C2830" s="29">
        <v>1246</v>
      </c>
      <c r="D2830" s="26">
        <v>25827</v>
      </c>
      <c r="E2830" s="27"/>
      <c r="F2830" s="27" t="s">
        <v>8739</v>
      </c>
      <c r="G2830" s="27" t="s">
        <v>9306</v>
      </c>
      <c r="H2830" s="27" t="s">
        <v>49</v>
      </c>
      <c r="I2830" s="27"/>
      <c r="J2830" s="26">
        <v>2025</v>
      </c>
      <c r="K2830" s="27" t="s">
        <v>9339</v>
      </c>
      <c r="L2830" s="26">
        <v>9785961478648</v>
      </c>
      <c r="M2830" s="27" t="s">
        <v>9340</v>
      </c>
      <c r="N2830" s="26">
        <v>104</v>
      </c>
      <c r="O2830" s="28">
        <v>0.43</v>
      </c>
      <c r="P2830" s="26">
        <v>170</v>
      </c>
      <c r="Q2830" s="26">
        <v>220</v>
      </c>
      <c r="R2830" s="26">
        <v>10</v>
      </c>
      <c r="S2830" s="27" t="s">
        <v>52</v>
      </c>
      <c r="T2830" s="27"/>
      <c r="U2830" s="29">
        <v>1000</v>
      </c>
      <c r="V2830" s="27" t="s">
        <v>77</v>
      </c>
      <c r="W2830" s="27" t="s">
        <v>55</v>
      </c>
      <c r="X2830" s="26">
        <v>10</v>
      </c>
      <c r="Y2830" s="27" t="s">
        <v>8069</v>
      </c>
      <c r="Z2830" s="27"/>
      <c r="AS2830" s="1">
        <f>IF($A2830&lt;&gt;0,1,0)</f>
        <v>0</v>
      </c>
      <c r="AT2830" s="1">
        <f>$A2830*$B2830</f>
        <v>0</v>
      </c>
      <c r="AU2830" s="1">
        <f>$A2830*$O2830</f>
        <v>0</v>
      </c>
      <c r="AV2830" s="1">
        <f>IF($R2830=0,0,INT($A2830/$R2830))</f>
        <v>0</v>
      </c>
      <c r="AW2830" s="1">
        <f>$A2830-$AV2830*$R2830</f>
        <v>0</v>
      </c>
    </row>
    <row r="2831" ht="24.95" customHeight="1" outlineLevel="3" s="1" customFormat="1">
      <c r="A2831" s="15"/>
      <c r="B2831" s="16">
        <v>590</v>
      </c>
      <c r="C2831" s="16">
        <v>885</v>
      </c>
      <c r="D2831" s="16">
        <v>30658</v>
      </c>
      <c r="E2831" s="18"/>
      <c r="F2831" s="18" t="s">
        <v>9341</v>
      </c>
      <c r="G2831" s="18" t="s">
        <v>9342</v>
      </c>
      <c r="H2831" s="18" t="s">
        <v>49</v>
      </c>
      <c r="I2831" s="18" t="s">
        <v>87</v>
      </c>
      <c r="J2831" s="16">
        <v>2026</v>
      </c>
      <c r="K2831" s="18" t="s">
        <v>9343</v>
      </c>
      <c r="L2831" s="16">
        <v>9785961498356</v>
      </c>
      <c r="M2831" s="18" t="s">
        <v>9344</v>
      </c>
      <c r="N2831" s="16">
        <v>128</v>
      </c>
      <c r="O2831" s="19">
        <v>0.3</v>
      </c>
      <c r="P2831" s="16">
        <v>150</v>
      </c>
      <c r="Q2831" s="16">
        <v>220</v>
      </c>
      <c r="R2831" s="16">
        <v>10</v>
      </c>
      <c r="S2831" s="18" t="s">
        <v>43</v>
      </c>
      <c r="T2831" s="18"/>
      <c r="U2831" s="17">
        <v>1000</v>
      </c>
      <c r="V2831" s="18" t="s">
        <v>77</v>
      </c>
      <c r="W2831" s="18" t="s">
        <v>55</v>
      </c>
      <c r="X2831" s="16">
        <v>10</v>
      </c>
      <c r="Y2831" s="18" t="s">
        <v>9345</v>
      </c>
      <c r="Z2831" s="18"/>
      <c r="AS2831" s="1">
        <f>IF($A2831&lt;&gt;0,1,0)</f>
        <v>0</v>
      </c>
      <c r="AT2831" s="1">
        <f>$A2831*$B2831</f>
        <v>0</v>
      </c>
      <c r="AU2831" s="1">
        <f>$A2831*$O2831</f>
        <v>0</v>
      </c>
      <c r="AV2831" s="1">
        <f>IF($R2831=0,0,INT($A2831/$R2831))</f>
        <v>0</v>
      </c>
      <c r="AW2831" s="1">
        <f>$A2831-$AV2831*$R2831</f>
        <v>0</v>
      </c>
    </row>
    <row r="2832" ht="24.95" customHeight="1" outlineLevel="3" s="1" customFormat="1">
      <c r="A2832" s="15"/>
      <c r="B2832" s="16">
        <v>690</v>
      </c>
      <c r="C2832" s="17">
        <v>1035</v>
      </c>
      <c r="D2832" s="16">
        <v>34881</v>
      </c>
      <c r="E2832" s="18"/>
      <c r="F2832" s="18" t="s">
        <v>9346</v>
      </c>
      <c r="G2832" s="18" t="s">
        <v>9347</v>
      </c>
      <c r="H2832" s="18" t="s">
        <v>49</v>
      </c>
      <c r="I2832" s="18"/>
      <c r="J2832" s="16">
        <v>2026</v>
      </c>
      <c r="K2832" s="18" t="s">
        <v>9348</v>
      </c>
      <c r="L2832" s="16">
        <v>9785006309364</v>
      </c>
      <c r="M2832" s="18" t="s">
        <v>9349</v>
      </c>
      <c r="N2832" s="16">
        <v>144</v>
      </c>
      <c r="O2832" s="19">
        <v>0.45</v>
      </c>
      <c r="P2832" s="16">
        <v>170</v>
      </c>
      <c r="Q2832" s="16">
        <v>230</v>
      </c>
      <c r="R2832" s="16">
        <v>10</v>
      </c>
      <c r="S2832" s="18" t="s">
        <v>123</v>
      </c>
      <c r="T2832" s="18"/>
      <c r="U2832" s="17">
        <v>2000</v>
      </c>
      <c r="V2832" s="18" t="s">
        <v>77</v>
      </c>
      <c r="W2832" s="18" t="s">
        <v>55</v>
      </c>
      <c r="X2832" s="16">
        <v>10</v>
      </c>
      <c r="Y2832" s="18" t="s">
        <v>7899</v>
      </c>
      <c r="Z2832" s="18"/>
      <c r="AS2832" s="1">
        <f>IF($A2832&lt;&gt;0,1,0)</f>
        <v>0</v>
      </c>
      <c r="AT2832" s="1">
        <f>$A2832*$B2832</f>
        <v>0</v>
      </c>
      <c r="AU2832" s="1">
        <f>$A2832*$O2832</f>
        <v>0</v>
      </c>
      <c r="AV2832" s="1">
        <f>IF($R2832=0,0,INT($A2832/$R2832))</f>
        <v>0</v>
      </c>
      <c r="AW2832" s="1">
        <f>$A2832-$AV2832*$R2832</f>
        <v>0</v>
      </c>
    </row>
    <row r="2833" ht="24.95" customHeight="1" outlineLevel="3" s="1" customFormat="1">
      <c r="A2833" s="15"/>
      <c r="B2833" s="16">
        <v>790</v>
      </c>
      <c r="C2833" s="17">
        <v>1146</v>
      </c>
      <c r="D2833" s="16">
        <v>28409</v>
      </c>
      <c r="E2833" s="18"/>
      <c r="F2833" s="18" t="s">
        <v>9350</v>
      </c>
      <c r="G2833" s="18" t="s">
        <v>9351</v>
      </c>
      <c r="H2833" s="18" t="s">
        <v>49</v>
      </c>
      <c r="I2833" s="18" t="s">
        <v>74</v>
      </c>
      <c r="J2833" s="16">
        <v>2025</v>
      </c>
      <c r="K2833" s="18" t="s">
        <v>9352</v>
      </c>
      <c r="L2833" s="16">
        <v>9785961488807</v>
      </c>
      <c r="M2833" s="18" t="s">
        <v>9353</v>
      </c>
      <c r="N2833" s="16">
        <v>280</v>
      </c>
      <c r="O2833" s="19">
        <v>0.39</v>
      </c>
      <c r="P2833" s="16">
        <v>150</v>
      </c>
      <c r="Q2833" s="16">
        <v>220</v>
      </c>
      <c r="R2833" s="16">
        <v>10</v>
      </c>
      <c r="S2833" s="18" t="s">
        <v>43</v>
      </c>
      <c r="T2833" s="18"/>
      <c r="U2833" s="17">
        <v>2000</v>
      </c>
      <c r="V2833" s="18" t="s">
        <v>77</v>
      </c>
      <c r="W2833" s="18" t="s">
        <v>55</v>
      </c>
      <c r="X2833" s="16">
        <v>10</v>
      </c>
      <c r="Y2833" s="18" t="s">
        <v>9289</v>
      </c>
      <c r="Z2833" s="18"/>
      <c r="AS2833" s="1">
        <f>IF($A2833&lt;&gt;0,1,0)</f>
        <v>0</v>
      </c>
      <c r="AT2833" s="1">
        <f>$A2833*$B2833</f>
        <v>0</v>
      </c>
      <c r="AU2833" s="1">
        <f>$A2833*$O2833</f>
        <v>0</v>
      </c>
      <c r="AV2833" s="1">
        <f>IF($R2833=0,0,INT($A2833/$R2833))</f>
        <v>0</v>
      </c>
      <c r="AW2833" s="1">
        <f>$A2833-$AV2833*$R2833</f>
        <v>0</v>
      </c>
    </row>
    <row r="2834" ht="24.95" customHeight="1" outlineLevel="3" s="1" customFormat="1">
      <c r="A2834" s="15"/>
      <c r="B2834" s="16">
        <v>560</v>
      </c>
      <c r="C2834" s="16">
        <v>960</v>
      </c>
      <c r="D2834" s="16">
        <v>33506</v>
      </c>
      <c r="E2834" s="18"/>
      <c r="F2834" s="18" t="s">
        <v>9354</v>
      </c>
      <c r="G2834" s="18" t="s">
        <v>9355</v>
      </c>
      <c r="H2834" s="18" t="s">
        <v>49</v>
      </c>
      <c r="I2834" s="18" t="s">
        <v>74</v>
      </c>
      <c r="J2834" s="16">
        <v>2026</v>
      </c>
      <c r="K2834" s="18" t="s">
        <v>9356</v>
      </c>
      <c r="L2834" s="16">
        <v>9785006305038</v>
      </c>
      <c r="M2834" s="18" t="s">
        <v>9357</v>
      </c>
      <c r="N2834" s="16">
        <v>192</v>
      </c>
      <c r="O2834" s="19">
        <v>0.28</v>
      </c>
      <c r="P2834" s="16">
        <v>150</v>
      </c>
      <c r="Q2834" s="16">
        <v>220</v>
      </c>
      <c r="R2834" s="16">
        <v>16</v>
      </c>
      <c r="S2834" s="18" t="s">
        <v>43</v>
      </c>
      <c r="T2834" s="18"/>
      <c r="U2834" s="17">
        <v>2000</v>
      </c>
      <c r="V2834" s="18" t="s">
        <v>77</v>
      </c>
      <c r="W2834" s="18" t="s">
        <v>55</v>
      </c>
      <c r="X2834" s="16">
        <v>10</v>
      </c>
      <c r="Y2834" s="18" t="s">
        <v>9302</v>
      </c>
      <c r="Z2834" s="18"/>
      <c r="AS2834" s="1">
        <f>IF($A2834&lt;&gt;0,1,0)</f>
        <v>0</v>
      </c>
      <c r="AT2834" s="1">
        <f>$A2834*$B2834</f>
        <v>0</v>
      </c>
      <c r="AU2834" s="1">
        <f>$A2834*$O2834</f>
        <v>0</v>
      </c>
      <c r="AV2834" s="1">
        <f>IF($R2834=0,0,INT($A2834/$R2834))</f>
        <v>0</v>
      </c>
      <c r="AW2834" s="1">
        <f>$A2834-$AV2834*$R2834</f>
        <v>0</v>
      </c>
    </row>
    <row r="2835" ht="24.95" customHeight="1" outlineLevel="3" s="1" customFormat="1">
      <c r="A2835" s="15"/>
      <c r="B2835" s="16">
        <v>790</v>
      </c>
      <c r="C2835" s="17">
        <v>1233</v>
      </c>
      <c r="D2835" s="16">
        <v>33179</v>
      </c>
      <c r="E2835" s="18"/>
      <c r="F2835" s="18" t="s">
        <v>9358</v>
      </c>
      <c r="G2835" s="18" t="s">
        <v>9359</v>
      </c>
      <c r="H2835" s="18" t="s">
        <v>49</v>
      </c>
      <c r="I2835" s="18" t="s">
        <v>74</v>
      </c>
      <c r="J2835" s="16">
        <v>2026</v>
      </c>
      <c r="K2835" s="18" t="s">
        <v>9360</v>
      </c>
      <c r="L2835" s="16">
        <v>9785006303904</v>
      </c>
      <c r="M2835" s="18" t="s">
        <v>9361</v>
      </c>
      <c r="N2835" s="16">
        <v>424</v>
      </c>
      <c r="O2835" s="19">
        <v>0.49</v>
      </c>
      <c r="P2835" s="16">
        <v>150</v>
      </c>
      <c r="Q2835" s="16">
        <v>220</v>
      </c>
      <c r="R2835" s="16">
        <v>8</v>
      </c>
      <c r="S2835" s="18" t="s">
        <v>43</v>
      </c>
      <c r="T2835" s="18"/>
      <c r="U2835" s="17">
        <v>3000</v>
      </c>
      <c r="V2835" s="18" t="s">
        <v>77</v>
      </c>
      <c r="W2835" s="18" t="s">
        <v>55</v>
      </c>
      <c r="X2835" s="16">
        <v>10</v>
      </c>
      <c r="Y2835" s="18" t="s">
        <v>9362</v>
      </c>
      <c r="Z2835" s="18"/>
      <c r="AS2835" s="1">
        <f>IF($A2835&lt;&gt;0,1,0)</f>
        <v>0</v>
      </c>
      <c r="AT2835" s="1">
        <f>$A2835*$B2835</f>
        <v>0</v>
      </c>
      <c r="AU2835" s="1">
        <f>$A2835*$O2835</f>
        <v>0</v>
      </c>
      <c r="AV2835" s="1">
        <f>IF($R2835=0,0,INT($A2835/$R2835))</f>
        <v>0</v>
      </c>
      <c r="AW2835" s="1">
        <f>$A2835-$AV2835*$R2835</f>
        <v>0</v>
      </c>
    </row>
    <row r="2836" ht="24.95" customHeight="1" outlineLevel="3" s="1" customFormat="1">
      <c r="A2836" s="15"/>
      <c r="B2836" s="16">
        <v>590</v>
      </c>
      <c r="C2836" s="16">
        <v>885</v>
      </c>
      <c r="D2836" s="16">
        <v>31644</v>
      </c>
      <c r="E2836" s="18"/>
      <c r="F2836" s="18" t="s">
        <v>9363</v>
      </c>
      <c r="G2836" s="18" t="s">
        <v>9364</v>
      </c>
      <c r="H2836" s="18" t="s">
        <v>49</v>
      </c>
      <c r="I2836" s="18" t="s">
        <v>65</v>
      </c>
      <c r="J2836" s="16">
        <v>2025</v>
      </c>
      <c r="K2836" s="18" t="s">
        <v>9365</v>
      </c>
      <c r="L2836" s="16">
        <v>9785961499728</v>
      </c>
      <c r="M2836" s="18" t="s">
        <v>9366</v>
      </c>
      <c r="N2836" s="16">
        <v>112</v>
      </c>
      <c r="O2836" s="19">
        <v>0.2</v>
      </c>
      <c r="P2836" s="16">
        <v>150</v>
      </c>
      <c r="Q2836" s="16">
        <v>220</v>
      </c>
      <c r="R2836" s="16">
        <v>24</v>
      </c>
      <c r="S2836" s="18" t="s">
        <v>43</v>
      </c>
      <c r="T2836" s="18"/>
      <c r="U2836" s="17">
        <v>2000</v>
      </c>
      <c r="V2836" s="18" t="s">
        <v>77</v>
      </c>
      <c r="W2836" s="18" t="s">
        <v>55</v>
      </c>
      <c r="X2836" s="16">
        <v>10</v>
      </c>
      <c r="Y2836" s="18" t="s">
        <v>9345</v>
      </c>
      <c r="Z2836" s="18"/>
      <c r="AS2836" s="1">
        <f>IF($A2836&lt;&gt;0,1,0)</f>
        <v>0</v>
      </c>
      <c r="AT2836" s="1">
        <f>$A2836*$B2836</f>
        <v>0</v>
      </c>
      <c r="AU2836" s="1">
        <f>$A2836*$O2836</f>
        <v>0</v>
      </c>
      <c r="AV2836" s="1">
        <f>IF($R2836=0,0,INT($A2836/$R2836))</f>
        <v>0</v>
      </c>
      <c r="AW2836" s="1">
        <f>$A2836-$AV2836*$R2836</f>
        <v>0</v>
      </c>
    </row>
    <row r="2837" ht="24.95" customHeight="1" outlineLevel="3" s="1" customFormat="1">
      <c r="A2837" s="15"/>
      <c r="B2837" s="16">
        <v>590</v>
      </c>
      <c r="C2837" s="16">
        <v>960</v>
      </c>
      <c r="D2837" s="16">
        <v>31742</v>
      </c>
      <c r="E2837" s="18"/>
      <c r="F2837" s="18" t="s">
        <v>9367</v>
      </c>
      <c r="G2837" s="18" t="s">
        <v>9368</v>
      </c>
      <c r="H2837" s="18" t="s">
        <v>49</v>
      </c>
      <c r="I2837" s="18" t="s">
        <v>74</v>
      </c>
      <c r="J2837" s="16">
        <v>2025</v>
      </c>
      <c r="K2837" s="18" t="s">
        <v>9369</v>
      </c>
      <c r="L2837" s="16">
        <v>9785006300040</v>
      </c>
      <c r="M2837" s="18" t="s">
        <v>9370</v>
      </c>
      <c r="N2837" s="16">
        <v>208</v>
      </c>
      <c r="O2837" s="19">
        <v>0.29</v>
      </c>
      <c r="P2837" s="16">
        <v>150</v>
      </c>
      <c r="Q2837" s="16">
        <v>220</v>
      </c>
      <c r="R2837" s="16">
        <v>14</v>
      </c>
      <c r="S2837" s="18" t="s">
        <v>43</v>
      </c>
      <c r="T2837" s="18"/>
      <c r="U2837" s="17">
        <v>2500</v>
      </c>
      <c r="V2837" s="18" t="s">
        <v>77</v>
      </c>
      <c r="W2837" s="18" t="s">
        <v>55</v>
      </c>
      <c r="X2837" s="16">
        <v>10</v>
      </c>
      <c r="Y2837" s="18" t="s">
        <v>9371</v>
      </c>
      <c r="Z2837" s="18"/>
      <c r="AS2837" s="1">
        <f>IF($A2837&lt;&gt;0,1,0)</f>
        <v>0</v>
      </c>
      <c r="AT2837" s="1">
        <f>$A2837*$B2837</f>
        <v>0</v>
      </c>
      <c r="AU2837" s="1">
        <f>$A2837*$O2837</f>
        <v>0</v>
      </c>
      <c r="AV2837" s="1">
        <f>IF($R2837=0,0,INT($A2837/$R2837))</f>
        <v>0</v>
      </c>
      <c r="AW2837" s="1">
        <f>$A2837-$AV2837*$R2837</f>
        <v>0</v>
      </c>
    </row>
    <row r="2838" ht="24.95" customHeight="1" outlineLevel="3" s="1" customFormat="1">
      <c r="A2838" s="15"/>
      <c r="B2838" s="16">
        <v>590</v>
      </c>
      <c r="C2838" s="16">
        <v>885</v>
      </c>
      <c r="D2838" s="16">
        <v>31032</v>
      </c>
      <c r="E2838" s="18"/>
      <c r="F2838" s="18" t="s">
        <v>8507</v>
      </c>
      <c r="G2838" s="18" t="s">
        <v>9372</v>
      </c>
      <c r="H2838" s="18" t="s">
        <v>49</v>
      </c>
      <c r="I2838" s="18"/>
      <c r="J2838" s="16">
        <v>2024</v>
      </c>
      <c r="K2838" s="18" t="s">
        <v>9373</v>
      </c>
      <c r="L2838" s="16">
        <v>9785961497250</v>
      </c>
      <c r="M2838" s="18" t="s">
        <v>9374</v>
      </c>
      <c r="N2838" s="16">
        <v>80</v>
      </c>
      <c r="O2838" s="19">
        <v>0.33</v>
      </c>
      <c r="P2838" s="16">
        <v>170</v>
      </c>
      <c r="Q2838" s="16">
        <v>250</v>
      </c>
      <c r="R2838" s="16">
        <v>14</v>
      </c>
      <c r="S2838" s="18" t="s">
        <v>123</v>
      </c>
      <c r="T2838" s="18"/>
      <c r="U2838" s="17">
        <v>5000</v>
      </c>
      <c r="V2838" s="18" t="s">
        <v>77</v>
      </c>
      <c r="W2838" s="18" t="s">
        <v>55</v>
      </c>
      <c r="X2838" s="16">
        <v>10</v>
      </c>
      <c r="Y2838" s="18" t="s">
        <v>9375</v>
      </c>
      <c r="Z2838" s="18"/>
      <c r="AS2838" s="1">
        <f>IF($A2838&lt;&gt;0,1,0)</f>
        <v>0</v>
      </c>
      <c r="AT2838" s="1">
        <f>$A2838*$B2838</f>
        <v>0</v>
      </c>
      <c r="AU2838" s="1">
        <f>$A2838*$O2838</f>
        <v>0</v>
      </c>
      <c r="AV2838" s="1">
        <f>IF($R2838=0,0,INT($A2838/$R2838))</f>
        <v>0</v>
      </c>
      <c r="AW2838" s="1">
        <f>$A2838-$AV2838*$R2838</f>
        <v>0</v>
      </c>
    </row>
    <row r="2839" ht="24.95" customHeight="1" outlineLevel="3" s="1" customFormat="1">
      <c r="A2839" s="15"/>
      <c r="B2839" s="16">
        <v>350</v>
      </c>
      <c r="C2839" s="16">
        <v>560</v>
      </c>
      <c r="D2839" s="16">
        <v>34366</v>
      </c>
      <c r="E2839" s="18"/>
      <c r="F2839" s="18" t="s">
        <v>9278</v>
      </c>
      <c r="G2839" s="18" t="s">
        <v>9376</v>
      </c>
      <c r="H2839" s="18" t="s">
        <v>49</v>
      </c>
      <c r="I2839" s="18"/>
      <c r="J2839" s="16">
        <v>2026</v>
      </c>
      <c r="K2839" s="18" t="s">
        <v>9377</v>
      </c>
      <c r="L2839" s="16">
        <v>9785006307292</v>
      </c>
      <c r="M2839" s="18" t="s">
        <v>9378</v>
      </c>
      <c r="N2839" s="16">
        <v>48</v>
      </c>
      <c r="O2839" s="19">
        <v>0.2</v>
      </c>
      <c r="P2839" s="16">
        <v>150</v>
      </c>
      <c r="Q2839" s="16">
        <v>210</v>
      </c>
      <c r="R2839" s="16">
        <v>10</v>
      </c>
      <c r="S2839" s="18" t="s">
        <v>43</v>
      </c>
      <c r="T2839" s="18" t="s">
        <v>9282</v>
      </c>
      <c r="U2839" s="17">
        <v>3000</v>
      </c>
      <c r="V2839" s="18" t="s">
        <v>77</v>
      </c>
      <c r="W2839" s="18" t="s">
        <v>184</v>
      </c>
      <c r="X2839" s="16">
        <v>10</v>
      </c>
      <c r="Y2839" s="18" t="s">
        <v>9283</v>
      </c>
      <c r="Z2839" s="18" t="s">
        <v>1110</v>
      </c>
      <c r="AS2839" s="1">
        <f>IF($A2839&lt;&gt;0,1,0)</f>
        <v>0</v>
      </c>
      <c r="AT2839" s="1">
        <f>$A2839*$B2839</f>
        <v>0</v>
      </c>
      <c r="AU2839" s="1">
        <f>$A2839*$O2839</f>
        <v>0</v>
      </c>
      <c r="AV2839" s="1">
        <f>IF($R2839=0,0,INT($A2839/$R2839))</f>
        <v>0</v>
      </c>
      <c r="AW2839" s="1">
        <f>$A2839-$AV2839*$R2839</f>
        <v>0</v>
      </c>
    </row>
    <row r="2840" ht="11.1" customHeight="1" outlineLevel="2">
      <c r="A2840" s="41" t="s">
        <v>9379</v>
      </c>
      <c r="B2840" s="41"/>
      <c r="C2840" s="41"/>
      <c r="D2840" s="41"/>
      <c r="E2840" s="41"/>
      <c r="F2840" s="41"/>
      <c r="G2840" s="41"/>
      <c r="H2840" s="41"/>
      <c r="I2840" s="41"/>
      <c r="J2840" s="41"/>
      <c r="K2840" s="41"/>
      <c r="L2840" s="41"/>
      <c r="M2840" s="41"/>
      <c r="N2840" s="41"/>
      <c r="O2840" s="41"/>
      <c r="P2840" s="41"/>
      <c r="Q2840" s="41"/>
      <c r="R2840" s="41"/>
      <c r="S2840" s="41"/>
      <c r="T2840" s="41"/>
      <c r="U2840" s="41"/>
      <c r="V2840" s="41"/>
      <c r="W2840" s="41"/>
      <c r="X2840" s="41"/>
      <c r="Y2840" s="41"/>
      <c r="Z2840" s="24"/>
    </row>
    <row r="2841" ht="24.95" customHeight="1" outlineLevel="3" s="1" customFormat="1">
      <c r="A2841" s="15"/>
      <c r="B2841" s="16">
        <v>620</v>
      </c>
      <c r="C2841" s="16">
        <v>930</v>
      </c>
      <c r="D2841" s="16">
        <v>29704</v>
      </c>
      <c r="E2841" s="18"/>
      <c r="F2841" s="18" t="s">
        <v>8682</v>
      </c>
      <c r="G2841" s="18" t="s">
        <v>9380</v>
      </c>
      <c r="H2841" s="18" t="s">
        <v>49</v>
      </c>
      <c r="I2841" s="18"/>
      <c r="J2841" s="16">
        <v>2024</v>
      </c>
      <c r="K2841" s="18" t="s">
        <v>9381</v>
      </c>
      <c r="L2841" s="16">
        <v>9785961493511</v>
      </c>
      <c r="M2841" s="18" t="s">
        <v>9382</v>
      </c>
      <c r="N2841" s="16">
        <v>56</v>
      </c>
      <c r="O2841" s="19">
        <v>0.33</v>
      </c>
      <c r="P2841" s="16">
        <v>210</v>
      </c>
      <c r="Q2841" s="16">
        <v>260</v>
      </c>
      <c r="R2841" s="16">
        <v>15</v>
      </c>
      <c r="S2841" s="18" t="s">
        <v>328</v>
      </c>
      <c r="T2841" s="18" t="s">
        <v>9383</v>
      </c>
      <c r="U2841" s="17">
        <v>5000</v>
      </c>
      <c r="V2841" s="18" t="s">
        <v>77</v>
      </c>
      <c r="W2841" s="18" t="s">
        <v>55</v>
      </c>
      <c r="X2841" s="16">
        <v>10</v>
      </c>
      <c r="Y2841" s="18" t="s">
        <v>9345</v>
      </c>
      <c r="Z2841" s="18"/>
      <c r="AS2841" s="1">
        <f>IF($A2841&lt;&gt;0,1,0)</f>
        <v>0</v>
      </c>
      <c r="AT2841" s="1">
        <f>$A2841*$B2841</f>
        <v>0</v>
      </c>
      <c r="AU2841" s="1">
        <f>$A2841*$O2841</f>
        <v>0</v>
      </c>
      <c r="AV2841" s="1">
        <f>IF($R2841=0,0,INT($A2841/$R2841))</f>
        <v>0</v>
      </c>
      <c r="AW2841" s="1">
        <f>$A2841-$AV2841*$R2841</f>
        <v>0</v>
      </c>
    </row>
    <row r="2842" ht="24.95" customHeight="1" outlineLevel="3" s="1" customFormat="1">
      <c r="A2842" s="15"/>
      <c r="B2842" s="16">
        <v>490</v>
      </c>
      <c r="C2842" s="16">
        <v>760</v>
      </c>
      <c r="D2842" s="16">
        <v>35299</v>
      </c>
      <c r="E2842" s="18"/>
      <c r="F2842" s="18" t="s">
        <v>9384</v>
      </c>
      <c r="G2842" s="18" t="s">
        <v>9385</v>
      </c>
      <c r="H2842" s="18" t="s">
        <v>49</v>
      </c>
      <c r="I2842" s="18"/>
      <c r="J2842" s="16">
        <v>2026</v>
      </c>
      <c r="K2842" s="18" t="s">
        <v>9386</v>
      </c>
      <c r="L2842" s="16">
        <v>9785006311855</v>
      </c>
      <c r="M2842" s="18" t="s">
        <v>9387</v>
      </c>
      <c r="N2842" s="16">
        <v>80</v>
      </c>
      <c r="O2842" s="19">
        <v>0.33</v>
      </c>
      <c r="P2842" s="16">
        <v>170</v>
      </c>
      <c r="Q2842" s="16">
        <v>240</v>
      </c>
      <c r="R2842" s="16">
        <v>12</v>
      </c>
      <c r="S2842" s="18" t="s">
        <v>123</v>
      </c>
      <c r="T2842" s="18"/>
      <c r="U2842" s="17">
        <v>1200</v>
      </c>
      <c r="V2842" s="18" t="s">
        <v>77</v>
      </c>
      <c r="W2842" s="18" t="s">
        <v>55</v>
      </c>
      <c r="X2842" s="16">
        <v>10</v>
      </c>
      <c r="Y2842" s="18" t="s">
        <v>9066</v>
      </c>
      <c r="Z2842" s="18"/>
      <c r="AS2842" s="1">
        <f>IF($A2842&lt;&gt;0,1,0)</f>
        <v>0</v>
      </c>
      <c r="AT2842" s="1">
        <f>$A2842*$B2842</f>
        <v>0</v>
      </c>
      <c r="AU2842" s="1">
        <f>$A2842*$O2842</f>
        <v>0</v>
      </c>
      <c r="AV2842" s="1">
        <f>IF($R2842=0,0,INT($A2842/$R2842))</f>
        <v>0</v>
      </c>
      <c r="AW2842" s="1">
        <f>$A2842-$AV2842*$R2842</f>
        <v>0</v>
      </c>
    </row>
    <row r="2843" ht="24.95" customHeight="1" outlineLevel="3" s="1" customFormat="1">
      <c r="A2843" s="15"/>
      <c r="B2843" s="16">
        <v>540</v>
      </c>
      <c r="C2843" s="16">
        <v>837</v>
      </c>
      <c r="D2843" s="16">
        <v>27170</v>
      </c>
      <c r="E2843" s="18"/>
      <c r="F2843" s="18" t="s">
        <v>9388</v>
      </c>
      <c r="G2843" s="18" t="s">
        <v>9389</v>
      </c>
      <c r="H2843" s="18" t="s">
        <v>95</v>
      </c>
      <c r="I2843" s="18"/>
      <c r="J2843" s="16">
        <v>2023</v>
      </c>
      <c r="K2843" s="18" t="s">
        <v>9390</v>
      </c>
      <c r="L2843" s="16">
        <v>9785206001310</v>
      </c>
      <c r="M2843" s="18" t="s">
        <v>9391</v>
      </c>
      <c r="N2843" s="16">
        <v>64</v>
      </c>
      <c r="O2843" s="19">
        <v>0.4</v>
      </c>
      <c r="P2843" s="16">
        <v>210</v>
      </c>
      <c r="Q2843" s="16">
        <v>250</v>
      </c>
      <c r="R2843" s="16">
        <v>10</v>
      </c>
      <c r="S2843" s="18" t="s">
        <v>328</v>
      </c>
      <c r="T2843" s="18"/>
      <c r="U2843" s="17">
        <v>1005</v>
      </c>
      <c r="V2843" s="18" t="s">
        <v>77</v>
      </c>
      <c r="W2843" s="18" t="s">
        <v>55</v>
      </c>
      <c r="X2843" s="16">
        <v>10</v>
      </c>
      <c r="Y2843" s="43" t="str">
        <f>HYPERLINK("https://api-enni.alpina.ru/FilePrivilegesApproval/211","https://api-enni.alpina.ru/FilePrivilegesApproval/211")</f>
        <v>https://api-enni.alpina.ru/FilePrivilegesApproval/211</v>
      </c>
      <c r="Z2843" s="18"/>
      <c r="AS2843" s="1">
        <f>IF($A2843&lt;&gt;0,1,0)</f>
        <v>0</v>
      </c>
      <c r="AT2843" s="1">
        <f>$A2843*$B2843</f>
        <v>0</v>
      </c>
      <c r="AU2843" s="1">
        <f>$A2843*$O2843</f>
        <v>0</v>
      </c>
      <c r="AV2843" s="1">
        <f>IF($R2843=0,0,INT($A2843/$R2843))</f>
        <v>0</v>
      </c>
      <c r="AW2843" s="1">
        <f>$A2843-$AV2843*$R2843</f>
        <v>0</v>
      </c>
    </row>
    <row r="2844" ht="24.95" customHeight="1" outlineLevel="3" s="1" customFormat="1">
      <c r="A2844" s="15"/>
      <c r="B2844" s="16">
        <v>440</v>
      </c>
      <c r="C2844" s="16">
        <v>682</v>
      </c>
      <c r="D2844" s="16">
        <v>26358</v>
      </c>
      <c r="E2844" s="18"/>
      <c r="F2844" s="18" t="s">
        <v>9392</v>
      </c>
      <c r="G2844" s="18" t="s">
        <v>9393</v>
      </c>
      <c r="H2844" s="18" t="s">
        <v>49</v>
      </c>
      <c r="I2844" s="18"/>
      <c r="J2844" s="16">
        <v>2022</v>
      </c>
      <c r="K2844" s="18" t="s">
        <v>9394</v>
      </c>
      <c r="L2844" s="16">
        <v>9785961482669</v>
      </c>
      <c r="M2844" s="18" t="s">
        <v>9395</v>
      </c>
      <c r="N2844" s="16">
        <v>32</v>
      </c>
      <c r="O2844" s="19">
        <v>0.27</v>
      </c>
      <c r="P2844" s="16">
        <v>205</v>
      </c>
      <c r="Q2844" s="16">
        <v>266</v>
      </c>
      <c r="R2844" s="16">
        <v>15</v>
      </c>
      <c r="S2844" s="18" t="s">
        <v>328</v>
      </c>
      <c r="T2844" s="18"/>
      <c r="U2844" s="17">
        <v>1000</v>
      </c>
      <c r="V2844" s="18" t="s">
        <v>77</v>
      </c>
      <c r="W2844" s="18" t="s">
        <v>8203</v>
      </c>
      <c r="X2844" s="16">
        <v>10</v>
      </c>
      <c r="Y2844" s="18" t="s">
        <v>7922</v>
      </c>
      <c r="Z2844" s="18"/>
      <c r="AS2844" s="1">
        <f>IF($A2844&lt;&gt;0,1,0)</f>
        <v>0</v>
      </c>
      <c r="AT2844" s="1">
        <f>$A2844*$B2844</f>
        <v>0</v>
      </c>
      <c r="AU2844" s="1">
        <f>$A2844*$O2844</f>
        <v>0</v>
      </c>
      <c r="AV2844" s="1">
        <f>IF($R2844=0,0,INT($A2844/$R2844))</f>
        <v>0</v>
      </c>
      <c r="AW2844" s="1">
        <f>$A2844-$AV2844*$R2844</f>
        <v>0</v>
      </c>
    </row>
    <row r="2845" ht="24.95" customHeight="1" outlineLevel="3" s="1" customFormat="1">
      <c r="A2845" s="15"/>
      <c r="B2845" s="16">
        <v>620</v>
      </c>
      <c r="C2845" s="16">
        <v>930</v>
      </c>
      <c r="D2845" s="16">
        <v>28684</v>
      </c>
      <c r="E2845" s="18"/>
      <c r="F2845" s="18" t="s">
        <v>8682</v>
      </c>
      <c r="G2845" s="18" t="s">
        <v>9396</v>
      </c>
      <c r="H2845" s="18" t="s">
        <v>49</v>
      </c>
      <c r="I2845" s="18"/>
      <c r="J2845" s="16">
        <v>2024</v>
      </c>
      <c r="K2845" s="18" t="s">
        <v>9397</v>
      </c>
      <c r="L2845" s="16">
        <v>9785961489682</v>
      </c>
      <c r="M2845" s="18" t="s">
        <v>9398</v>
      </c>
      <c r="N2845" s="16">
        <v>56</v>
      </c>
      <c r="O2845" s="19">
        <v>0.33</v>
      </c>
      <c r="P2845" s="16">
        <v>210</v>
      </c>
      <c r="Q2845" s="16">
        <v>270</v>
      </c>
      <c r="R2845" s="16">
        <v>15</v>
      </c>
      <c r="S2845" s="18" t="s">
        <v>328</v>
      </c>
      <c r="T2845" s="18" t="s">
        <v>9383</v>
      </c>
      <c r="U2845" s="17">
        <v>3000</v>
      </c>
      <c r="V2845" s="18" t="s">
        <v>77</v>
      </c>
      <c r="W2845" s="18" t="s">
        <v>184</v>
      </c>
      <c r="X2845" s="16">
        <v>10</v>
      </c>
      <c r="Y2845" s="18" t="s">
        <v>8214</v>
      </c>
      <c r="Z2845" s="18"/>
      <c r="AS2845" s="1">
        <f>IF($A2845&lt;&gt;0,1,0)</f>
        <v>0</v>
      </c>
      <c r="AT2845" s="1">
        <f>$A2845*$B2845</f>
        <v>0</v>
      </c>
      <c r="AU2845" s="1">
        <f>$A2845*$O2845</f>
        <v>0</v>
      </c>
      <c r="AV2845" s="1">
        <f>IF($R2845=0,0,INT($A2845/$R2845))</f>
        <v>0</v>
      </c>
      <c r="AW2845" s="1">
        <f>$A2845-$AV2845*$R2845</f>
        <v>0</v>
      </c>
    </row>
    <row r="2846" ht="24.95" customHeight="1" outlineLevel="3" s="1" customFormat="1">
      <c r="A2846" s="15"/>
      <c r="B2846" s="16">
        <v>590</v>
      </c>
      <c r="C2846" s="16">
        <v>885</v>
      </c>
      <c r="D2846" s="16">
        <v>28244</v>
      </c>
      <c r="E2846" s="18"/>
      <c r="F2846" s="18" t="s">
        <v>8682</v>
      </c>
      <c r="G2846" s="18" t="s">
        <v>9065</v>
      </c>
      <c r="H2846" s="18" t="s">
        <v>49</v>
      </c>
      <c r="I2846" s="18"/>
      <c r="J2846" s="16">
        <v>2025</v>
      </c>
      <c r="K2846" s="18" t="s">
        <v>9399</v>
      </c>
      <c r="L2846" s="16">
        <v>9785961487657</v>
      </c>
      <c r="M2846" s="18" t="s">
        <v>9400</v>
      </c>
      <c r="N2846" s="16">
        <v>32</v>
      </c>
      <c r="O2846" s="19">
        <v>0.33</v>
      </c>
      <c r="P2846" s="16">
        <v>180</v>
      </c>
      <c r="Q2846" s="16">
        <v>170</v>
      </c>
      <c r="R2846" s="16">
        <v>10</v>
      </c>
      <c r="S2846" s="18" t="s">
        <v>52</v>
      </c>
      <c r="T2846" s="18"/>
      <c r="U2846" s="17">
        <v>3700</v>
      </c>
      <c r="V2846" s="18" t="s">
        <v>44</v>
      </c>
      <c r="W2846" s="18" t="s">
        <v>184</v>
      </c>
      <c r="X2846" s="16">
        <v>10</v>
      </c>
      <c r="Y2846" s="18" t="s">
        <v>7967</v>
      </c>
      <c r="Z2846" s="18"/>
      <c r="AS2846" s="1">
        <f>IF($A2846&lt;&gt;0,1,0)</f>
        <v>0</v>
      </c>
      <c r="AT2846" s="1">
        <f>$A2846*$B2846</f>
        <v>0</v>
      </c>
      <c r="AU2846" s="1">
        <f>$A2846*$O2846</f>
        <v>0</v>
      </c>
      <c r="AV2846" s="1">
        <f>IF($R2846=0,0,INT($A2846/$R2846))</f>
        <v>0</v>
      </c>
      <c r="AW2846" s="1">
        <f>$A2846-$AV2846*$R2846</f>
        <v>0</v>
      </c>
    </row>
    <row r="2847" ht="24.95" customHeight="1" outlineLevel="3" s="1" customFormat="1">
      <c r="A2847" s="15"/>
      <c r="B2847" s="16">
        <v>440</v>
      </c>
      <c r="C2847" s="16">
        <v>682</v>
      </c>
      <c r="D2847" s="16">
        <v>34948</v>
      </c>
      <c r="E2847" s="18"/>
      <c r="F2847" s="18" t="s">
        <v>9401</v>
      </c>
      <c r="G2847" s="18" t="s">
        <v>9402</v>
      </c>
      <c r="H2847" s="18" t="s">
        <v>49</v>
      </c>
      <c r="I2847" s="18"/>
      <c r="J2847" s="16">
        <v>2025</v>
      </c>
      <c r="K2847" s="18" t="s">
        <v>9403</v>
      </c>
      <c r="L2847" s="16">
        <v>9785006309562</v>
      </c>
      <c r="M2847" s="18" t="s">
        <v>9404</v>
      </c>
      <c r="N2847" s="16">
        <v>32</v>
      </c>
      <c r="O2847" s="19">
        <v>0.21</v>
      </c>
      <c r="P2847" s="16">
        <v>170</v>
      </c>
      <c r="Q2847" s="16">
        <v>220</v>
      </c>
      <c r="R2847" s="16">
        <v>16</v>
      </c>
      <c r="S2847" s="18" t="s">
        <v>52</v>
      </c>
      <c r="T2847" s="18"/>
      <c r="U2847" s="17">
        <v>1000</v>
      </c>
      <c r="V2847" s="18" t="s">
        <v>77</v>
      </c>
      <c r="W2847" s="18" t="s">
        <v>55</v>
      </c>
      <c r="X2847" s="16">
        <v>10</v>
      </c>
      <c r="Y2847" s="18" t="s">
        <v>9289</v>
      </c>
      <c r="Z2847" s="18"/>
      <c r="AS2847" s="1">
        <f>IF($A2847&lt;&gt;0,1,0)</f>
        <v>0</v>
      </c>
      <c r="AT2847" s="1">
        <f>$A2847*$B2847</f>
        <v>0</v>
      </c>
      <c r="AU2847" s="1">
        <f>$A2847*$O2847</f>
        <v>0</v>
      </c>
      <c r="AV2847" s="1">
        <f>IF($R2847=0,0,INT($A2847/$R2847))</f>
        <v>0</v>
      </c>
      <c r="AW2847" s="1">
        <f>$A2847-$AV2847*$R2847</f>
        <v>0</v>
      </c>
    </row>
    <row r="2848" ht="24.95" customHeight="1" outlineLevel="3" s="1" customFormat="1">
      <c r="A2848" s="15"/>
      <c r="B2848" s="16">
        <v>540</v>
      </c>
      <c r="C2848" s="16">
        <v>837</v>
      </c>
      <c r="D2848" s="16">
        <v>31575</v>
      </c>
      <c r="E2848" s="18"/>
      <c r="F2848" s="18" t="s">
        <v>9405</v>
      </c>
      <c r="G2848" s="18" t="s">
        <v>9406</v>
      </c>
      <c r="H2848" s="18" t="s">
        <v>49</v>
      </c>
      <c r="I2848" s="18" t="s">
        <v>160</v>
      </c>
      <c r="J2848" s="16">
        <v>2025</v>
      </c>
      <c r="K2848" s="18" t="s">
        <v>9407</v>
      </c>
      <c r="L2848" s="16">
        <v>9785961499308</v>
      </c>
      <c r="M2848" s="18" t="s">
        <v>9408</v>
      </c>
      <c r="N2848" s="16">
        <v>32</v>
      </c>
      <c r="O2848" s="19">
        <v>0.23</v>
      </c>
      <c r="P2848" s="16">
        <v>180</v>
      </c>
      <c r="Q2848" s="16">
        <v>220</v>
      </c>
      <c r="R2848" s="16">
        <v>20</v>
      </c>
      <c r="S2848" s="18" t="s">
        <v>328</v>
      </c>
      <c r="T2848" s="18" t="s">
        <v>9383</v>
      </c>
      <c r="U2848" s="17">
        <v>2000</v>
      </c>
      <c r="V2848" s="18" t="s">
        <v>77</v>
      </c>
      <c r="W2848" s="18" t="s">
        <v>184</v>
      </c>
      <c r="X2848" s="16">
        <v>10</v>
      </c>
      <c r="Y2848" s="18" t="s">
        <v>7951</v>
      </c>
      <c r="Z2848" s="18"/>
      <c r="AS2848" s="1">
        <f>IF($A2848&lt;&gt;0,1,0)</f>
        <v>0</v>
      </c>
      <c r="AT2848" s="1">
        <f>$A2848*$B2848</f>
        <v>0</v>
      </c>
      <c r="AU2848" s="1">
        <f>$A2848*$O2848</f>
        <v>0</v>
      </c>
      <c r="AV2848" s="1">
        <f>IF($R2848=0,0,INT($A2848/$R2848))</f>
        <v>0</v>
      </c>
      <c r="AW2848" s="1">
        <f>$A2848-$AV2848*$R2848</f>
        <v>0</v>
      </c>
    </row>
    <row r="2849" ht="24.95" customHeight="1" outlineLevel="3" s="1" customFormat="1">
      <c r="A2849" s="15"/>
      <c r="B2849" s="16">
        <v>540</v>
      </c>
      <c r="C2849" s="16">
        <v>837</v>
      </c>
      <c r="D2849" s="16">
        <v>31578</v>
      </c>
      <c r="E2849" s="18"/>
      <c r="F2849" s="18" t="s">
        <v>9405</v>
      </c>
      <c r="G2849" s="18" t="s">
        <v>9409</v>
      </c>
      <c r="H2849" s="18" t="s">
        <v>49</v>
      </c>
      <c r="I2849" s="18" t="s">
        <v>160</v>
      </c>
      <c r="J2849" s="16">
        <v>2025</v>
      </c>
      <c r="K2849" s="18" t="s">
        <v>9410</v>
      </c>
      <c r="L2849" s="16">
        <v>9785961499339</v>
      </c>
      <c r="M2849" s="18" t="s">
        <v>9411</v>
      </c>
      <c r="N2849" s="16">
        <v>32</v>
      </c>
      <c r="O2849" s="19">
        <v>0.23</v>
      </c>
      <c r="P2849" s="16">
        <v>180</v>
      </c>
      <c r="Q2849" s="16">
        <v>220</v>
      </c>
      <c r="R2849" s="16">
        <v>20</v>
      </c>
      <c r="S2849" s="18" t="s">
        <v>328</v>
      </c>
      <c r="T2849" s="18" t="s">
        <v>9383</v>
      </c>
      <c r="U2849" s="17">
        <v>2000</v>
      </c>
      <c r="V2849" s="18" t="s">
        <v>77</v>
      </c>
      <c r="W2849" s="18" t="s">
        <v>184</v>
      </c>
      <c r="X2849" s="16">
        <v>10</v>
      </c>
      <c r="Y2849" s="18" t="s">
        <v>7951</v>
      </c>
      <c r="Z2849" s="18"/>
      <c r="AS2849" s="1">
        <f>IF($A2849&lt;&gt;0,1,0)</f>
        <v>0</v>
      </c>
      <c r="AT2849" s="1">
        <f>$A2849*$B2849</f>
        <v>0</v>
      </c>
      <c r="AU2849" s="1">
        <f>$A2849*$O2849</f>
        <v>0</v>
      </c>
      <c r="AV2849" s="1">
        <f>IF($R2849=0,0,INT($A2849/$R2849))</f>
        <v>0</v>
      </c>
      <c r="AW2849" s="1">
        <f>$A2849-$AV2849*$R2849</f>
        <v>0</v>
      </c>
    </row>
    <row r="2850" ht="24.95" customHeight="1" outlineLevel="3" s="1" customFormat="1">
      <c r="A2850" s="15"/>
      <c r="B2850" s="16">
        <v>540</v>
      </c>
      <c r="C2850" s="16">
        <v>837</v>
      </c>
      <c r="D2850" s="16">
        <v>31576</v>
      </c>
      <c r="E2850" s="18"/>
      <c r="F2850" s="18" t="s">
        <v>9405</v>
      </c>
      <c r="G2850" s="18" t="s">
        <v>9412</v>
      </c>
      <c r="H2850" s="18" t="s">
        <v>49</v>
      </c>
      <c r="I2850" s="18" t="s">
        <v>160</v>
      </c>
      <c r="J2850" s="16">
        <v>2025</v>
      </c>
      <c r="K2850" s="18" t="s">
        <v>9413</v>
      </c>
      <c r="L2850" s="16">
        <v>9785961499315</v>
      </c>
      <c r="M2850" s="18" t="s">
        <v>9414</v>
      </c>
      <c r="N2850" s="16">
        <v>32</v>
      </c>
      <c r="O2850" s="19">
        <v>0.23</v>
      </c>
      <c r="P2850" s="16">
        <v>180</v>
      </c>
      <c r="Q2850" s="16">
        <v>220</v>
      </c>
      <c r="R2850" s="16">
        <v>20</v>
      </c>
      <c r="S2850" s="18" t="s">
        <v>328</v>
      </c>
      <c r="T2850" s="18" t="s">
        <v>9383</v>
      </c>
      <c r="U2850" s="17">
        <v>2000</v>
      </c>
      <c r="V2850" s="18" t="s">
        <v>77</v>
      </c>
      <c r="W2850" s="18" t="s">
        <v>184</v>
      </c>
      <c r="X2850" s="16">
        <v>10</v>
      </c>
      <c r="Y2850" s="18" t="s">
        <v>7951</v>
      </c>
      <c r="Z2850" s="18"/>
      <c r="AS2850" s="1">
        <f>IF($A2850&lt;&gt;0,1,0)</f>
        <v>0</v>
      </c>
      <c r="AT2850" s="1">
        <f>$A2850*$B2850</f>
        <v>0</v>
      </c>
      <c r="AU2850" s="1">
        <f>$A2850*$O2850</f>
        <v>0</v>
      </c>
      <c r="AV2850" s="1">
        <f>IF($R2850=0,0,INT($A2850/$R2850))</f>
        <v>0</v>
      </c>
      <c r="AW2850" s="1">
        <f>$A2850-$AV2850*$R2850</f>
        <v>0</v>
      </c>
    </row>
    <row r="2851" ht="24.95" customHeight="1" outlineLevel="3" s="1" customFormat="1">
      <c r="A2851" s="15"/>
      <c r="B2851" s="16">
        <v>540</v>
      </c>
      <c r="C2851" s="16">
        <v>837</v>
      </c>
      <c r="D2851" s="16">
        <v>31577</v>
      </c>
      <c r="E2851" s="18"/>
      <c r="F2851" s="18" t="s">
        <v>9405</v>
      </c>
      <c r="G2851" s="18" t="s">
        <v>9415</v>
      </c>
      <c r="H2851" s="18" t="s">
        <v>49</v>
      </c>
      <c r="I2851" s="18" t="s">
        <v>160</v>
      </c>
      <c r="J2851" s="16">
        <v>2026</v>
      </c>
      <c r="K2851" s="18" t="s">
        <v>9416</v>
      </c>
      <c r="L2851" s="16">
        <v>9785961499322</v>
      </c>
      <c r="M2851" s="18" t="s">
        <v>9417</v>
      </c>
      <c r="N2851" s="16">
        <v>32</v>
      </c>
      <c r="O2851" s="19">
        <v>0.23</v>
      </c>
      <c r="P2851" s="16">
        <v>180</v>
      </c>
      <c r="Q2851" s="16">
        <v>220</v>
      </c>
      <c r="R2851" s="16">
        <v>16</v>
      </c>
      <c r="S2851" s="18" t="s">
        <v>328</v>
      </c>
      <c r="T2851" s="18" t="s">
        <v>9383</v>
      </c>
      <c r="U2851" s="17">
        <v>1500</v>
      </c>
      <c r="V2851" s="18" t="s">
        <v>77</v>
      </c>
      <c r="W2851" s="18" t="s">
        <v>184</v>
      </c>
      <c r="X2851" s="16">
        <v>10</v>
      </c>
      <c r="Y2851" s="18" t="s">
        <v>7951</v>
      </c>
      <c r="Z2851" s="18"/>
      <c r="AS2851" s="1">
        <f>IF($A2851&lt;&gt;0,1,0)</f>
        <v>0</v>
      </c>
      <c r="AT2851" s="1">
        <f>$A2851*$B2851</f>
        <v>0</v>
      </c>
      <c r="AU2851" s="1">
        <f>$A2851*$O2851</f>
        <v>0</v>
      </c>
      <c r="AV2851" s="1">
        <f>IF($R2851=0,0,INT($A2851/$R2851))</f>
        <v>0</v>
      </c>
      <c r="AW2851" s="1">
        <f>$A2851-$AV2851*$R2851</f>
        <v>0</v>
      </c>
    </row>
    <row r="2852" ht="24.95" customHeight="1" outlineLevel="3" s="1" customFormat="1">
      <c r="A2852" s="15"/>
      <c r="B2852" s="16">
        <v>690</v>
      </c>
      <c r="C2852" s="17">
        <v>1035</v>
      </c>
      <c r="D2852" s="16">
        <v>26948</v>
      </c>
      <c r="E2852" s="18"/>
      <c r="F2852" s="18" t="s">
        <v>8682</v>
      </c>
      <c r="G2852" s="18" t="s">
        <v>9418</v>
      </c>
      <c r="H2852" s="18" t="s">
        <v>49</v>
      </c>
      <c r="I2852" s="18"/>
      <c r="J2852" s="16">
        <v>2026</v>
      </c>
      <c r="K2852" s="18" t="s">
        <v>9419</v>
      </c>
      <c r="L2852" s="16">
        <v>9785961483451</v>
      </c>
      <c r="M2852" s="18" t="s">
        <v>9420</v>
      </c>
      <c r="N2852" s="16">
        <v>72</v>
      </c>
      <c r="O2852" s="19">
        <v>0.39</v>
      </c>
      <c r="P2852" s="16">
        <v>210</v>
      </c>
      <c r="Q2852" s="16">
        <v>270</v>
      </c>
      <c r="R2852" s="16">
        <v>10</v>
      </c>
      <c r="S2852" s="18" t="s">
        <v>328</v>
      </c>
      <c r="T2852" s="18" t="s">
        <v>9383</v>
      </c>
      <c r="U2852" s="17">
        <v>3000</v>
      </c>
      <c r="V2852" s="18" t="s">
        <v>77</v>
      </c>
      <c r="W2852" s="18" t="s">
        <v>55</v>
      </c>
      <c r="X2852" s="16">
        <v>10</v>
      </c>
      <c r="Y2852" s="18" t="s">
        <v>528</v>
      </c>
      <c r="Z2852" s="18"/>
      <c r="AS2852" s="1">
        <f>IF($A2852&lt;&gt;0,1,0)</f>
        <v>0</v>
      </c>
      <c r="AT2852" s="1">
        <f>$A2852*$B2852</f>
        <v>0</v>
      </c>
      <c r="AU2852" s="1">
        <f>$A2852*$O2852</f>
        <v>0</v>
      </c>
      <c r="AV2852" s="1">
        <f>IF($R2852=0,0,INT($A2852/$R2852))</f>
        <v>0</v>
      </c>
      <c r="AW2852" s="1">
        <f>$A2852-$AV2852*$R2852</f>
        <v>0</v>
      </c>
    </row>
    <row r="2853" ht="11.1" customHeight="1" outlineLevel="2">
      <c r="A2853" s="41" t="s">
        <v>9421</v>
      </c>
      <c r="B2853" s="41"/>
      <c r="C2853" s="41"/>
      <c r="D2853" s="41"/>
      <c r="E2853" s="41"/>
      <c r="F2853" s="41"/>
      <c r="G2853" s="41"/>
      <c r="H2853" s="41"/>
      <c r="I2853" s="41"/>
      <c r="J2853" s="41"/>
      <c r="K2853" s="41"/>
      <c r="L2853" s="41"/>
      <c r="M2853" s="41"/>
      <c r="N2853" s="41"/>
      <c r="O2853" s="41"/>
      <c r="P2853" s="41"/>
      <c r="Q2853" s="41"/>
      <c r="R2853" s="41"/>
      <c r="S2853" s="41"/>
      <c r="T2853" s="41"/>
      <c r="U2853" s="41"/>
      <c r="V2853" s="41"/>
      <c r="W2853" s="41"/>
      <c r="X2853" s="41"/>
      <c r="Y2853" s="41"/>
      <c r="Z2853" s="24"/>
    </row>
    <row r="2854" ht="21.95" customHeight="1" outlineLevel="3" s="1" customFormat="1">
      <c r="A2854" s="15"/>
      <c r="B2854" s="16">
        <v>400</v>
      </c>
      <c r="C2854" s="16">
        <v>400</v>
      </c>
      <c r="D2854" s="18" t="s">
        <v>9422</v>
      </c>
      <c r="E2854" s="18"/>
      <c r="F2854" s="18" t="s">
        <v>9423</v>
      </c>
      <c r="G2854" s="18" t="s">
        <v>9424</v>
      </c>
      <c r="H2854" s="18" t="s">
        <v>9425</v>
      </c>
      <c r="I2854" s="18" t="s">
        <v>160</v>
      </c>
      <c r="J2854" s="15"/>
      <c r="K2854" s="18" t="s">
        <v>9426</v>
      </c>
      <c r="L2854" s="16">
        <v>9785907471115</v>
      </c>
      <c r="M2854" s="18" t="s">
        <v>9427</v>
      </c>
      <c r="N2854" s="16">
        <v>48</v>
      </c>
      <c r="O2854" s="19">
        <v>0.24</v>
      </c>
      <c r="P2854" s="16">
        <v>28</v>
      </c>
      <c r="Q2854" s="16">
        <v>22</v>
      </c>
      <c r="R2854" s="16">
        <v>18</v>
      </c>
      <c r="S2854" s="18" t="s">
        <v>9428</v>
      </c>
      <c r="T2854" s="18"/>
      <c r="U2854" s="17">
        <v>2850</v>
      </c>
      <c r="V2854" s="18" t="s">
        <v>77</v>
      </c>
      <c r="W2854" s="18" t="s">
        <v>55</v>
      </c>
      <c r="X2854" s="16">
        <v>10</v>
      </c>
      <c r="Y2854" s="43" t="str">
        <f>HYPERLINK("","")</f>
      </c>
      <c r="Z2854" s="18"/>
      <c r="AS2854" s="1">
        <f>IF($A2854&lt;&gt;0,1,0)</f>
        <v>0</v>
      </c>
      <c r="AT2854" s="1">
        <f>$A2854*$B2854</f>
        <v>0</v>
      </c>
      <c r="AU2854" s="1">
        <f>$A2854*$O2854</f>
        <v>0</v>
      </c>
      <c r="AV2854" s="1">
        <f>IF($R2854=0,0,INT($A2854/$R2854))</f>
        <v>0</v>
      </c>
      <c r="AW2854" s="1">
        <f>$A2854-$AV2854*$R2854</f>
        <v>0</v>
      </c>
    </row>
    <row r="2855" ht="21.95" customHeight="1" outlineLevel="3" s="1" customFormat="1">
      <c r="A2855" s="15"/>
      <c r="B2855" s="16">
        <v>400</v>
      </c>
      <c r="C2855" s="16">
        <v>400</v>
      </c>
      <c r="D2855" s="18" t="s">
        <v>9429</v>
      </c>
      <c r="E2855" s="18"/>
      <c r="F2855" s="18" t="s">
        <v>9430</v>
      </c>
      <c r="G2855" s="18" t="s">
        <v>9431</v>
      </c>
      <c r="H2855" s="18" t="s">
        <v>9425</v>
      </c>
      <c r="I2855" s="18" t="s">
        <v>160</v>
      </c>
      <c r="J2855" s="15"/>
      <c r="K2855" s="18" t="s">
        <v>9432</v>
      </c>
      <c r="L2855" s="16">
        <v>9785907471122</v>
      </c>
      <c r="M2855" s="18" t="s">
        <v>9433</v>
      </c>
      <c r="N2855" s="16">
        <v>48</v>
      </c>
      <c r="O2855" s="19">
        <v>0.24</v>
      </c>
      <c r="P2855" s="16">
        <v>28</v>
      </c>
      <c r="Q2855" s="16">
        <v>22</v>
      </c>
      <c r="R2855" s="16">
        <v>18</v>
      </c>
      <c r="S2855" s="18" t="s">
        <v>9428</v>
      </c>
      <c r="T2855" s="18"/>
      <c r="U2855" s="17">
        <v>2850</v>
      </c>
      <c r="V2855" s="18" t="s">
        <v>77</v>
      </c>
      <c r="W2855" s="18" t="s">
        <v>55</v>
      </c>
      <c r="X2855" s="16">
        <v>10</v>
      </c>
      <c r="Y2855" s="43" t="str">
        <f>HYPERLINK("","")</f>
      </c>
      <c r="Z2855" s="18"/>
      <c r="AS2855" s="1">
        <f>IF($A2855&lt;&gt;0,1,0)</f>
        <v>0</v>
      </c>
      <c r="AT2855" s="1">
        <f>$A2855*$B2855</f>
        <v>0</v>
      </c>
      <c r="AU2855" s="1">
        <f>$A2855*$O2855</f>
        <v>0</v>
      </c>
      <c r="AV2855" s="1">
        <f>IF($R2855=0,0,INT($A2855/$R2855))</f>
        <v>0</v>
      </c>
      <c r="AW2855" s="1">
        <f>$A2855-$AV2855*$R2855</f>
        <v>0</v>
      </c>
    </row>
    <row r="2856" ht="11.1" customHeight="1" outlineLevel="2">
      <c r="A2856" s="41" t="s">
        <v>9434</v>
      </c>
      <c r="B2856" s="41"/>
      <c r="C2856" s="41"/>
      <c r="D2856" s="41"/>
      <c r="E2856" s="41"/>
      <c r="F2856" s="41"/>
      <c r="G2856" s="41"/>
      <c r="H2856" s="41"/>
      <c r="I2856" s="41"/>
      <c r="J2856" s="41"/>
      <c r="K2856" s="41"/>
      <c r="L2856" s="41"/>
      <c r="M2856" s="41"/>
      <c r="N2856" s="41"/>
      <c r="O2856" s="41"/>
      <c r="P2856" s="41"/>
      <c r="Q2856" s="41"/>
      <c r="R2856" s="41"/>
      <c r="S2856" s="41"/>
      <c r="T2856" s="41"/>
      <c r="U2856" s="41"/>
      <c r="V2856" s="41"/>
      <c r="W2856" s="41"/>
      <c r="X2856" s="41"/>
      <c r="Y2856" s="41"/>
      <c r="Z2856" s="24"/>
    </row>
    <row r="2857" ht="24.95" customHeight="1" outlineLevel="3" s="1" customFormat="1">
      <c r="A2857" s="25"/>
      <c r="B2857" s="26">
        <v>440</v>
      </c>
      <c r="C2857" s="26">
        <v>682</v>
      </c>
      <c r="D2857" s="26">
        <v>23958</v>
      </c>
      <c r="E2857" s="27"/>
      <c r="F2857" s="27" t="s">
        <v>9435</v>
      </c>
      <c r="G2857" s="27" t="s">
        <v>9436</v>
      </c>
      <c r="H2857" s="27" t="s">
        <v>49</v>
      </c>
      <c r="I2857" s="27" t="s">
        <v>74</v>
      </c>
      <c r="J2857" s="26">
        <v>2022</v>
      </c>
      <c r="K2857" s="27" t="s">
        <v>9437</v>
      </c>
      <c r="L2857" s="26">
        <v>9785961475784</v>
      </c>
      <c r="M2857" s="27" t="s">
        <v>9438</v>
      </c>
      <c r="N2857" s="26">
        <v>48</v>
      </c>
      <c r="O2857" s="28">
        <v>0.34</v>
      </c>
      <c r="P2857" s="26">
        <v>206</v>
      </c>
      <c r="Q2857" s="26">
        <v>207</v>
      </c>
      <c r="R2857" s="26">
        <v>14</v>
      </c>
      <c r="S2857" s="27" t="s">
        <v>83</v>
      </c>
      <c r="T2857" s="27" t="s">
        <v>9439</v>
      </c>
      <c r="U2857" s="29">
        <v>3000</v>
      </c>
      <c r="V2857" s="27" t="s">
        <v>77</v>
      </c>
      <c r="W2857" s="27" t="s">
        <v>55</v>
      </c>
      <c r="X2857" s="26">
        <v>10</v>
      </c>
      <c r="Y2857" s="27" t="s">
        <v>7951</v>
      </c>
      <c r="Z2857" s="27"/>
      <c r="AS2857" s="1">
        <f>IF($A2857&lt;&gt;0,1,0)</f>
        <v>0</v>
      </c>
      <c r="AT2857" s="1">
        <f>$A2857*$B2857</f>
        <v>0</v>
      </c>
      <c r="AU2857" s="1">
        <f>$A2857*$O2857</f>
        <v>0</v>
      </c>
      <c r="AV2857" s="1">
        <f>IF($R2857=0,0,INT($A2857/$R2857))</f>
        <v>0</v>
      </c>
      <c r="AW2857" s="1">
        <f>$A2857-$AV2857*$R2857</f>
        <v>0</v>
      </c>
    </row>
    <row r="2858" ht="24.95" customHeight="1" outlineLevel="3" s="1" customFormat="1">
      <c r="A2858" s="15"/>
      <c r="B2858" s="16">
        <v>790</v>
      </c>
      <c r="C2858" s="17">
        <v>1146</v>
      </c>
      <c r="D2858" s="16">
        <v>25555</v>
      </c>
      <c r="E2858" s="18"/>
      <c r="F2858" s="18" t="s">
        <v>9440</v>
      </c>
      <c r="G2858" s="18" t="s">
        <v>9441</v>
      </c>
      <c r="H2858" s="18" t="s">
        <v>49</v>
      </c>
      <c r="I2858" s="18" t="s">
        <v>1696</v>
      </c>
      <c r="J2858" s="16">
        <v>2026</v>
      </c>
      <c r="K2858" s="18" t="s">
        <v>9442</v>
      </c>
      <c r="L2858" s="16">
        <v>9785961478068</v>
      </c>
      <c r="M2858" s="18" t="s">
        <v>9443</v>
      </c>
      <c r="N2858" s="16">
        <v>72</v>
      </c>
      <c r="O2858" s="19">
        <v>0.39</v>
      </c>
      <c r="P2858" s="16">
        <v>250</v>
      </c>
      <c r="Q2858" s="16">
        <v>230</v>
      </c>
      <c r="R2858" s="16">
        <v>15</v>
      </c>
      <c r="S2858" s="18" t="s">
        <v>83</v>
      </c>
      <c r="T2858" s="18" t="s">
        <v>9444</v>
      </c>
      <c r="U2858" s="17">
        <v>1500</v>
      </c>
      <c r="V2858" s="18" t="s">
        <v>77</v>
      </c>
      <c r="W2858" s="18" t="s">
        <v>184</v>
      </c>
      <c r="X2858" s="16">
        <v>10</v>
      </c>
      <c r="Y2858" s="18" t="s">
        <v>8069</v>
      </c>
      <c r="Z2858" s="18"/>
      <c r="AS2858" s="1">
        <f>IF($A2858&lt;&gt;0,1,0)</f>
        <v>0</v>
      </c>
      <c r="AT2858" s="1">
        <f>$A2858*$B2858</f>
        <v>0</v>
      </c>
      <c r="AU2858" s="1">
        <f>$A2858*$O2858</f>
        <v>0</v>
      </c>
      <c r="AV2858" s="1">
        <f>IF($R2858=0,0,INT($A2858/$R2858))</f>
        <v>0</v>
      </c>
      <c r="AW2858" s="1">
        <f>$A2858-$AV2858*$R2858</f>
        <v>0</v>
      </c>
    </row>
    <row r="2859" ht="24.95" customHeight="1" outlineLevel="3" s="1" customFormat="1">
      <c r="A2859" s="15"/>
      <c r="B2859" s="16">
        <v>520</v>
      </c>
      <c r="C2859" s="16">
        <v>806</v>
      </c>
      <c r="D2859" s="16">
        <v>28968</v>
      </c>
      <c r="E2859" s="18"/>
      <c r="F2859" s="18" t="s">
        <v>9445</v>
      </c>
      <c r="G2859" s="18" t="s">
        <v>9446</v>
      </c>
      <c r="H2859" s="18" t="s">
        <v>49</v>
      </c>
      <c r="I2859" s="18" t="s">
        <v>87</v>
      </c>
      <c r="J2859" s="16">
        <v>2024</v>
      </c>
      <c r="K2859" s="18" t="s">
        <v>9447</v>
      </c>
      <c r="L2859" s="16">
        <v>9785961490930</v>
      </c>
      <c r="M2859" s="18" t="s">
        <v>9448</v>
      </c>
      <c r="N2859" s="16">
        <v>32</v>
      </c>
      <c r="O2859" s="19">
        <v>0.3</v>
      </c>
      <c r="P2859" s="16">
        <v>220</v>
      </c>
      <c r="Q2859" s="16">
        <v>260</v>
      </c>
      <c r="R2859" s="16">
        <v>18</v>
      </c>
      <c r="S2859" s="18" t="s">
        <v>83</v>
      </c>
      <c r="T2859" s="18" t="s">
        <v>9449</v>
      </c>
      <c r="U2859" s="17">
        <v>3000</v>
      </c>
      <c r="V2859" s="18" t="s">
        <v>77</v>
      </c>
      <c r="W2859" s="18" t="s">
        <v>184</v>
      </c>
      <c r="X2859" s="16">
        <v>10</v>
      </c>
      <c r="Y2859" s="18" t="s">
        <v>7951</v>
      </c>
      <c r="Z2859" s="18"/>
      <c r="AS2859" s="1">
        <f>IF($A2859&lt;&gt;0,1,0)</f>
        <v>0</v>
      </c>
      <c r="AT2859" s="1">
        <f>$A2859*$B2859</f>
        <v>0</v>
      </c>
      <c r="AU2859" s="1">
        <f>$A2859*$O2859</f>
        <v>0</v>
      </c>
      <c r="AV2859" s="1">
        <f>IF($R2859=0,0,INT($A2859/$R2859))</f>
        <v>0</v>
      </c>
      <c r="AW2859" s="1">
        <f>$A2859-$AV2859*$R2859</f>
        <v>0</v>
      </c>
    </row>
    <row r="2860" ht="24.95" customHeight="1" outlineLevel="3" s="1" customFormat="1">
      <c r="A2860" s="15"/>
      <c r="B2860" s="16">
        <v>520</v>
      </c>
      <c r="C2860" s="16">
        <v>806</v>
      </c>
      <c r="D2860" s="16">
        <v>28967</v>
      </c>
      <c r="E2860" s="18"/>
      <c r="F2860" s="18" t="s">
        <v>9445</v>
      </c>
      <c r="G2860" s="18" t="s">
        <v>9450</v>
      </c>
      <c r="H2860" s="18" t="s">
        <v>49</v>
      </c>
      <c r="I2860" s="18" t="s">
        <v>87</v>
      </c>
      <c r="J2860" s="16">
        <v>2024</v>
      </c>
      <c r="K2860" s="18" t="s">
        <v>9451</v>
      </c>
      <c r="L2860" s="16">
        <v>9785961490923</v>
      </c>
      <c r="M2860" s="18" t="s">
        <v>9452</v>
      </c>
      <c r="N2860" s="16">
        <v>32</v>
      </c>
      <c r="O2860" s="19">
        <v>0.3</v>
      </c>
      <c r="P2860" s="16">
        <v>220</v>
      </c>
      <c r="Q2860" s="16">
        <v>260</v>
      </c>
      <c r="R2860" s="16">
        <v>18</v>
      </c>
      <c r="S2860" s="18" t="s">
        <v>83</v>
      </c>
      <c r="T2860" s="18" t="s">
        <v>9449</v>
      </c>
      <c r="U2860" s="17">
        <v>3000</v>
      </c>
      <c r="V2860" s="18" t="s">
        <v>77</v>
      </c>
      <c r="W2860" s="18" t="s">
        <v>184</v>
      </c>
      <c r="X2860" s="16">
        <v>10</v>
      </c>
      <c r="Y2860" s="18" t="s">
        <v>7951</v>
      </c>
      <c r="Z2860" s="18"/>
      <c r="AS2860" s="1">
        <f>IF($A2860&lt;&gt;0,1,0)</f>
        <v>0</v>
      </c>
      <c r="AT2860" s="1">
        <f>$A2860*$B2860</f>
        <v>0</v>
      </c>
      <c r="AU2860" s="1">
        <f>$A2860*$O2860</f>
        <v>0</v>
      </c>
      <c r="AV2860" s="1">
        <f>IF($R2860=0,0,INT($A2860/$R2860))</f>
        <v>0</v>
      </c>
      <c r="AW2860" s="1">
        <f>$A2860-$AV2860*$R2860</f>
        <v>0</v>
      </c>
    </row>
    <row r="2861" ht="24.95" customHeight="1" outlineLevel="3" s="1" customFormat="1">
      <c r="A2861" s="15"/>
      <c r="B2861" s="16">
        <v>520</v>
      </c>
      <c r="C2861" s="16">
        <v>806</v>
      </c>
      <c r="D2861" s="16">
        <v>28966</v>
      </c>
      <c r="E2861" s="18"/>
      <c r="F2861" s="18" t="s">
        <v>9445</v>
      </c>
      <c r="G2861" s="18" t="s">
        <v>9453</v>
      </c>
      <c r="H2861" s="18" t="s">
        <v>49</v>
      </c>
      <c r="I2861" s="18" t="s">
        <v>87</v>
      </c>
      <c r="J2861" s="16">
        <v>2024</v>
      </c>
      <c r="K2861" s="18" t="s">
        <v>9454</v>
      </c>
      <c r="L2861" s="16">
        <v>9785961490916</v>
      </c>
      <c r="M2861" s="18" t="s">
        <v>9455</v>
      </c>
      <c r="N2861" s="16">
        <v>40</v>
      </c>
      <c r="O2861" s="19">
        <v>0.33</v>
      </c>
      <c r="P2861" s="16">
        <v>220</v>
      </c>
      <c r="Q2861" s="16">
        <v>260</v>
      </c>
      <c r="R2861" s="16">
        <v>16</v>
      </c>
      <c r="S2861" s="18" t="s">
        <v>83</v>
      </c>
      <c r="T2861" s="18" t="s">
        <v>9449</v>
      </c>
      <c r="U2861" s="17">
        <v>3000</v>
      </c>
      <c r="V2861" s="18" t="s">
        <v>77</v>
      </c>
      <c r="W2861" s="18" t="s">
        <v>184</v>
      </c>
      <c r="X2861" s="16">
        <v>10</v>
      </c>
      <c r="Y2861" s="18" t="s">
        <v>7951</v>
      </c>
      <c r="Z2861" s="18"/>
      <c r="AS2861" s="1">
        <f>IF($A2861&lt;&gt;0,1,0)</f>
        <v>0</v>
      </c>
      <c r="AT2861" s="1">
        <f>$A2861*$B2861</f>
        <v>0</v>
      </c>
      <c r="AU2861" s="1">
        <f>$A2861*$O2861</f>
        <v>0</v>
      </c>
      <c r="AV2861" s="1">
        <f>IF($R2861=0,0,INT($A2861/$R2861))</f>
        <v>0</v>
      </c>
      <c r="AW2861" s="1">
        <f>$A2861-$AV2861*$R2861</f>
        <v>0</v>
      </c>
    </row>
    <row r="2862" ht="24.95" customHeight="1" outlineLevel="3" s="1" customFormat="1">
      <c r="A2862" s="15"/>
      <c r="B2862" s="16">
        <v>390</v>
      </c>
      <c r="C2862" s="16">
        <v>624</v>
      </c>
      <c r="D2862" s="16">
        <v>26579</v>
      </c>
      <c r="E2862" s="18"/>
      <c r="F2862" s="18" t="s">
        <v>9456</v>
      </c>
      <c r="G2862" s="18" t="s">
        <v>9457</v>
      </c>
      <c r="H2862" s="18" t="s">
        <v>49</v>
      </c>
      <c r="I2862" s="18"/>
      <c r="J2862" s="16">
        <v>2022</v>
      </c>
      <c r="K2862" s="18" t="s">
        <v>9458</v>
      </c>
      <c r="L2862" s="16">
        <v>9785961482287</v>
      </c>
      <c r="M2862" s="18" t="s">
        <v>9459</v>
      </c>
      <c r="N2862" s="16">
        <v>40</v>
      </c>
      <c r="O2862" s="19">
        <v>0.2</v>
      </c>
      <c r="P2862" s="16">
        <v>176</v>
      </c>
      <c r="Q2862" s="16">
        <v>185</v>
      </c>
      <c r="R2862" s="16">
        <v>18</v>
      </c>
      <c r="S2862" s="18" t="s">
        <v>328</v>
      </c>
      <c r="T2862" s="18" t="s">
        <v>9460</v>
      </c>
      <c r="U2862" s="17">
        <v>2000</v>
      </c>
      <c r="V2862" s="18" t="s">
        <v>77</v>
      </c>
      <c r="W2862" s="18" t="s">
        <v>8203</v>
      </c>
      <c r="X2862" s="16">
        <v>10</v>
      </c>
      <c r="Y2862" s="18" t="s">
        <v>7922</v>
      </c>
      <c r="Z2862" s="18"/>
      <c r="AS2862" s="1">
        <f>IF($A2862&lt;&gt;0,1,0)</f>
        <v>0</v>
      </c>
      <c r="AT2862" s="1">
        <f>$A2862*$B2862</f>
        <v>0</v>
      </c>
      <c r="AU2862" s="1">
        <f>$A2862*$O2862</f>
        <v>0</v>
      </c>
      <c r="AV2862" s="1">
        <f>IF($R2862=0,0,INT($A2862/$R2862))</f>
        <v>0</v>
      </c>
      <c r="AW2862" s="1">
        <f>$A2862-$AV2862*$R2862</f>
        <v>0</v>
      </c>
    </row>
    <row r="2863" ht="24.95" customHeight="1" outlineLevel="3" s="1" customFormat="1">
      <c r="A2863" s="15"/>
      <c r="B2863" s="16">
        <v>390</v>
      </c>
      <c r="C2863" s="16">
        <v>624</v>
      </c>
      <c r="D2863" s="16">
        <v>18171</v>
      </c>
      <c r="E2863" s="18"/>
      <c r="F2863" s="18" t="s">
        <v>722</v>
      </c>
      <c r="G2863" s="18" t="s">
        <v>9461</v>
      </c>
      <c r="H2863" s="18" t="s">
        <v>49</v>
      </c>
      <c r="I2863" s="18" t="s">
        <v>87</v>
      </c>
      <c r="J2863" s="16">
        <v>2020</v>
      </c>
      <c r="K2863" s="18" t="s">
        <v>9462</v>
      </c>
      <c r="L2863" s="16">
        <v>9785961436037</v>
      </c>
      <c r="M2863" s="18" t="s">
        <v>9463</v>
      </c>
      <c r="N2863" s="16">
        <v>32</v>
      </c>
      <c r="O2863" s="19">
        <v>0.3</v>
      </c>
      <c r="P2863" s="16">
        <v>226</v>
      </c>
      <c r="Q2863" s="16">
        <v>225</v>
      </c>
      <c r="R2863" s="16">
        <v>20</v>
      </c>
      <c r="S2863" s="18" t="s">
        <v>83</v>
      </c>
      <c r="T2863" s="18" t="s">
        <v>726</v>
      </c>
      <c r="U2863" s="17">
        <v>3000</v>
      </c>
      <c r="V2863" s="18" t="s">
        <v>77</v>
      </c>
      <c r="W2863" s="18" t="s">
        <v>184</v>
      </c>
      <c r="X2863" s="16">
        <v>10</v>
      </c>
      <c r="Y2863" s="18" t="s">
        <v>727</v>
      </c>
      <c r="Z2863" s="18"/>
      <c r="AS2863" s="1">
        <f>IF($A2863&lt;&gt;0,1,0)</f>
        <v>0</v>
      </c>
      <c r="AT2863" s="1">
        <f>$A2863*$B2863</f>
        <v>0</v>
      </c>
      <c r="AU2863" s="1">
        <f>$A2863*$O2863</f>
        <v>0</v>
      </c>
      <c r="AV2863" s="1">
        <f>IF($R2863=0,0,INT($A2863/$R2863))</f>
        <v>0</v>
      </c>
      <c r="AW2863" s="1">
        <f>$A2863-$AV2863*$R2863</f>
        <v>0</v>
      </c>
    </row>
    <row r="2864" ht="24.95" customHeight="1" outlineLevel="3" s="1" customFormat="1">
      <c r="A2864" s="15"/>
      <c r="B2864" s="16">
        <v>440</v>
      </c>
      <c r="C2864" s="16">
        <v>682</v>
      </c>
      <c r="D2864" s="16">
        <v>26867</v>
      </c>
      <c r="E2864" s="18"/>
      <c r="F2864" s="18" t="s">
        <v>8840</v>
      </c>
      <c r="G2864" s="18" t="s">
        <v>9464</v>
      </c>
      <c r="H2864" s="18" t="s">
        <v>49</v>
      </c>
      <c r="I2864" s="18"/>
      <c r="J2864" s="16">
        <v>2023</v>
      </c>
      <c r="K2864" s="18" t="s">
        <v>9465</v>
      </c>
      <c r="L2864" s="16">
        <v>9785961483208</v>
      </c>
      <c r="M2864" s="18" t="s">
        <v>9466</v>
      </c>
      <c r="N2864" s="16">
        <v>48</v>
      </c>
      <c r="O2864" s="19">
        <v>0.3</v>
      </c>
      <c r="P2864" s="16">
        <v>210</v>
      </c>
      <c r="Q2864" s="16">
        <v>210</v>
      </c>
      <c r="R2864" s="16">
        <v>15</v>
      </c>
      <c r="S2864" s="18" t="s">
        <v>328</v>
      </c>
      <c r="T2864" s="18"/>
      <c r="U2864" s="17">
        <v>3500</v>
      </c>
      <c r="V2864" s="18" t="s">
        <v>77</v>
      </c>
      <c r="W2864" s="18" t="s">
        <v>8203</v>
      </c>
      <c r="X2864" s="16">
        <v>10</v>
      </c>
      <c r="Y2864" s="43" t="str">
        <f>HYPERLINK("","")</f>
      </c>
      <c r="Z2864" s="18"/>
      <c r="AS2864" s="1">
        <f>IF($A2864&lt;&gt;0,1,0)</f>
        <v>0</v>
      </c>
      <c r="AT2864" s="1">
        <f>$A2864*$B2864</f>
        <v>0</v>
      </c>
      <c r="AU2864" s="1">
        <f>$A2864*$O2864</f>
        <v>0</v>
      </c>
      <c r="AV2864" s="1">
        <f>IF($R2864=0,0,INT($A2864/$R2864))</f>
        <v>0</v>
      </c>
      <c r="AW2864" s="1">
        <f>$A2864-$AV2864*$R2864</f>
        <v>0</v>
      </c>
    </row>
    <row r="2865" ht="24.95" customHeight="1" outlineLevel="3" s="1" customFormat="1">
      <c r="A2865" s="15"/>
      <c r="B2865" s="16">
        <v>440</v>
      </c>
      <c r="C2865" s="16">
        <v>682</v>
      </c>
      <c r="D2865" s="16">
        <v>23956</v>
      </c>
      <c r="E2865" s="18"/>
      <c r="F2865" s="18" t="s">
        <v>9435</v>
      </c>
      <c r="G2865" s="18" t="s">
        <v>9467</v>
      </c>
      <c r="H2865" s="18" t="s">
        <v>49</v>
      </c>
      <c r="I2865" s="18" t="s">
        <v>74</v>
      </c>
      <c r="J2865" s="16">
        <v>2023</v>
      </c>
      <c r="K2865" s="18" t="s">
        <v>9468</v>
      </c>
      <c r="L2865" s="16">
        <v>9785961474299</v>
      </c>
      <c r="M2865" s="18" t="s">
        <v>9469</v>
      </c>
      <c r="N2865" s="16">
        <v>32</v>
      </c>
      <c r="O2865" s="19">
        <v>0.28</v>
      </c>
      <c r="P2865" s="16">
        <v>210</v>
      </c>
      <c r="Q2865" s="16">
        <v>210</v>
      </c>
      <c r="R2865" s="16">
        <v>18</v>
      </c>
      <c r="S2865" s="18" t="s">
        <v>83</v>
      </c>
      <c r="T2865" s="18" t="s">
        <v>9439</v>
      </c>
      <c r="U2865" s="17">
        <v>3000</v>
      </c>
      <c r="V2865" s="18" t="s">
        <v>77</v>
      </c>
      <c r="W2865" s="18" t="s">
        <v>184</v>
      </c>
      <c r="X2865" s="16">
        <v>10</v>
      </c>
      <c r="Y2865" s="18" t="s">
        <v>7951</v>
      </c>
      <c r="Z2865" s="18"/>
      <c r="AS2865" s="1">
        <f>IF($A2865&lt;&gt;0,1,0)</f>
        <v>0</v>
      </c>
      <c r="AT2865" s="1">
        <f>$A2865*$B2865</f>
        <v>0</v>
      </c>
      <c r="AU2865" s="1">
        <f>$A2865*$O2865</f>
        <v>0</v>
      </c>
      <c r="AV2865" s="1">
        <f>IF($R2865=0,0,INT($A2865/$R2865))</f>
        <v>0</v>
      </c>
      <c r="AW2865" s="1">
        <f>$A2865-$AV2865*$R2865</f>
        <v>0</v>
      </c>
    </row>
    <row r="2866" ht="24.95" customHeight="1" outlineLevel="3" s="1" customFormat="1">
      <c r="A2866" s="15"/>
      <c r="B2866" s="17">
        <v>1140</v>
      </c>
      <c r="C2866" s="17">
        <v>1539</v>
      </c>
      <c r="D2866" s="16">
        <v>31599</v>
      </c>
      <c r="E2866" s="18"/>
      <c r="F2866" s="18" t="s">
        <v>3194</v>
      </c>
      <c r="G2866" s="18" t="s">
        <v>9470</v>
      </c>
      <c r="H2866" s="18" t="s">
        <v>49</v>
      </c>
      <c r="I2866" s="18"/>
      <c r="J2866" s="16">
        <v>2025</v>
      </c>
      <c r="K2866" s="18" t="s">
        <v>9471</v>
      </c>
      <c r="L2866" s="16">
        <v>9785961499490</v>
      </c>
      <c r="M2866" s="18" t="s">
        <v>9472</v>
      </c>
      <c r="N2866" s="16">
        <v>104</v>
      </c>
      <c r="O2866" s="19">
        <v>0.57</v>
      </c>
      <c r="P2866" s="16">
        <v>210</v>
      </c>
      <c r="Q2866" s="16">
        <v>290</v>
      </c>
      <c r="R2866" s="16">
        <v>10</v>
      </c>
      <c r="S2866" s="18" t="s">
        <v>83</v>
      </c>
      <c r="T2866" s="18"/>
      <c r="U2866" s="17">
        <v>3000</v>
      </c>
      <c r="V2866" s="18" t="s">
        <v>77</v>
      </c>
      <c r="W2866" s="18" t="s">
        <v>184</v>
      </c>
      <c r="X2866" s="16">
        <v>10</v>
      </c>
      <c r="Y2866" s="18" t="s">
        <v>7918</v>
      </c>
      <c r="Z2866" s="18"/>
      <c r="AS2866" s="1">
        <f>IF($A2866&lt;&gt;0,1,0)</f>
        <v>0</v>
      </c>
      <c r="AT2866" s="1">
        <f>$A2866*$B2866</f>
        <v>0</v>
      </c>
      <c r="AU2866" s="1">
        <f>$A2866*$O2866</f>
        <v>0</v>
      </c>
      <c r="AV2866" s="1">
        <f>IF($R2866=0,0,INT($A2866/$R2866))</f>
        <v>0</v>
      </c>
      <c r="AW2866" s="1">
        <f>$A2866-$AV2866*$R2866</f>
        <v>0</v>
      </c>
    </row>
    <row r="2867" ht="24.95" customHeight="1" outlineLevel="3" s="1" customFormat="1">
      <c r="A2867" s="15"/>
      <c r="B2867" s="17">
        <v>1110</v>
      </c>
      <c r="C2867" s="17">
        <v>1539</v>
      </c>
      <c r="D2867" s="16">
        <v>31600</v>
      </c>
      <c r="E2867" s="18"/>
      <c r="F2867" s="18" t="s">
        <v>3194</v>
      </c>
      <c r="G2867" s="18" t="s">
        <v>9473</v>
      </c>
      <c r="H2867" s="18" t="s">
        <v>49</v>
      </c>
      <c r="I2867" s="18"/>
      <c r="J2867" s="16">
        <v>2025</v>
      </c>
      <c r="K2867" s="18" t="s">
        <v>9474</v>
      </c>
      <c r="L2867" s="16">
        <v>9785961499506</v>
      </c>
      <c r="M2867" s="18" t="s">
        <v>9475</v>
      </c>
      <c r="N2867" s="16">
        <v>128</v>
      </c>
      <c r="O2867" s="19">
        <v>0.65</v>
      </c>
      <c r="P2867" s="16">
        <v>210</v>
      </c>
      <c r="Q2867" s="16">
        <v>290</v>
      </c>
      <c r="R2867" s="16">
        <v>10</v>
      </c>
      <c r="S2867" s="18" t="s">
        <v>83</v>
      </c>
      <c r="T2867" s="18"/>
      <c r="U2867" s="17">
        <v>3000</v>
      </c>
      <c r="V2867" s="18" t="s">
        <v>77</v>
      </c>
      <c r="W2867" s="18" t="s">
        <v>55</v>
      </c>
      <c r="X2867" s="16">
        <v>10</v>
      </c>
      <c r="Y2867" s="18" t="s">
        <v>9476</v>
      </c>
      <c r="Z2867" s="18"/>
      <c r="AS2867" s="1">
        <f>IF($A2867&lt;&gt;0,1,0)</f>
        <v>0</v>
      </c>
      <c r="AT2867" s="1">
        <f>$A2867*$B2867</f>
        <v>0</v>
      </c>
      <c r="AU2867" s="1">
        <f>$A2867*$O2867</f>
        <v>0</v>
      </c>
      <c r="AV2867" s="1">
        <f>IF($R2867=0,0,INT($A2867/$R2867))</f>
        <v>0</v>
      </c>
      <c r="AW2867" s="1">
        <f>$A2867-$AV2867*$R2867</f>
        <v>0</v>
      </c>
    </row>
    <row r="2868" ht="21.95" customHeight="1" outlineLevel="3" s="1" customFormat="1">
      <c r="A2868" s="15"/>
      <c r="B2868" s="16">
        <v>790</v>
      </c>
      <c r="C2868" s="17">
        <v>1146</v>
      </c>
      <c r="D2868" s="16">
        <v>26326</v>
      </c>
      <c r="E2868" s="18"/>
      <c r="F2868" s="18" t="s">
        <v>9440</v>
      </c>
      <c r="G2868" s="18" t="s">
        <v>9477</v>
      </c>
      <c r="H2868" s="18" t="s">
        <v>49</v>
      </c>
      <c r="I2868" s="18" t="s">
        <v>1696</v>
      </c>
      <c r="J2868" s="16">
        <v>2026</v>
      </c>
      <c r="K2868" s="18" t="s">
        <v>9478</v>
      </c>
      <c r="L2868" s="16">
        <v>9785961481242</v>
      </c>
      <c r="M2868" s="18" t="s">
        <v>9479</v>
      </c>
      <c r="N2868" s="16">
        <v>70</v>
      </c>
      <c r="O2868" s="19">
        <v>0.4</v>
      </c>
      <c r="P2868" s="16">
        <v>230</v>
      </c>
      <c r="Q2868" s="16">
        <v>250</v>
      </c>
      <c r="R2868" s="16">
        <v>15</v>
      </c>
      <c r="S2868" s="18" t="s">
        <v>83</v>
      </c>
      <c r="T2868" s="18" t="s">
        <v>9444</v>
      </c>
      <c r="U2868" s="17">
        <v>1500</v>
      </c>
      <c r="V2868" s="18" t="s">
        <v>77</v>
      </c>
      <c r="W2868" s="18" t="s">
        <v>184</v>
      </c>
      <c r="X2868" s="16">
        <v>10</v>
      </c>
      <c r="Y2868" s="43" t="str">
        <f>HYPERLINK("","")</f>
      </c>
      <c r="Z2868" s="18"/>
      <c r="AS2868" s="1">
        <f>IF($A2868&lt;&gt;0,1,0)</f>
        <v>0</v>
      </c>
      <c r="AT2868" s="1">
        <f>$A2868*$B2868</f>
        <v>0</v>
      </c>
      <c r="AU2868" s="1">
        <f>$A2868*$O2868</f>
        <v>0</v>
      </c>
      <c r="AV2868" s="1">
        <f>IF($R2868=0,0,INT($A2868/$R2868))</f>
        <v>0</v>
      </c>
      <c r="AW2868" s="1">
        <f>$A2868-$AV2868*$R2868</f>
        <v>0</v>
      </c>
    </row>
    <row r="2869" ht="24.95" customHeight="1" outlineLevel="3" s="1" customFormat="1">
      <c r="A2869" s="25"/>
      <c r="B2869" s="26">
        <v>490</v>
      </c>
      <c r="C2869" s="26">
        <v>760</v>
      </c>
      <c r="D2869" s="26">
        <v>26715</v>
      </c>
      <c r="E2869" s="27"/>
      <c r="F2869" s="27" t="s">
        <v>9480</v>
      </c>
      <c r="G2869" s="27" t="s">
        <v>9481</v>
      </c>
      <c r="H2869" s="27" t="s">
        <v>49</v>
      </c>
      <c r="I2869" s="27" t="s">
        <v>1296</v>
      </c>
      <c r="J2869" s="26">
        <v>2022</v>
      </c>
      <c r="K2869" s="27" t="s">
        <v>9482</v>
      </c>
      <c r="L2869" s="26">
        <v>9785961482737</v>
      </c>
      <c r="M2869" s="27" t="s">
        <v>9483</v>
      </c>
      <c r="N2869" s="26">
        <v>32</v>
      </c>
      <c r="O2869" s="28">
        <v>0.25</v>
      </c>
      <c r="P2869" s="26">
        <v>200</v>
      </c>
      <c r="Q2869" s="26">
        <v>270</v>
      </c>
      <c r="R2869" s="26">
        <v>15</v>
      </c>
      <c r="S2869" s="27" t="s">
        <v>328</v>
      </c>
      <c r="T2869" s="27"/>
      <c r="U2869" s="29">
        <v>2000</v>
      </c>
      <c r="V2869" s="27" t="s">
        <v>77</v>
      </c>
      <c r="W2869" s="27" t="s">
        <v>55</v>
      </c>
      <c r="X2869" s="26">
        <v>10</v>
      </c>
      <c r="Y2869" s="45" t="str">
        <f>HYPERLINK("","")</f>
      </c>
      <c r="Z2869" s="27"/>
      <c r="AS2869" s="1">
        <f>IF($A2869&lt;&gt;0,1,0)</f>
        <v>0</v>
      </c>
      <c r="AT2869" s="1">
        <f>$A2869*$B2869</f>
        <v>0</v>
      </c>
      <c r="AU2869" s="1">
        <f>$A2869*$O2869</f>
        <v>0</v>
      </c>
      <c r="AV2869" s="1">
        <f>IF($R2869=0,0,INT($A2869/$R2869))</f>
        <v>0</v>
      </c>
      <c r="AW2869" s="1">
        <f>$A2869-$AV2869*$R2869</f>
        <v>0</v>
      </c>
    </row>
    <row r="2870" ht="21.95" customHeight="1" outlineLevel="3" s="1" customFormat="1">
      <c r="A2870" s="15"/>
      <c r="B2870" s="16">
        <v>790</v>
      </c>
      <c r="C2870" s="17">
        <v>1146</v>
      </c>
      <c r="D2870" s="16">
        <v>25318</v>
      </c>
      <c r="E2870" s="18"/>
      <c r="F2870" s="18" t="s">
        <v>9440</v>
      </c>
      <c r="G2870" s="18" t="s">
        <v>9484</v>
      </c>
      <c r="H2870" s="18" t="s">
        <v>49</v>
      </c>
      <c r="I2870" s="18" t="s">
        <v>1696</v>
      </c>
      <c r="J2870" s="16">
        <v>2026</v>
      </c>
      <c r="K2870" s="18" t="s">
        <v>9485</v>
      </c>
      <c r="L2870" s="16">
        <v>9785961477528</v>
      </c>
      <c r="M2870" s="18" t="s">
        <v>9486</v>
      </c>
      <c r="N2870" s="16">
        <v>70</v>
      </c>
      <c r="O2870" s="19">
        <v>0.39</v>
      </c>
      <c r="P2870" s="16">
        <v>250</v>
      </c>
      <c r="Q2870" s="16">
        <v>210</v>
      </c>
      <c r="R2870" s="16">
        <v>15</v>
      </c>
      <c r="S2870" s="18" t="s">
        <v>83</v>
      </c>
      <c r="T2870" s="18" t="s">
        <v>9444</v>
      </c>
      <c r="U2870" s="17">
        <v>1500</v>
      </c>
      <c r="V2870" s="18" t="s">
        <v>77</v>
      </c>
      <c r="W2870" s="18" t="s">
        <v>184</v>
      </c>
      <c r="X2870" s="16">
        <v>10</v>
      </c>
      <c r="Y2870" s="43" t="str">
        <f>HYPERLINK("","")</f>
      </c>
      <c r="Z2870" s="18"/>
      <c r="AS2870" s="1">
        <f>IF($A2870&lt;&gt;0,1,0)</f>
        <v>0</v>
      </c>
      <c r="AT2870" s="1">
        <f>$A2870*$B2870</f>
        <v>0</v>
      </c>
      <c r="AU2870" s="1">
        <f>$A2870*$O2870</f>
        <v>0</v>
      </c>
      <c r="AV2870" s="1">
        <f>IF($R2870=0,0,INT($A2870/$R2870))</f>
        <v>0</v>
      </c>
      <c r="AW2870" s="1">
        <f>$A2870-$AV2870*$R2870</f>
        <v>0</v>
      </c>
    </row>
    <row r="2871" ht="11.1" customHeight="1" outlineLevel="2">
      <c r="A2871" s="41" t="s">
        <v>9487</v>
      </c>
      <c r="B2871" s="41"/>
      <c r="C2871" s="41"/>
      <c r="D2871" s="41"/>
      <c r="E2871" s="41"/>
      <c r="F2871" s="41"/>
      <c r="G2871" s="41"/>
      <c r="H2871" s="41"/>
      <c r="I2871" s="41"/>
      <c r="J2871" s="41"/>
      <c r="K2871" s="41"/>
      <c r="L2871" s="41"/>
      <c r="M2871" s="41"/>
      <c r="N2871" s="41"/>
      <c r="O2871" s="41"/>
      <c r="P2871" s="41"/>
      <c r="Q2871" s="41"/>
      <c r="R2871" s="41"/>
      <c r="S2871" s="41"/>
      <c r="T2871" s="41"/>
      <c r="U2871" s="41"/>
      <c r="V2871" s="41"/>
      <c r="W2871" s="41"/>
      <c r="X2871" s="41"/>
      <c r="Y2871" s="41"/>
      <c r="Z2871" s="24"/>
    </row>
    <row r="2872" ht="24.95" customHeight="1" outlineLevel="3" s="1" customFormat="1">
      <c r="A2872" s="15"/>
      <c r="B2872" s="16">
        <v>490</v>
      </c>
      <c r="C2872" s="16">
        <v>760</v>
      </c>
      <c r="D2872" s="16">
        <v>29646</v>
      </c>
      <c r="E2872" s="18"/>
      <c r="F2872" s="18" t="s">
        <v>9488</v>
      </c>
      <c r="G2872" s="18" t="s">
        <v>9489</v>
      </c>
      <c r="H2872" s="18" t="s">
        <v>49</v>
      </c>
      <c r="I2872" s="18" t="s">
        <v>87</v>
      </c>
      <c r="J2872" s="16">
        <v>2024</v>
      </c>
      <c r="K2872" s="18" t="s">
        <v>9490</v>
      </c>
      <c r="L2872" s="16">
        <v>9785961493283</v>
      </c>
      <c r="M2872" s="18" t="s">
        <v>9491</v>
      </c>
      <c r="N2872" s="16">
        <v>208</v>
      </c>
      <c r="O2872" s="19">
        <v>0.43</v>
      </c>
      <c r="P2872" s="16">
        <v>150</v>
      </c>
      <c r="Q2872" s="16">
        <v>220</v>
      </c>
      <c r="R2872" s="16">
        <v>10</v>
      </c>
      <c r="S2872" s="18" t="s">
        <v>43</v>
      </c>
      <c r="T2872" s="18" t="s">
        <v>9492</v>
      </c>
      <c r="U2872" s="17">
        <v>3000</v>
      </c>
      <c r="V2872" s="18" t="s">
        <v>77</v>
      </c>
      <c r="W2872" s="18" t="s">
        <v>55</v>
      </c>
      <c r="X2872" s="16">
        <v>10</v>
      </c>
      <c r="Y2872" s="18" t="s">
        <v>8040</v>
      </c>
      <c r="Z2872" s="18"/>
      <c r="AS2872" s="1">
        <f>IF($A2872&lt;&gt;0,1,0)</f>
        <v>0</v>
      </c>
      <c r="AT2872" s="1">
        <f>$A2872*$B2872</f>
        <v>0</v>
      </c>
      <c r="AU2872" s="1">
        <f>$A2872*$O2872</f>
        <v>0</v>
      </c>
      <c r="AV2872" s="1">
        <f>IF($R2872=0,0,INT($A2872/$R2872))</f>
        <v>0</v>
      </c>
      <c r="AW2872" s="1">
        <f>$A2872-$AV2872*$R2872</f>
        <v>0</v>
      </c>
    </row>
    <row r="2873" ht="24.95" customHeight="1" outlineLevel="3" s="1" customFormat="1">
      <c r="A2873" s="15"/>
      <c r="B2873" s="16">
        <v>490</v>
      </c>
      <c r="C2873" s="16">
        <v>760</v>
      </c>
      <c r="D2873" s="16">
        <v>29645</v>
      </c>
      <c r="E2873" s="18"/>
      <c r="F2873" s="18" t="s">
        <v>9488</v>
      </c>
      <c r="G2873" s="18" t="s">
        <v>9493</v>
      </c>
      <c r="H2873" s="18" t="s">
        <v>49</v>
      </c>
      <c r="I2873" s="18" t="s">
        <v>87</v>
      </c>
      <c r="J2873" s="16">
        <v>2024</v>
      </c>
      <c r="K2873" s="18" t="s">
        <v>9494</v>
      </c>
      <c r="L2873" s="16">
        <v>9785961493276</v>
      </c>
      <c r="M2873" s="18" t="s">
        <v>9495</v>
      </c>
      <c r="N2873" s="16">
        <v>192</v>
      </c>
      <c r="O2873" s="19">
        <v>0.4</v>
      </c>
      <c r="P2873" s="16">
        <v>150</v>
      </c>
      <c r="Q2873" s="16">
        <v>220</v>
      </c>
      <c r="R2873" s="16">
        <v>10</v>
      </c>
      <c r="S2873" s="18" t="s">
        <v>43</v>
      </c>
      <c r="T2873" s="18" t="s">
        <v>9492</v>
      </c>
      <c r="U2873" s="17">
        <v>3000</v>
      </c>
      <c r="V2873" s="18" t="s">
        <v>77</v>
      </c>
      <c r="W2873" s="18" t="s">
        <v>55</v>
      </c>
      <c r="X2873" s="16">
        <v>10</v>
      </c>
      <c r="Y2873" s="18" t="s">
        <v>8040</v>
      </c>
      <c r="Z2873" s="18"/>
      <c r="AS2873" s="1">
        <f>IF($A2873&lt;&gt;0,1,0)</f>
        <v>0</v>
      </c>
      <c r="AT2873" s="1">
        <f>$A2873*$B2873</f>
        <v>0</v>
      </c>
      <c r="AU2873" s="1">
        <f>$A2873*$O2873</f>
        <v>0</v>
      </c>
      <c r="AV2873" s="1">
        <f>IF($R2873=0,0,INT($A2873/$R2873))</f>
        <v>0</v>
      </c>
      <c r="AW2873" s="1">
        <f>$A2873-$AV2873*$R2873</f>
        <v>0</v>
      </c>
    </row>
    <row r="2874" ht="24.95" customHeight="1" outlineLevel="3" s="1" customFormat="1">
      <c r="A2874" s="15"/>
      <c r="B2874" s="16">
        <v>690</v>
      </c>
      <c r="C2874" s="17">
        <v>1035</v>
      </c>
      <c r="D2874" s="16">
        <v>29647</v>
      </c>
      <c r="E2874" s="18"/>
      <c r="F2874" s="18" t="s">
        <v>9496</v>
      </c>
      <c r="G2874" s="18" t="s">
        <v>9497</v>
      </c>
      <c r="H2874" s="18" t="s">
        <v>49</v>
      </c>
      <c r="I2874" s="18" t="s">
        <v>87</v>
      </c>
      <c r="J2874" s="16">
        <v>2025</v>
      </c>
      <c r="K2874" s="18" t="s">
        <v>9498</v>
      </c>
      <c r="L2874" s="16">
        <v>9785961493290</v>
      </c>
      <c r="M2874" s="18" t="s">
        <v>9499</v>
      </c>
      <c r="N2874" s="16">
        <v>200</v>
      </c>
      <c r="O2874" s="19">
        <v>0.41</v>
      </c>
      <c r="P2874" s="16">
        <v>150</v>
      </c>
      <c r="Q2874" s="16">
        <v>220</v>
      </c>
      <c r="R2874" s="16">
        <v>10</v>
      </c>
      <c r="S2874" s="18" t="s">
        <v>43</v>
      </c>
      <c r="T2874" s="18" t="s">
        <v>9492</v>
      </c>
      <c r="U2874" s="17">
        <v>1500</v>
      </c>
      <c r="V2874" s="18" t="s">
        <v>77</v>
      </c>
      <c r="W2874" s="18" t="s">
        <v>55</v>
      </c>
      <c r="X2874" s="16">
        <v>10</v>
      </c>
      <c r="Y2874" s="18" t="s">
        <v>7918</v>
      </c>
      <c r="Z2874" s="18"/>
      <c r="AS2874" s="1">
        <f>IF($A2874&lt;&gt;0,1,0)</f>
        <v>0</v>
      </c>
      <c r="AT2874" s="1">
        <f>$A2874*$B2874</f>
        <v>0</v>
      </c>
      <c r="AU2874" s="1">
        <f>$A2874*$O2874</f>
        <v>0</v>
      </c>
      <c r="AV2874" s="1">
        <f>IF($R2874=0,0,INT($A2874/$R2874))</f>
        <v>0</v>
      </c>
      <c r="AW2874" s="1">
        <f>$A2874-$AV2874*$R2874</f>
        <v>0</v>
      </c>
    </row>
    <row r="2875" ht="24.95" customHeight="1" outlineLevel="3" s="1" customFormat="1">
      <c r="A2875" s="15"/>
      <c r="B2875" s="16">
        <v>640</v>
      </c>
      <c r="C2875" s="16">
        <v>960</v>
      </c>
      <c r="D2875" s="16">
        <v>31330</v>
      </c>
      <c r="E2875" s="18"/>
      <c r="F2875" s="18" t="s">
        <v>9500</v>
      </c>
      <c r="G2875" s="18" t="s">
        <v>9501</v>
      </c>
      <c r="H2875" s="18" t="s">
        <v>49</v>
      </c>
      <c r="I2875" s="18" t="s">
        <v>74</v>
      </c>
      <c r="J2875" s="16">
        <v>2025</v>
      </c>
      <c r="K2875" s="18" t="s">
        <v>9502</v>
      </c>
      <c r="L2875" s="16">
        <v>9785961498257</v>
      </c>
      <c r="M2875" s="18" t="s">
        <v>9503</v>
      </c>
      <c r="N2875" s="16">
        <v>144</v>
      </c>
      <c r="O2875" s="19">
        <v>0.23</v>
      </c>
      <c r="P2875" s="16">
        <v>150</v>
      </c>
      <c r="Q2875" s="16">
        <v>220</v>
      </c>
      <c r="R2875" s="16">
        <v>20</v>
      </c>
      <c r="S2875" s="18" t="s">
        <v>43</v>
      </c>
      <c r="T2875" s="18"/>
      <c r="U2875" s="17">
        <v>2000</v>
      </c>
      <c r="V2875" s="18" t="s">
        <v>77</v>
      </c>
      <c r="W2875" s="18" t="s">
        <v>55</v>
      </c>
      <c r="X2875" s="16">
        <v>10</v>
      </c>
      <c r="Y2875" s="18" t="s">
        <v>8277</v>
      </c>
      <c r="Z2875" s="18"/>
      <c r="AS2875" s="1">
        <f>IF($A2875&lt;&gt;0,1,0)</f>
        <v>0</v>
      </c>
      <c r="AT2875" s="1">
        <f>$A2875*$B2875</f>
        <v>0</v>
      </c>
      <c r="AU2875" s="1">
        <f>$A2875*$O2875</f>
        <v>0</v>
      </c>
      <c r="AV2875" s="1">
        <f>IF($R2875=0,0,INT($A2875/$R2875))</f>
        <v>0</v>
      </c>
      <c r="AW2875" s="1">
        <f>$A2875-$AV2875*$R2875</f>
        <v>0</v>
      </c>
    </row>
    <row r="2876" ht="24.95" customHeight="1" outlineLevel="3" s="1" customFormat="1">
      <c r="A2876" s="25"/>
      <c r="B2876" s="26">
        <v>440</v>
      </c>
      <c r="C2876" s="26">
        <v>682</v>
      </c>
      <c r="D2876" s="26">
        <v>23925</v>
      </c>
      <c r="E2876" s="27"/>
      <c r="F2876" s="27" t="s">
        <v>9504</v>
      </c>
      <c r="G2876" s="27" t="s">
        <v>9505</v>
      </c>
      <c r="H2876" s="27" t="s">
        <v>49</v>
      </c>
      <c r="I2876" s="27" t="s">
        <v>87</v>
      </c>
      <c r="J2876" s="26">
        <v>2022</v>
      </c>
      <c r="K2876" s="27" t="s">
        <v>9506</v>
      </c>
      <c r="L2876" s="26">
        <v>9785961474497</v>
      </c>
      <c r="M2876" s="27" t="s">
        <v>9507</v>
      </c>
      <c r="N2876" s="26">
        <v>94</v>
      </c>
      <c r="O2876" s="28">
        <v>0.32</v>
      </c>
      <c r="P2876" s="26">
        <v>168</v>
      </c>
      <c r="Q2876" s="26">
        <v>242</v>
      </c>
      <c r="R2876" s="26">
        <v>14</v>
      </c>
      <c r="S2876" s="27" t="s">
        <v>123</v>
      </c>
      <c r="T2876" s="27"/>
      <c r="U2876" s="29">
        <v>3000</v>
      </c>
      <c r="V2876" s="27" t="s">
        <v>77</v>
      </c>
      <c r="W2876" s="27" t="s">
        <v>55</v>
      </c>
      <c r="X2876" s="26">
        <v>10</v>
      </c>
      <c r="Y2876" s="27" t="s">
        <v>7955</v>
      </c>
      <c r="Z2876" s="27"/>
      <c r="AS2876" s="1">
        <f>IF($A2876&lt;&gt;0,1,0)</f>
        <v>0</v>
      </c>
      <c r="AT2876" s="1">
        <f>$A2876*$B2876</f>
        <v>0</v>
      </c>
      <c r="AU2876" s="1">
        <f>$A2876*$O2876</f>
        <v>0</v>
      </c>
      <c r="AV2876" s="1">
        <f>IF($R2876=0,0,INT($A2876/$R2876))</f>
        <v>0</v>
      </c>
      <c r="AW2876" s="1">
        <f>$A2876-$AV2876*$R2876</f>
        <v>0</v>
      </c>
    </row>
    <row r="2877" ht="11.1" customHeight="1" outlineLevel="2">
      <c r="A2877" s="41" t="s">
        <v>9508</v>
      </c>
      <c r="B2877" s="41"/>
      <c r="C2877" s="41"/>
      <c r="D2877" s="41"/>
      <c r="E2877" s="41"/>
      <c r="F2877" s="41"/>
      <c r="G2877" s="41"/>
      <c r="H2877" s="41"/>
      <c r="I2877" s="41"/>
      <c r="J2877" s="41"/>
      <c r="K2877" s="41"/>
      <c r="L2877" s="41"/>
      <c r="M2877" s="41"/>
      <c r="N2877" s="41"/>
      <c r="O2877" s="41"/>
      <c r="P2877" s="41"/>
      <c r="Q2877" s="41"/>
      <c r="R2877" s="41"/>
      <c r="S2877" s="41"/>
      <c r="T2877" s="41"/>
      <c r="U2877" s="41"/>
      <c r="V2877" s="41"/>
      <c r="W2877" s="41"/>
      <c r="X2877" s="41"/>
      <c r="Y2877" s="41"/>
      <c r="Z2877" s="24"/>
    </row>
    <row r="2878" ht="24.95" customHeight="1" outlineLevel="3" s="1" customFormat="1">
      <c r="A2878" s="15"/>
      <c r="B2878" s="16">
        <v>300</v>
      </c>
      <c r="C2878" s="16">
        <v>480</v>
      </c>
      <c r="D2878" s="16">
        <v>36359</v>
      </c>
      <c r="E2878" s="18"/>
      <c r="F2878" s="18" t="s">
        <v>158</v>
      </c>
      <c r="G2878" s="18" t="s">
        <v>159</v>
      </c>
      <c r="H2878" s="18" t="s">
        <v>49</v>
      </c>
      <c r="I2878" s="18" t="s">
        <v>160</v>
      </c>
      <c r="J2878" s="16">
        <v>2026</v>
      </c>
      <c r="K2878" s="18" t="s">
        <v>161</v>
      </c>
      <c r="L2878" s="16">
        <v>9785002830411</v>
      </c>
      <c r="M2878" s="18" t="s">
        <v>162</v>
      </c>
      <c r="N2878" s="16">
        <v>48</v>
      </c>
      <c r="O2878" s="19">
        <v>0.2</v>
      </c>
      <c r="P2878" s="16">
        <v>150</v>
      </c>
      <c r="Q2878" s="16">
        <v>210</v>
      </c>
      <c r="R2878" s="16">
        <v>16</v>
      </c>
      <c r="S2878" s="18" t="s">
        <v>43</v>
      </c>
      <c r="T2878" s="18" t="s">
        <v>163</v>
      </c>
      <c r="U2878" s="17">
        <v>5000</v>
      </c>
      <c r="V2878" s="18" t="s">
        <v>77</v>
      </c>
      <c r="W2878" s="18" t="s">
        <v>55</v>
      </c>
      <c r="X2878" s="16">
        <v>10</v>
      </c>
      <c r="Y2878" s="43" t="str">
        <f>HYPERLINK("","")</f>
      </c>
      <c r="Z2878" s="18" t="s">
        <v>70</v>
      </c>
      <c r="AS2878" s="1">
        <f>IF($A2878&lt;&gt;0,1,0)</f>
        <v>0</v>
      </c>
      <c r="AT2878" s="1">
        <f>$A2878*$B2878</f>
        <v>0</v>
      </c>
      <c r="AU2878" s="1">
        <f>$A2878*$O2878</f>
        <v>0</v>
      </c>
      <c r="AV2878" s="1">
        <f>IF($R2878=0,0,INT($A2878/$R2878))</f>
        <v>0</v>
      </c>
      <c r="AW2878" s="1">
        <f>$A2878-$AV2878*$R2878</f>
        <v>0</v>
      </c>
    </row>
    <row r="2879" ht="24.95" customHeight="1" outlineLevel="3" s="1" customFormat="1">
      <c r="A2879" s="15"/>
      <c r="B2879" s="16">
        <v>570</v>
      </c>
      <c r="C2879" s="16">
        <v>855</v>
      </c>
      <c r="D2879" s="16">
        <v>30675</v>
      </c>
      <c r="E2879" s="18"/>
      <c r="F2879" s="18" t="s">
        <v>9509</v>
      </c>
      <c r="G2879" s="18" t="s">
        <v>9510</v>
      </c>
      <c r="H2879" s="18" t="s">
        <v>49</v>
      </c>
      <c r="I2879" s="18" t="s">
        <v>87</v>
      </c>
      <c r="J2879" s="16">
        <v>2024</v>
      </c>
      <c r="K2879" s="18" t="s">
        <v>9511</v>
      </c>
      <c r="L2879" s="16">
        <v>9785961496826</v>
      </c>
      <c r="M2879" s="18" t="s">
        <v>9512</v>
      </c>
      <c r="N2879" s="16">
        <v>104</v>
      </c>
      <c r="O2879" s="19">
        <v>0.39</v>
      </c>
      <c r="P2879" s="16">
        <v>180</v>
      </c>
      <c r="Q2879" s="16">
        <v>250</v>
      </c>
      <c r="R2879" s="16">
        <v>12</v>
      </c>
      <c r="S2879" s="18" t="s">
        <v>123</v>
      </c>
      <c r="T2879" s="18" t="s">
        <v>9513</v>
      </c>
      <c r="U2879" s="17">
        <v>3000</v>
      </c>
      <c r="V2879" s="18" t="s">
        <v>77</v>
      </c>
      <c r="W2879" s="18" t="s">
        <v>55</v>
      </c>
      <c r="X2879" s="16">
        <v>10</v>
      </c>
      <c r="Y2879" s="18" t="s">
        <v>9345</v>
      </c>
      <c r="Z2879" s="18"/>
      <c r="AS2879" s="1">
        <f>IF($A2879&lt;&gt;0,1,0)</f>
        <v>0</v>
      </c>
      <c r="AT2879" s="1">
        <f>$A2879*$B2879</f>
        <v>0</v>
      </c>
      <c r="AU2879" s="1">
        <f>$A2879*$O2879</f>
        <v>0</v>
      </c>
      <c r="AV2879" s="1">
        <f>IF($R2879=0,0,INT($A2879/$R2879))</f>
        <v>0</v>
      </c>
      <c r="AW2879" s="1">
        <f>$A2879-$AV2879*$R2879</f>
        <v>0</v>
      </c>
    </row>
    <row r="2880" ht="24.95" customHeight="1" outlineLevel="3" s="1" customFormat="1">
      <c r="A2880" s="15"/>
      <c r="B2880" s="16">
        <v>570</v>
      </c>
      <c r="C2880" s="16">
        <v>855</v>
      </c>
      <c r="D2880" s="16">
        <v>32961</v>
      </c>
      <c r="E2880" s="18"/>
      <c r="F2880" s="18" t="s">
        <v>9509</v>
      </c>
      <c r="G2880" s="18" t="s">
        <v>9514</v>
      </c>
      <c r="H2880" s="18" t="s">
        <v>49</v>
      </c>
      <c r="I2880" s="18" t="s">
        <v>87</v>
      </c>
      <c r="J2880" s="16">
        <v>2025</v>
      </c>
      <c r="K2880" s="18" t="s">
        <v>9515</v>
      </c>
      <c r="L2880" s="16">
        <v>9785006303485</v>
      </c>
      <c r="M2880" s="18" t="s">
        <v>9516</v>
      </c>
      <c r="N2880" s="16">
        <v>112</v>
      </c>
      <c r="O2880" s="19">
        <v>0.4</v>
      </c>
      <c r="P2880" s="16">
        <v>170</v>
      </c>
      <c r="Q2880" s="16">
        <v>250</v>
      </c>
      <c r="R2880" s="16">
        <v>10</v>
      </c>
      <c r="S2880" s="18" t="s">
        <v>123</v>
      </c>
      <c r="T2880" s="18" t="s">
        <v>9513</v>
      </c>
      <c r="U2880" s="17">
        <v>2500</v>
      </c>
      <c r="V2880" s="18" t="s">
        <v>77</v>
      </c>
      <c r="W2880" s="18" t="s">
        <v>184</v>
      </c>
      <c r="X2880" s="16">
        <v>10</v>
      </c>
      <c r="Y2880" s="18" t="s">
        <v>9517</v>
      </c>
      <c r="Z2880" s="18"/>
      <c r="AS2880" s="1">
        <f>IF($A2880&lt;&gt;0,1,0)</f>
        <v>0</v>
      </c>
      <c r="AT2880" s="1">
        <f>$A2880*$B2880</f>
        <v>0</v>
      </c>
      <c r="AU2880" s="1">
        <f>$A2880*$O2880</f>
        <v>0</v>
      </c>
      <c r="AV2880" s="1">
        <f>IF($R2880=0,0,INT($A2880/$R2880))</f>
        <v>0</v>
      </c>
      <c r="AW2880" s="1">
        <f>$A2880-$AV2880*$R2880</f>
        <v>0</v>
      </c>
    </row>
    <row r="2881" ht="24.95" customHeight="1" outlineLevel="3" s="1" customFormat="1">
      <c r="A2881" s="15"/>
      <c r="B2881" s="16">
        <v>570</v>
      </c>
      <c r="C2881" s="16">
        <v>855</v>
      </c>
      <c r="D2881" s="16">
        <v>30737</v>
      </c>
      <c r="E2881" s="18"/>
      <c r="F2881" s="18" t="s">
        <v>9509</v>
      </c>
      <c r="G2881" s="18" t="s">
        <v>9518</v>
      </c>
      <c r="H2881" s="18" t="s">
        <v>49</v>
      </c>
      <c r="I2881" s="18" t="s">
        <v>87</v>
      </c>
      <c r="J2881" s="16">
        <v>2024</v>
      </c>
      <c r="K2881" s="18" t="s">
        <v>9519</v>
      </c>
      <c r="L2881" s="16">
        <v>9785961496833</v>
      </c>
      <c r="M2881" s="18" t="s">
        <v>9520</v>
      </c>
      <c r="N2881" s="16">
        <v>112</v>
      </c>
      <c r="O2881" s="19">
        <v>0.4</v>
      </c>
      <c r="P2881" s="16">
        <v>180</v>
      </c>
      <c r="Q2881" s="16">
        <v>250</v>
      </c>
      <c r="R2881" s="16">
        <v>10</v>
      </c>
      <c r="S2881" s="18" t="s">
        <v>123</v>
      </c>
      <c r="T2881" s="18" t="s">
        <v>9513</v>
      </c>
      <c r="U2881" s="17">
        <v>3000</v>
      </c>
      <c r="V2881" s="18" t="s">
        <v>77</v>
      </c>
      <c r="W2881" s="18" t="s">
        <v>55</v>
      </c>
      <c r="X2881" s="16">
        <v>10</v>
      </c>
      <c r="Y2881" s="18" t="s">
        <v>7926</v>
      </c>
      <c r="Z2881" s="18"/>
      <c r="AS2881" s="1">
        <f>IF($A2881&lt;&gt;0,1,0)</f>
        <v>0</v>
      </c>
      <c r="AT2881" s="1">
        <f>$A2881*$B2881</f>
        <v>0</v>
      </c>
      <c r="AU2881" s="1">
        <f>$A2881*$O2881</f>
        <v>0</v>
      </c>
      <c r="AV2881" s="1">
        <f>IF($R2881=0,0,INT($A2881/$R2881))</f>
        <v>0</v>
      </c>
      <c r="AW2881" s="1">
        <f>$A2881-$AV2881*$R2881</f>
        <v>0</v>
      </c>
    </row>
    <row r="2882" ht="24.95" customHeight="1" outlineLevel="3" s="1" customFormat="1">
      <c r="A2882" s="15"/>
      <c r="B2882" s="16">
        <v>300</v>
      </c>
      <c r="C2882" s="16">
        <v>480</v>
      </c>
      <c r="D2882" s="16">
        <v>36358</v>
      </c>
      <c r="E2882" s="18"/>
      <c r="F2882" s="18" t="s">
        <v>158</v>
      </c>
      <c r="G2882" s="18" t="s">
        <v>227</v>
      </c>
      <c r="H2882" s="18" t="s">
        <v>49</v>
      </c>
      <c r="I2882" s="18" t="s">
        <v>160</v>
      </c>
      <c r="J2882" s="16">
        <v>2026</v>
      </c>
      <c r="K2882" s="18" t="s">
        <v>228</v>
      </c>
      <c r="L2882" s="16">
        <v>9785002830404</v>
      </c>
      <c r="M2882" s="18" t="s">
        <v>229</v>
      </c>
      <c r="N2882" s="16">
        <v>48</v>
      </c>
      <c r="O2882" s="19">
        <v>0.2</v>
      </c>
      <c r="P2882" s="16">
        <v>150</v>
      </c>
      <c r="Q2882" s="16">
        <v>210</v>
      </c>
      <c r="R2882" s="16">
        <v>16</v>
      </c>
      <c r="S2882" s="18" t="s">
        <v>43</v>
      </c>
      <c r="T2882" s="18" t="s">
        <v>163</v>
      </c>
      <c r="U2882" s="17">
        <v>5000</v>
      </c>
      <c r="V2882" s="18" t="s">
        <v>77</v>
      </c>
      <c r="W2882" s="18" t="s">
        <v>55</v>
      </c>
      <c r="X2882" s="16">
        <v>10</v>
      </c>
      <c r="Y2882" s="43" t="str">
        <f>HYPERLINK("","")</f>
      </c>
      <c r="Z2882" s="18" t="s">
        <v>46</v>
      </c>
      <c r="AS2882" s="1">
        <f>IF($A2882&lt;&gt;0,1,0)</f>
        <v>0</v>
      </c>
      <c r="AT2882" s="1">
        <f>$A2882*$B2882</f>
        <v>0</v>
      </c>
      <c r="AU2882" s="1">
        <f>$A2882*$O2882</f>
        <v>0</v>
      </c>
      <c r="AV2882" s="1">
        <f>IF($R2882=0,0,INT($A2882/$R2882))</f>
        <v>0</v>
      </c>
      <c r="AW2882" s="1">
        <f>$A2882-$AV2882*$R2882</f>
        <v>0</v>
      </c>
    </row>
    <row r="2883" ht="24.95" customHeight="1" outlineLevel="3" s="1" customFormat="1">
      <c r="A2883" s="15"/>
      <c r="B2883" s="16">
        <v>300</v>
      </c>
      <c r="C2883" s="16">
        <v>480</v>
      </c>
      <c r="D2883" s="16">
        <v>36360</v>
      </c>
      <c r="E2883" s="18"/>
      <c r="F2883" s="18" t="s">
        <v>158</v>
      </c>
      <c r="G2883" s="18" t="s">
        <v>277</v>
      </c>
      <c r="H2883" s="18" t="s">
        <v>49</v>
      </c>
      <c r="I2883" s="18" t="s">
        <v>160</v>
      </c>
      <c r="J2883" s="16">
        <v>2026</v>
      </c>
      <c r="K2883" s="18" t="s">
        <v>278</v>
      </c>
      <c r="L2883" s="16">
        <v>9785002830428</v>
      </c>
      <c r="M2883" s="18" t="s">
        <v>279</v>
      </c>
      <c r="N2883" s="16">
        <v>48</v>
      </c>
      <c r="O2883" s="19">
        <v>0.2</v>
      </c>
      <c r="P2883" s="16">
        <v>150</v>
      </c>
      <c r="Q2883" s="16">
        <v>210</v>
      </c>
      <c r="R2883" s="16">
        <v>16</v>
      </c>
      <c r="S2883" s="18" t="s">
        <v>43</v>
      </c>
      <c r="T2883" s="18" t="s">
        <v>163</v>
      </c>
      <c r="U2883" s="17">
        <v>5000</v>
      </c>
      <c r="V2883" s="18" t="s">
        <v>77</v>
      </c>
      <c r="W2883" s="18" t="s">
        <v>55</v>
      </c>
      <c r="X2883" s="16">
        <v>10</v>
      </c>
      <c r="Y2883" s="43" t="str">
        <f>HYPERLINK("","")</f>
      </c>
      <c r="Z2883" s="18" t="s">
        <v>70</v>
      </c>
      <c r="AS2883" s="1">
        <f>IF($A2883&lt;&gt;0,1,0)</f>
        <v>0</v>
      </c>
      <c r="AT2883" s="1">
        <f>$A2883*$B2883</f>
        <v>0</v>
      </c>
      <c r="AU2883" s="1">
        <f>$A2883*$O2883</f>
        <v>0</v>
      </c>
      <c r="AV2883" s="1">
        <f>IF($R2883=0,0,INT($A2883/$R2883))</f>
        <v>0</v>
      </c>
      <c r="AW2883" s="1">
        <f>$A2883-$AV2883*$R2883</f>
        <v>0</v>
      </c>
    </row>
    <row r="2884" ht="24.95" customHeight="1" outlineLevel="3" s="1" customFormat="1">
      <c r="A2884" s="15"/>
      <c r="B2884" s="16">
        <v>300</v>
      </c>
      <c r="C2884" s="16">
        <v>480</v>
      </c>
      <c r="D2884" s="16">
        <v>36357</v>
      </c>
      <c r="E2884" s="18"/>
      <c r="F2884" s="18" t="s">
        <v>158</v>
      </c>
      <c r="G2884" s="18" t="s">
        <v>295</v>
      </c>
      <c r="H2884" s="18" t="s">
        <v>49</v>
      </c>
      <c r="I2884" s="18" t="s">
        <v>160</v>
      </c>
      <c r="J2884" s="16">
        <v>2026</v>
      </c>
      <c r="K2884" s="18" t="s">
        <v>296</v>
      </c>
      <c r="L2884" s="16">
        <v>9785002830398</v>
      </c>
      <c r="M2884" s="18" t="s">
        <v>297</v>
      </c>
      <c r="N2884" s="16">
        <v>48</v>
      </c>
      <c r="O2884" s="19">
        <v>0.2</v>
      </c>
      <c r="P2884" s="16">
        <v>150</v>
      </c>
      <c r="Q2884" s="16">
        <v>210</v>
      </c>
      <c r="R2884" s="16">
        <v>16</v>
      </c>
      <c r="S2884" s="18" t="s">
        <v>43</v>
      </c>
      <c r="T2884" s="18" t="s">
        <v>163</v>
      </c>
      <c r="U2884" s="17">
        <v>5000</v>
      </c>
      <c r="V2884" s="18" t="s">
        <v>77</v>
      </c>
      <c r="W2884" s="18" t="s">
        <v>55</v>
      </c>
      <c r="X2884" s="16">
        <v>10</v>
      </c>
      <c r="Y2884" s="43" t="str">
        <f>HYPERLINK("","")</f>
      </c>
      <c r="Z2884" s="18" t="s">
        <v>70</v>
      </c>
      <c r="AS2884" s="1">
        <f>IF($A2884&lt;&gt;0,1,0)</f>
        <v>0</v>
      </c>
      <c r="AT2884" s="1">
        <f>$A2884*$B2884</f>
        <v>0</v>
      </c>
      <c r="AU2884" s="1">
        <f>$A2884*$O2884</f>
        <v>0</v>
      </c>
      <c r="AV2884" s="1">
        <f>IF($R2884=0,0,INT($A2884/$R2884))</f>
        <v>0</v>
      </c>
      <c r="AW2884" s="1">
        <f>$A2884-$AV2884*$R2884</f>
        <v>0</v>
      </c>
    </row>
    <row r="2885" ht="24.95" customHeight="1" outlineLevel="3" s="1" customFormat="1">
      <c r="A2885" s="15"/>
      <c r="B2885" s="16">
        <v>590</v>
      </c>
      <c r="C2885" s="16">
        <v>885</v>
      </c>
      <c r="D2885" s="16">
        <v>33873</v>
      </c>
      <c r="E2885" s="18"/>
      <c r="F2885" s="18" t="s">
        <v>9521</v>
      </c>
      <c r="G2885" s="18" t="s">
        <v>9522</v>
      </c>
      <c r="H2885" s="18" t="s">
        <v>8445</v>
      </c>
      <c r="I2885" s="18" t="s">
        <v>74</v>
      </c>
      <c r="J2885" s="16">
        <v>2025</v>
      </c>
      <c r="K2885" s="18" t="s">
        <v>9523</v>
      </c>
      <c r="L2885" s="16">
        <v>9785006305892</v>
      </c>
      <c r="M2885" s="18" t="s">
        <v>9524</v>
      </c>
      <c r="N2885" s="16">
        <v>160</v>
      </c>
      <c r="O2885" s="19">
        <v>0.33</v>
      </c>
      <c r="P2885" s="16">
        <v>150</v>
      </c>
      <c r="Q2885" s="16">
        <v>220</v>
      </c>
      <c r="R2885" s="16">
        <v>18</v>
      </c>
      <c r="S2885" s="18" t="s">
        <v>43</v>
      </c>
      <c r="T2885" s="18" t="s">
        <v>9525</v>
      </c>
      <c r="U2885" s="17">
        <v>2000</v>
      </c>
      <c r="V2885" s="18" t="s">
        <v>77</v>
      </c>
      <c r="W2885" s="18" t="s">
        <v>55</v>
      </c>
      <c r="X2885" s="16">
        <v>10</v>
      </c>
      <c r="Y2885" s="43" t="str">
        <f>HYPERLINK("https://api-enni.alpina.ru/FilePrivilegesApproval/944","https://api-enni.alpina.ru/FilePrivilegesApproval/944")</f>
        <v>https://api-enni.alpina.ru/FilePrivilegesApproval/944</v>
      </c>
      <c r="Z2885" s="18"/>
      <c r="AS2885" s="1">
        <f>IF($A2885&lt;&gt;0,1,0)</f>
        <v>0</v>
      </c>
      <c r="AT2885" s="1">
        <f>$A2885*$B2885</f>
        <v>0</v>
      </c>
      <c r="AU2885" s="1">
        <f>$A2885*$O2885</f>
        <v>0</v>
      </c>
      <c r="AV2885" s="1">
        <f>IF($R2885=0,0,INT($A2885/$R2885))</f>
        <v>0</v>
      </c>
      <c r="AW2885" s="1">
        <f>$A2885-$AV2885*$R2885</f>
        <v>0</v>
      </c>
    </row>
    <row r="2886" ht="24.95" customHeight="1" outlineLevel="3" s="1" customFormat="1">
      <c r="A2886" s="15"/>
      <c r="B2886" s="16">
        <v>590</v>
      </c>
      <c r="C2886" s="16">
        <v>885</v>
      </c>
      <c r="D2886" s="16">
        <v>33872</v>
      </c>
      <c r="E2886" s="18"/>
      <c r="F2886" s="18" t="s">
        <v>9521</v>
      </c>
      <c r="G2886" s="18" t="s">
        <v>9526</v>
      </c>
      <c r="H2886" s="18" t="s">
        <v>8445</v>
      </c>
      <c r="I2886" s="18" t="s">
        <v>74</v>
      </c>
      <c r="J2886" s="16">
        <v>2025</v>
      </c>
      <c r="K2886" s="18" t="s">
        <v>9527</v>
      </c>
      <c r="L2886" s="16">
        <v>9785006305885</v>
      </c>
      <c r="M2886" s="18" t="s">
        <v>9528</v>
      </c>
      <c r="N2886" s="16">
        <v>152</v>
      </c>
      <c r="O2886" s="19">
        <v>0.35</v>
      </c>
      <c r="P2886" s="16">
        <v>150</v>
      </c>
      <c r="Q2886" s="16">
        <v>210</v>
      </c>
      <c r="R2886" s="16">
        <v>18</v>
      </c>
      <c r="S2886" s="18" t="s">
        <v>43</v>
      </c>
      <c r="T2886" s="18" t="s">
        <v>9525</v>
      </c>
      <c r="U2886" s="17">
        <v>2000</v>
      </c>
      <c r="V2886" s="18" t="s">
        <v>77</v>
      </c>
      <c r="W2886" s="18" t="s">
        <v>55</v>
      </c>
      <c r="X2886" s="16">
        <v>10</v>
      </c>
      <c r="Y2886" s="43" t="str">
        <f>HYPERLINK("https://api-enni.alpina.ru/FilePrivilegesApproval/944","https://api-enni.alpina.ru/FilePrivilegesApproval/944")</f>
        <v>https://api-enni.alpina.ru/FilePrivilegesApproval/944</v>
      </c>
      <c r="Z2886" s="18"/>
      <c r="AS2886" s="1">
        <f>IF($A2886&lt;&gt;0,1,0)</f>
        <v>0</v>
      </c>
      <c r="AT2886" s="1">
        <f>$A2886*$B2886</f>
        <v>0</v>
      </c>
      <c r="AU2886" s="1">
        <f>$A2886*$O2886</f>
        <v>0</v>
      </c>
      <c r="AV2886" s="1">
        <f>IF($R2886=0,0,INT($A2886/$R2886))</f>
        <v>0</v>
      </c>
      <c r="AW2886" s="1">
        <f>$A2886-$AV2886*$R2886</f>
        <v>0</v>
      </c>
    </row>
    <row r="2887" ht="11.1" customHeight="1" outlineLevel="2">
      <c r="A2887" s="41" t="s">
        <v>9529</v>
      </c>
      <c r="B2887" s="41"/>
      <c r="C2887" s="41"/>
      <c r="D2887" s="41"/>
      <c r="E2887" s="41"/>
      <c r="F2887" s="41"/>
      <c r="G2887" s="41"/>
      <c r="H2887" s="41"/>
      <c r="I2887" s="41"/>
      <c r="J2887" s="41"/>
      <c r="K2887" s="41"/>
      <c r="L2887" s="41"/>
      <c r="M2887" s="41"/>
      <c r="N2887" s="41"/>
      <c r="O2887" s="41"/>
      <c r="P2887" s="41"/>
      <c r="Q2887" s="41"/>
      <c r="R2887" s="41"/>
      <c r="S2887" s="41"/>
      <c r="T2887" s="41"/>
      <c r="U2887" s="41"/>
      <c r="V2887" s="41"/>
      <c r="W2887" s="41"/>
      <c r="X2887" s="41"/>
      <c r="Y2887" s="41"/>
      <c r="Z2887" s="24"/>
    </row>
    <row r="2888" ht="24.95" customHeight="1" outlineLevel="3" s="1" customFormat="1">
      <c r="A2888" s="15"/>
      <c r="B2888" s="16">
        <v>790</v>
      </c>
      <c r="C2888" s="17">
        <v>1146</v>
      </c>
      <c r="D2888" s="16">
        <v>28412</v>
      </c>
      <c r="E2888" s="18"/>
      <c r="F2888" s="18" t="s">
        <v>9530</v>
      </c>
      <c r="G2888" s="18" t="s">
        <v>9531</v>
      </c>
      <c r="H2888" s="18" t="s">
        <v>49</v>
      </c>
      <c r="I2888" s="18" t="s">
        <v>74</v>
      </c>
      <c r="J2888" s="16">
        <v>2024</v>
      </c>
      <c r="K2888" s="18" t="s">
        <v>9532</v>
      </c>
      <c r="L2888" s="16">
        <v>9785961488838</v>
      </c>
      <c r="M2888" s="18" t="s">
        <v>9533</v>
      </c>
      <c r="N2888" s="16">
        <v>512</v>
      </c>
      <c r="O2888" s="19">
        <v>0.49</v>
      </c>
      <c r="P2888" s="16">
        <v>140</v>
      </c>
      <c r="Q2888" s="16">
        <v>210</v>
      </c>
      <c r="R2888" s="16">
        <v>4</v>
      </c>
      <c r="S2888" s="18" t="s">
        <v>90</v>
      </c>
      <c r="T2888" s="18"/>
      <c r="U2888" s="17">
        <v>3000</v>
      </c>
      <c r="V2888" s="18" t="s">
        <v>77</v>
      </c>
      <c r="W2888" s="18" t="s">
        <v>91</v>
      </c>
      <c r="X2888" s="16">
        <v>10</v>
      </c>
      <c r="Y2888" s="18" t="s">
        <v>9534</v>
      </c>
      <c r="Z2888" s="18"/>
      <c r="AS2888" s="1">
        <f>IF($A2888&lt;&gt;0,1,0)</f>
        <v>0</v>
      </c>
      <c r="AT2888" s="1">
        <f>$A2888*$B2888</f>
        <v>0</v>
      </c>
      <c r="AU2888" s="1">
        <f>$A2888*$O2888</f>
        <v>0</v>
      </c>
      <c r="AV2888" s="1">
        <f>IF($R2888=0,0,INT($A2888/$R2888))</f>
        <v>0</v>
      </c>
      <c r="AW2888" s="1">
        <f>$A2888-$AV2888*$R2888</f>
        <v>0</v>
      </c>
    </row>
    <row r="2889" ht="24.95" customHeight="1" outlineLevel="3" s="1" customFormat="1">
      <c r="A2889" s="15"/>
      <c r="B2889" s="16">
        <v>790</v>
      </c>
      <c r="C2889" s="17">
        <v>1146</v>
      </c>
      <c r="D2889" s="16">
        <v>28413</v>
      </c>
      <c r="E2889" s="18"/>
      <c r="F2889" s="18" t="s">
        <v>9530</v>
      </c>
      <c r="G2889" s="18" t="s">
        <v>9535</v>
      </c>
      <c r="H2889" s="18" t="s">
        <v>49</v>
      </c>
      <c r="I2889" s="18" t="s">
        <v>74</v>
      </c>
      <c r="J2889" s="16">
        <v>2024</v>
      </c>
      <c r="K2889" s="18" t="s">
        <v>9536</v>
      </c>
      <c r="L2889" s="16">
        <v>9785961488845</v>
      </c>
      <c r="M2889" s="18" t="s">
        <v>9537</v>
      </c>
      <c r="N2889" s="16">
        <v>432</v>
      </c>
      <c r="O2889" s="19">
        <v>0.44</v>
      </c>
      <c r="P2889" s="16">
        <v>140</v>
      </c>
      <c r="Q2889" s="16">
        <v>210</v>
      </c>
      <c r="R2889" s="16">
        <v>4</v>
      </c>
      <c r="S2889" s="18" t="s">
        <v>90</v>
      </c>
      <c r="T2889" s="18"/>
      <c r="U2889" s="17">
        <v>3000</v>
      </c>
      <c r="V2889" s="18" t="s">
        <v>77</v>
      </c>
      <c r="W2889" s="18" t="s">
        <v>91</v>
      </c>
      <c r="X2889" s="16">
        <v>10</v>
      </c>
      <c r="Y2889" s="18" t="s">
        <v>9534</v>
      </c>
      <c r="Z2889" s="18"/>
      <c r="AS2889" s="1">
        <f>IF($A2889&lt;&gt;0,1,0)</f>
        <v>0</v>
      </c>
      <c r="AT2889" s="1">
        <f>$A2889*$B2889</f>
        <v>0</v>
      </c>
      <c r="AU2889" s="1">
        <f>$A2889*$O2889</f>
        <v>0</v>
      </c>
      <c r="AV2889" s="1">
        <f>IF($R2889=0,0,INT($A2889/$R2889))</f>
        <v>0</v>
      </c>
      <c r="AW2889" s="1">
        <f>$A2889-$AV2889*$R2889</f>
        <v>0</v>
      </c>
    </row>
    <row r="2890" ht="21.95" customHeight="1" outlineLevel="3" s="1" customFormat="1">
      <c r="A2890" s="15"/>
      <c r="B2890" s="16">
        <v>790</v>
      </c>
      <c r="C2890" s="17">
        <v>1146</v>
      </c>
      <c r="D2890" s="16">
        <v>28411</v>
      </c>
      <c r="E2890" s="18"/>
      <c r="F2890" s="18" t="s">
        <v>9530</v>
      </c>
      <c r="G2890" s="18" t="s">
        <v>9538</v>
      </c>
      <c r="H2890" s="18" t="s">
        <v>49</v>
      </c>
      <c r="I2890" s="18" t="s">
        <v>74</v>
      </c>
      <c r="J2890" s="16">
        <v>2024</v>
      </c>
      <c r="K2890" s="18" t="s">
        <v>9539</v>
      </c>
      <c r="L2890" s="16">
        <v>9785961488821</v>
      </c>
      <c r="M2890" s="18" t="s">
        <v>9540</v>
      </c>
      <c r="N2890" s="16">
        <v>352</v>
      </c>
      <c r="O2890" s="19">
        <v>0.37</v>
      </c>
      <c r="P2890" s="16">
        <v>130</v>
      </c>
      <c r="Q2890" s="16">
        <v>210</v>
      </c>
      <c r="R2890" s="16">
        <v>5</v>
      </c>
      <c r="S2890" s="18" t="s">
        <v>90</v>
      </c>
      <c r="T2890" s="18"/>
      <c r="U2890" s="17">
        <v>3000</v>
      </c>
      <c r="V2890" s="18" t="s">
        <v>77</v>
      </c>
      <c r="W2890" s="18" t="s">
        <v>91</v>
      </c>
      <c r="X2890" s="16">
        <v>10</v>
      </c>
      <c r="Y2890" s="43" t="str">
        <f>HYPERLINK("","")</f>
      </c>
      <c r="Z2890" s="18"/>
      <c r="AS2890" s="1">
        <f>IF($A2890&lt;&gt;0,1,0)</f>
        <v>0</v>
      </c>
      <c r="AT2890" s="1">
        <f>$A2890*$B2890</f>
        <v>0</v>
      </c>
      <c r="AU2890" s="1">
        <f>$A2890*$O2890</f>
        <v>0</v>
      </c>
      <c r="AV2890" s="1">
        <f>IF($R2890=0,0,INT($A2890/$R2890))</f>
        <v>0</v>
      </c>
      <c r="AW2890" s="1">
        <f>$A2890-$AV2890*$R2890</f>
        <v>0</v>
      </c>
    </row>
    <row r="2891" ht="24.95" customHeight="1" outlineLevel="3" s="1" customFormat="1">
      <c r="A2891" s="15"/>
      <c r="B2891" s="16">
        <v>390</v>
      </c>
      <c r="C2891" s="16">
        <v>624</v>
      </c>
      <c r="D2891" s="16">
        <v>27024</v>
      </c>
      <c r="E2891" s="18"/>
      <c r="F2891" s="18" t="s">
        <v>9541</v>
      </c>
      <c r="G2891" s="18" t="s">
        <v>9542</v>
      </c>
      <c r="H2891" s="18" t="s">
        <v>49</v>
      </c>
      <c r="I2891" s="18"/>
      <c r="J2891" s="16">
        <v>2023</v>
      </c>
      <c r="K2891" s="18" t="s">
        <v>9543</v>
      </c>
      <c r="L2891" s="16">
        <v>9785961483772</v>
      </c>
      <c r="M2891" s="18" t="s">
        <v>9544</v>
      </c>
      <c r="N2891" s="16">
        <v>144</v>
      </c>
      <c r="O2891" s="19">
        <v>0.16</v>
      </c>
      <c r="P2891" s="16">
        <v>125</v>
      </c>
      <c r="Q2891" s="16">
        <v>200</v>
      </c>
      <c r="R2891" s="16">
        <v>30</v>
      </c>
      <c r="S2891" s="18" t="s">
        <v>90</v>
      </c>
      <c r="T2891" s="18" t="s">
        <v>381</v>
      </c>
      <c r="U2891" s="17">
        <v>2000</v>
      </c>
      <c r="V2891" s="18" t="s">
        <v>44</v>
      </c>
      <c r="W2891" s="18" t="s">
        <v>91</v>
      </c>
      <c r="X2891" s="16">
        <v>10</v>
      </c>
      <c r="Y2891" s="18" t="s">
        <v>7922</v>
      </c>
      <c r="Z2891" s="18"/>
      <c r="AS2891" s="1">
        <f>IF($A2891&lt;&gt;0,1,0)</f>
        <v>0</v>
      </c>
      <c r="AT2891" s="1">
        <f>$A2891*$B2891</f>
        <v>0</v>
      </c>
      <c r="AU2891" s="1">
        <f>$A2891*$O2891</f>
        <v>0</v>
      </c>
      <c r="AV2891" s="1">
        <f>IF($R2891=0,0,INT($A2891/$R2891))</f>
        <v>0</v>
      </c>
      <c r="AW2891" s="1">
        <f>$A2891-$AV2891*$R2891</f>
        <v>0</v>
      </c>
    </row>
    <row r="2892" ht="21.95" customHeight="1" outlineLevel="3" s="1" customFormat="1">
      <c r="A2892" s="15"/>
      <c r="B2892" s="16">
        <v>550</v>
      </c>
      <c r="C2892" s="16">
        <v>852</v>
      </c>
      <c r="D2892" s="16">
        <v>23810</v>
      </c>
      <c r="E2892" s="18"/>
      <c r="F2892" s="18" t="s">
        <v>7674</v>
      </c>
      <c r="G2892" s="18" t="s">
        <v>7675</v>
      </c>
      <c r="H2892" s="18" t="s">
        <v>49</v>
      </c>
      <c r="I2892" s="18" t="s">
        <v>74</v>
      </c>
      <c r="J2892" s="16">
        <v>2023</v>
      </c>
      <c r="K2892" s="18" t="s">
        <v>9545</v>
      </c>
      <c r="L2892" s="16">
        <v>9785961473612</v>
      </c>
      <c r="M2892" s="18" t="s">
        <v>9546</v>
      </c>
      <c r="N2892" s="16">
        <v>384</v>
      </c>
      <c r="O2892" s="19">
        <v>0.38</v>
      </c>
      <c r="P2892" s="16">
        <v>130</v>
      </c>
      <c r="Q2892" s="16">
        <v>206</v>
      </c>
      <c r="R2892" s="16">
        <v>12</v>
      </c>
      <c r="S2892" s="18" t="s">
        <v>90</v>
      </c>
      <c r="T2892" s="18"/>
      <c r="U2892" s="17">
        <v>2000</v>
      </c>
      <c r="V2892" s="18" t="s">
        <v>77</v>
      </c>
      <c r="W2892" s="18" t="s">
        <v>91</v>
      </c>
      <c r="X2892" s="16">
        <v>10</v>
      </c>
      <c r="Y2892" s="43" t="str">
        <f>HYPERLINK("","")</f>
      </c>
      <c r="Z2892" s="18"/>
      <c r="AS2892" s="1">
        <f>IF($A2892&lt;&gt;0,1,0)</f>
        <v>0</v>
      </c>
      <c r="AT2892" s="1">
        <f>$A2892*$B2892</f>
        <v>0</v>
      </c>
      <c r="AU2892" s="1">
        <f>$A2892*$O2892</f>
        <v>0</v>
      </c>
      <c r="AV2892" s="1">
        <f>IF($R2892=0,0,INT($A2892/$R2892))</f>
        <v>0</v>
      </c>
      <c r="AW2892" s="1">
        <f>$A2892-$AV2892*$R2892</f>
        <v>0</v>
      </c>
    </row>
    <row r="2893" ht="21.95" customHeight="1" outlineLevel="3" s="1" customFormat="1">
      <c r="A2893" s="15"/>
      <c r="B2893" s="16">
        <v>750</v>
      </c>
      <c r="C2893" s="17">
        <v>1088</v>
      </c>
      <c r="D2893" s="16">
        <v>27025</v>
      </c>
      <c r="E2893" s="18"/>
      <c r="F2893" s="18" t="s">
        <v>9530</v>
      </c>
      <c r="G2893" s="18" t="s">
        <v>9547</v>
      </c>
      <c r="H2893" s="18" t="s">
        <v>49</v>
      </c>
      <c r="I2893" s="18" t="s">
        <v>74</v>
      </c>
      <c r="J2893" s="16">
        <v>2023</v>
      </c>
      <c r="K2893" s="18" t="s">
        <v>9548</v>
      </c>
      <c r="L2893" s="16">
        <v>9785961483789</v>
      </c>
      <c r="M2893" s="18" t="s">
        <v>9549</v>
      </c>
      <c r="N2893" s="16">
        <v>384</v>
      </c>
      <c r="O2893" s="19">
        <v>0.38</v>
      </c>
      <c r="P2893" s="16">
        <v>130</v>
      </c>
      <c r="Q2893" s="16">
        <v>210</v>
      </c>
      <c r="R2893" s="16">
        <v>5</v>
      </c>
      <c r="S2893" s="18" t="s">
        <v>90</v>
      </c>
      <c r="T2893" s="18" t="s">
        <v>381</v>
      </c>
      <c r="U2893" s="17">
        <v>3000</v>
      </c>
      <c r="V2893" s="18" t="s">
        <v>77</v>
      </c>
      <c r="W2893" s="18" t="s">
        <v>91</v>
      </c>
      <c r="X2893" s="16">
        <v>10</v>
      </c>
      <c r="Y2893" s="43" t="str">
        <f>HYPERLINK("","")</f>
      </c>
      <c r="Z2893" s="18"/>
      <c r="AS2893" s="1">
        <f>IF($A2893&lt;&gt;0,1,0)</f>
        <v>0</v>
      </c>
      <c r="AT2893" s="1">
        <f>$A2893*$B2893</f>
        <v>0</v>
      </c>
      <c r="AU2893" s="1">
        <f>$A2893*$O2893</f>
        <v>0</v>
      </c>
      <c r="AV2893" s="1">
        <f>IF($R2893=0,0,INT($A2893/$R2893))</f>
        <v>0</v>
      </c>
      <c r="AW2893" s="1">
        <f>$A2893-$AV2893*$R2893</f>
        <v>0</v>
      </c>
    </row>
    <row r="2894" ht="24.95" customHeight="1" outlineLevel="3" s="1" customFormat="1">
      <c r="A2894" s="15"/>
      <c r="B2894" s="16">
        <v>530</v>
      </c>
      <c r="C2894" s="16">
        <v>822</v>
      </c>
      <c r="D2894" s="16">
        <v>27658</v>
      </c>
      <c r="E2894" s="18"/>
      <c r="F2894" s="18" t="s">
        <v>9530</v>
      </c>
      <c r="G2894" s="18" t="s">
        <v>9550</v>
      </c>
      <c r="H2894" s="18" t="s">
        <v>49</v>
      </c>
      <c r="I2894" s="18" t="s">
        <v>74</v>
      </c>
      <c r="J2894" s="16">
        <v>2023</v>
      </c>
      <c r="K2894" s="18" t="s">
        <v>9551</v>
      </c>
      <c r="L2894" s="16">
        <v>9785961485967</v>
      </c>
      <c r="M2894" s="18" t="s">
        <v>9552</v>
      </c>
      <c r="N2894" s="16">
        <v>416</v>
      </c>
      <c r="O2894" s="19">
        <v>0.3</v>
      </c>
      <c r="P2894" s="16">
        <v>130</v>
      </c>
      <c r="Q2894" s="16">
        <v>200</v>
      </c>
      <c r="R2894" s="16">
        <v>6</v>
      </c>
      <c r="S2894" s="18" t="s">
        <v>90</v>
      </c>
      <c r="T2894" s="18"/>
      <c r="U2894" s="17">
        <v>5000</v>
      </c>
      <c r="V2894" s="18" t="s">
        <v>44</v>
      </c>
      <c r="W2894" s="18" t="s">
        <v>91</v>
      </c>
      <c r="X2894" s="16">
        <v>10</v>
      </c>
      <c r="Y2894" s="18" t="s">
        <v>9553</v>
      </c>
      <c r="Z2894" s="18"/>
      <c r="AS2894" s="1">
        <f>IF($A2894&lt;&gt;0,1,0)</f>
        <v>0</v>
      </c>
      <c r="AT2894" s="1">
        <f>$A2894*$B2894</f>
        <v>0</v>
      </c>
      <c r="AU2894" s="1">
        <f>$A2894*$O2894</f>
        <v>0</v>
      </c>
      <c r="AV2894" s="1">
        <f>IF($R2894=0,0,INT($A2894/$R2894))</f>
        <v>0</v>
      </c>
      <c r="AW2894" s="1">
        <f>$A2894-$AV2894*$R2894</f>
        <v>0</v>
      </c>
    </row>
    <row r="2895" ht="24.95" customHeight="1" outlineLevel="3" s="1" customFormat="1">
      <c r="A2895" s="15"/>
      <c r="B2895" s="16">
        <v>840</v>
      </c>
      <c r="C2895" s="17">
        <v>1218</v>
      </c>
      <c r="D2895" s="16">
        <v>30846</v>
      </c>
      <c r="E2895" s="18"/>
      <c r="F2895" s="18" t="s">
        <v>9530</v>
      </c>
      <c r="G2895" s="18" t="s">
        <v>9554</v>
      </c>
      <c r="H2895" s="18" t="s">
        <v>49</v>
      </c>
      <c r="I2895" s="18" t="s">
        <v>74</v>
      </c>
      <c r="J2895" s="16">
        <v>2025</v>
      </c>
      <c r="K2895" s="18" t="s">
        <v>9555</v>
      </c>
      <c r="L2895" s="16">
        <v>9785961496765</v>
      </c>
      <c r="M2895" s="18" t="s">
        <v>9556</v>
      </c>
      <c r="N2895" s="16">
        <v>416</v>
      </c>
      <c r="O2895" s="19">
        <v>0.37</v>
      </c>
      <c r="P2895" s="16">
        <v>130</v>
      </c>
      <c r="Q2895" s="16">
        <v>210</v>
      </c>
      <c r="R2895" s="16">
        <v>5</v>
      </c>
      <c r="S2895" s="18" t="s">
        <v>90</v>
      </c>
      <c r="T2895" s="18"/>
      <c r="U2895" s="17">
        <v>2000</v>
      </c>
      <c r="V2895" s="18" t="s">
        <v>77</v>
      </c>
      <c r="W2895" s="18" t="s">
        <v>91</v>
      </c>
      <c r="X2895" s="16">
        <v>10</v>
      </c>
      <c r="Y2895" s="18" t="s">
        <v>9553</v>
      </c>
      <c r="Z2895" s="18"/>
      <c r="AS2895" s="1">
        <f>IF($A2895&lt;&gt;0,1,0)</f>
        <v>0</v>
      </c>
      <c r="AT2895" s="1">
        <f>$A2895*$B2895</f>
        <v>0</v>
      </c>
      <c r="AU2895" s="1">
        <f>$A2895*$O2895</f>
        <v>0</v>
      </c>
      <c r="AV2895" s="1">
        <f>IF($R2895=0,0,INT($A2895/$R2895))</f>
        <v>0</v>
      </c>
      <c r="AW2895" s="1">
        <f>$A2895-$AV2895*$R2895</f>
        <v>0</v>
      </c>
    </row>
    <row r="2896" ht="24.95" customHeight="1" outlineLevel="3" s="1" customFormat="1">
      <c r="A2896" s="15"/>
      <c r="B2896" s="16">
        <v>530</v>
      </c>
      <c r="C2896" s="16">
        <v>822</v>
      </c>
      <c r="D2896" s="16">
        <v>25852</v>
      </c>
      <c r="E2896" s="18"/>
      <c r="F2896" s="18" t="s">
        <v>9557</v>
      </c>
      <c r="G2896" s="18" t="s">
        <v>9558</v>
      </c>
      <c r="H2896" s="18" t="s">
        <v>49</v>
      </c>
      <c r="I2896" s="18" t="s">
        <v>74</v>
      </c>
      <c r="J2896" s="16">
        <v>2022</v>
      </c>
      <c r="K2896" s="18" t="s">
        <v>9559</v>
      </c>
      <c r="L2896" s="16">
        <v>9785961478785</v>
      </c>
      <c r="M2896" s="18" t="s">
        <v>9560</v>
      </c>
      <c r="N2896" s="16">
        <v>304</v>
      </c>
      <c r="O2896" s="19">
        <v>0.3</v>
      </c>
      <c r="P2896" s="16">
        <v>130</v>
      </c>
      <c r="Q2896" s="16">
        <v>206</v>
      </c>
      <c r="R2896" s="16">
        <v>14</v>
      </c>
      <c r="S2896" s="18" t="s">
        <v>90</v>
      </c>
      <c r="T2896" s="18" t="s">
        <v>381</v>
      </c>
      <c r="U2896" s="17">
        <v>2000</v>
      </c>
      <c r="V2896" s="18" t="s">
        <v>77</v>
      </c>
      <c r="W2896" s="18" t="s">
        <v>91</v>
      </c>
      <c r="X2896" s="16">
        <v>10</v>
      </c>
      <c r="Y2896" s="18" t="s">
        <v>8024</v>
      </c>
      <c r="Z2896" s="18"/>
      <c r="AS2896" s="1">
        <f>IF($A2896&lt;&gt;0,1,0)</f>
        <v>0</v>
      </c>
      <c r="AT2896" s="1">
        <f>$A2896*$B2896</f>
        <v>0</v>
      </c>
      <c r="AU2896" s="1">
        <f>$A2896*$O2896</f>
        <v>0</v>
      </c>
      <c r="AV2896" s="1">
        <f>IF($R2896=0,0,INT($A2896/$R2896))</f>
        <v>0</v>
      </c>
      <c r="AW2896" s="1">
        <f>$A2896-$AV2896*$R2896</f>
        <v>0</v>
      </c>
    </row>
    <row r="2897" ht="24.95" customHeight="1" outlineLevel="3" s="1" customFormat="1">
      <c r="A2897" s="15"/>
      <c r="B2897" s="16">
        <v>630</v>
      </c>
      <c r="C2897" s="16">
        <v>945</v>
      </c>
      <c r="D2897" s="16">
        <v>25080</v>
      </c>
      <c r="E2897" s="18"/>
      <c r="F2897" s="18" t="s">
        <v>9530</v>
      </c>
      <c r="G2897" s="18" t="s">
        <v>9561</v>
      </c>
      <c r="H2897" s="18" t="s">
        <v>49</v>
      </c>
      <c r="I2897" s="18" t="s">
        <v>74</v>
      </c>
      <c r="J2897" s="16">
        <v>2023</v>
      </c>
      <c r="K2897" s="18" t="s">
        <v>9562</v>
      </c>
      <c r="L2897" s="16">
        <v>9785961476774</v>
      </c>
      <c r="M2897" s="18" t="s">
        <v>9563</v>
      </c>
      <c r="N2897" s="16">
        <v>400</v>
      </c>
      <c r="O2897" s="19">
        <v>0.39</v>
      </c>
      <c r="P2897" s="16">
        <v>140</v>
      </c>
      <c r="Q2897" s="16">
        <v>210</v>
      </c>
      <c r="R2897" s="16">
        <v>10</v>
      </c>
      <c r="S2897" s="18" t="s">
        <v>90</v>
      </c>
      <c r="T2897" s="18" t="s">
        <v>381</v>
      </c>
      <c r="U2897" s="17">
        <v>2000</v>
      </c>
      <c r="V2897" s="18" t="s">
        <v>77</v>
      </c>
      <c r="W2897" s="18" t="s">
        <v>91</v>
      </c>
      <c r="X2897" s="16">
        <v>10</v>
      </c>
      <c r="Y2897" s="18" t="s">
        <v>8024</v>
      </c>
      <c r="Z2897" s="18"/>
      <c r="AS2897" s="1">
        <f>IF($A2897&lt;&gt;0,1,0)</f>
        <v>0</v>
      </c>
      <c r="AT2897" s="1">
        <f>$A2897*$B2897</f>
        <v>0</v>
      </c>
      <c r="AU2897" s="1">
        <f>$A2897*$O2897</f>
        <v>0</v>
      </c>
      <c r="AV2897" s="1">
        <f>IF($R2897=0,0,INT($A2897/$R2897))</f>
        <v>0</v>
      </c>
      <c r="AW2897" s="1">
        <f>$A2897-$AV2897*$R2897</f>
        <v>0</v>
      </c>
    </row>
    <row r="2898" ht="24.95" customHeight="1" outlineLevel="3" s="1" customFormat="1">
      <c r="A2898" s="15"/>
      <c r="B2898" s="16">
        <v>690</v>
      </c>
      <c r="C2898" s="17">
        <v>1035</v>
      </c>
      <c r="D2898" s="16">
        <v>26292</v>
      </c>
      <c r="E2898" s="18"/>
      <c r="F2898" s="18" t="s">
        <v>7717</v>
      </c>
      <c r="G2898" s="18" t="s">
        <v>7718</v>
      </c>
      <c r="H2898" s="18" t="s">
        <v>49</v>
      </c>
      <c r="I2898" s="18" t="s">
        <v>74</v>
      </c>
      <c r="J2898" s="16">
        <v>2023</v>
      </c>
      <c r="K2898" s="18" t="s">
        <v>9564</v>
      </c>
      <c r="L2898" s="16">
        <v>9785961481075</v>
      </c>
      <c r="M2898" s="18" t="s">
        <v>9565</v>
      </c>
      <c r="N2898" s="16">
        <v>384</v>
      </c>
      <c r="O2898" s="19">
        <v>0.38</v>
      </c>
      <c r="P2898" s="16">
        <v>130</v>
      </c>
      <c r="Q2898" s="16">
        <v>206</v>
      </c>
      <c r="R2898" s="16">
        <v>12</v>
      </c>
      <c r="S2898" s="18" t="s">
        <v>90</v>
      </c>
      <c r="T2898" s="18" t="s">
        <v>381</v>
      </c>
      <c r="U2898" s="17">
        <v>2000</v>
      </c>
      <c r="V2898" s="18" t="s">
        <v>77</v>
      </c>
      <c r="W2898" s="18" t="s">
        <v>91</v>
      </c>
      <c r="X2898" s="16">
        <v>10</v>
      </c>
      <c r="Y2898" s="18" t="s">
        <v>7922</v>
      </c>
      <c r="Z2898" s="18"/>
      <c r="AS2898" s="1">
        <f>IF($A2898&lt;&gt;0,1,0)</f>
        <v>0</v>
      </c>
      <c r="AT2898" s="1">
        <f>$A2898*$B2898</f>
        <v>0</v>
      </c>
      <c r="AU2898" s="1">
        <f>$A2898*$O2898</f>
        <v>0</v>
      </c>
      <c r="AV2898" s="1">
        <f>IF($R2898=0,0,INT($A2898/$R2898))</f>
        <v>0</v>
      </c>
      <c r="AW2898" s="1">
        <f>$A2898-$AV2898*$R2898</f>
        <v>0</v>
      </c>
    </row>
    <row r="2899" ht="24.95" customHeight="1" outlineLevel="3" s="1" customFormat="1">
      <c r="A2899" s="15"/>
      <c r="B2899" s="16">
        <v>840</v>
      </c>
      <c r="C2899" s="17">
        <v>1218</v>
      </c>
      <c r="D2899" s="16">
        <v>20666</v>
      </c>
      <c r="E2899" s="18"/>
      <c r="F2899" s="18" t="s">
        <v>9566</v>
      </c>
      <c r="G2899" s="18" t="s">
        <v>9567</v>
      </c>
      <c r="H2899" s="18" t="s">
        <v>49</v>
      </c>
      <c r="I2899" s="18" t="s">
        <v>74</v>
      </c>
      <c r="J2899" s="16">
        <v>2025</v>
      </c>
      <c r="K2899" s="18" t="s">
        <v>9568</v>
      </c>
      <c r="L2899" s="16">
        <v>9785961440959</v>
      </c>
      <c r="M2899" s="18" t="s">
        <v>9569</v>
      </c>
      <c r="N2899" s="16">
        <v>272</v>
      </c>
      <c r="O2899" s="19">
        <v>0.35</v>
      </c>
      <c r="P2899" s="16">
        <v>160</v>
      </c>
      <c r="Q2899" s="16">
        <v>200</v>
      </c>
      <c r="R2899" s="16">
        <v>7</v>
      </c>
      <c r="S2899" s="18" t="s">
        <v>52</v>
      </c>
      <c r="T2899" s="18"/>
      <c r="U2899" s="17">
        <v>2000</v>
      </c>
      <c r="V2899" s="18" t="s">
        <v>77</v>
      </c>
      <c r="W2899" s="18" t="s">
        <v>55</v>
      </c>
      <c r="X2899" s="16">
        <v>10</v>
      </c>
      <c r="Y2899" s="18" t="s">
        <v>9570</v>
      </c>
      <c r="Z2899" s="18"/>
      <c r="AS2899" s="1">
        <f>IF($A2899&lt;&gt;0,1,0)</f>
        <v>0</v>
      </c>
      <c r="AT2899" s="1">
        <f>$A2899*$B2899</f>
        <v>0</v>
      </c>
      <c r="AU2899" s="1">
        <f>$A2899*$O2899</f>
        <v>0</v>
      </c>
      <c r="AV2899" s="1">
        <f>IF($R2899=0,0,INT($A2899/$R2899))</f>
        <v>0</v>
      </c>
      <c r="AW2899" s="1">
        <f>$A2899-$AV2899*$R2899</f>
        <v>0</v>
      </c>
    </row>
    <row r="2900" ht="24.95" customHeight="1" outlineLevel="3" s="1" customFormat="1">
      <c r="A2900" s="15"/>
      <c r="B2900" s="16">
        <v>590</v>
      </c>
      <c r="C2900" s="16">
        <v>885</v>
      </c>
      <c r="D2900" s="16">
        <v>24011</v>
      </c>
      <c r="E2900" s="18"/>
      <c r="F2900" s="18" t="s">
        <v>9530</v>
      </c>
      <c r="G2900" s="18" t="s">
        <v>9571</v>
      </c>
      <c r="H2900" s="18" t="s">
        <v>49</v>
      </c>
      <c r="I2900" s="18" t="s">
        <v>74</v>
      </c>
      <c r="J2900" s="16">
        <v>2022</v>
      </c>
      <c r="K2900" s="18" t="s">
        <v>9572</v>
      </c>
      <c r="L2900" s="16">
        <v>9785961474190</v>
      </c>
      <c r="M2900" s="18" t="s">
        <v>9573</v>
      </c>
      <c r="N2900" s="16">
        <v>368</v>
      </c>
      <c r="O2900" s="19">
        <v>0.37</v>
      </c>
      <c r="P2900" s="16">
        <v>130</v>
      </c>
      <c r="Q2900" s="16">
        <v>204</v>
      </c>
      <c r="R2900" s="16">
        <v>12</v>
      </c>
      <c r="S2900" s="18" t="s">
        <v>90</v>
      </c>
      <c r="T2900" s="18"/>
      <c r="U2900" s="17">
        <v>4000</v>
      </c>
      <c r="V2900" s="18" t="s">
        <v>77</v>
      </c>
      <c r="W2900" s="18" t="s">
        <v>91</v>
      </c>
      <c r="X2900" s="16">
        <v>10</v>
      </c>
      <c r="Y2900" s="18" t="s">
        <v>8069</v>
      </c>
      <c r="Z2900" s="18"/>
      <c r="AS2900" s="1">
        <f>IF($A2900&lt;&gt;0,1,0)</f>
        <v>0</v>
      </c>
      <c r="AT2900" s="1">
        <f>$A2900*$B2900</f>
        <v>0</v>
      </c>
      <c r="AU2900" s="1">
        <f>$A2900*$O2900</f>
        <v>0</v>
      </c>
      <c r="AV2900" s="1">
        <f>IF($R2900=0,0,INT($A2900/$R2900))</f>
        <v>0</v>
      </c>
      <c r="AW2900" s="1">
        <f>$A2900-$AV2900*$R2900</f>
        <v>0</v>
      </c>
    </row>
    <row r="2901" ht="24.95" customHeight="1" outlineLevel="3" s="1" customFormat="1">
      <c r="A2901" s="15"/>
      <c r="B2901" s="16">
        <v>530</v>
      </c>
      <c r="C2901" s="16">
        <v>822</v>
      </c>
      <c r="D2901" s="16">
        <v>27659</v>
      </c>
      <c r="E2901" s="18"/>
      <c r="F2901" s="18" t="s">
        <v>9530</v>
      </c>
      <c r="G2901" s="18" t="s">
        <v>9574</v>
      </c>
      <c r="H2901" s="18" t="s">
        <v>49</v>
      </c>
      <c r="I2901" s="18" t="s">
        <v>74</v>
      </c>
      <c r="J2901" s="16">
        <v>2023</v>
      </c>
      <c r="K2901" s="18" t="s">
        <v>9575</v>
      </c>
      <c r="L2901" s="16">
        <v>9785961485974</v>
      </c>
      <c r="M2901" s="18" t="s">
        <v>9576</v>
      </c>
      <c r="N2901" s="16">
        <v>368</v>
      </c>
      <c r="O2901" s="19">
        <v>0.3</v>
      </c>
      <c r="P2901" s="16">
        <v>130</v>
      </c>
      <c r="Q2901" s="16">
        <v>200</v>
      </c>
      <c r="R2901" s="16">
        <v>6</v>
      </c>
      <c r="S2901" s="18" t="s">
        <v>90</v>
      </c>
      <c r="T2901" s="18"/>
      <c r="U2901" s="17">
        <v>5000</v>
      </c>
      <c r="V2901" s="18" t="s">
        <v>44</v>
      </c>
      <c r="W2901" s="18" t="s">
        <v>91</v>
      </c>
      <c r="X2901" s="16">
        <v>10</v>
      </c>
      <c r="Y2901" s="18" t="s">
        <v>8069</v>
      </c>
      <c r="Z2901" s="18"/>
      <c r="AS2901" s="1">
        <f>IF($A2901&lt;&gt;0,1,0)</f>
        <v>0</v>
      </c>
      <c r="AT2901" s="1">
        <f>$A2901*$B2901</f>
        <v>0</v>
      </c>
      <c r="AU2901" s="1">
        <f>$A2901*$O2901</f>
        <v>0</v>
      </c>
      <c r="AV2901" s="1">
        <f>IF($R2901=0,0,INT($A2901/$R2901))</f>
        <v>0</v>
      </c>
      <c r="AW2901" s="1">
        <f>$A2901-$AV2901*$R2901</f>
        <v>0</v>
      </c>
    </row>
    <row r="2902" ht="24.95" customHeight="1" outlineLevel="3" s="1" customFormat="1">
      <c r="A2902" s="15"/>
      <c r="B2902" s="16">
        <v>840</v>
      </c>
      <c r="C2902" s="17">
        <v>1218</v>
      </c>
      <c r="D2902" s="16">
        <v>30847</v>
      </c>
      <c r="E2902" s="18"/>
      <c r="F2902" s="18" t="s">
        <v>9530</v>
      </c>
      <c r="G2902" s="18" t="s">
        <v>9571</v>
      </c>
      <c r="H2902" s="18" t="s">
        <v>49</v>
      </c>
      <c r="I2902" s="18" t="s">
        <v>74</v>
      </c>
      <c r="J2902" s="16">
        <v>2025</v>
      </c>
      <c r="K2902" s="18" t="s">
        <v>9577</v>
      </c>
      <c r="L2902" s="16">
        <v>9785961496772</v>
      </c>
      <c r="M2902" s="18" t="s">
        <v>9578</v>
      </c>
      <c r="N2902" s="16">
        <v>368</v>
      </c>
      <c r="O2902" s="19">
        <v>0.37</v>
      </c>
      <c r="P2902" s="16">
        <v>130</v>
      </c>
      <c r="Q2902" s="16">
        <v>210</v>
      </c>
      <c r="R2902" s="16">
        <v>5</v>
      </c>
      <c r="S2902" s="18" t="s">
        <v>90</v>
      </c>
      <c r="T2902" s="18"/>
      <c r="U2902" s="17">
        <v>2000</v>
      </c>
      <c r="V2902" s="18" t="s">
        <v>77</v>
      </c>
      <c r="W2902" s="18" t="s">
        <v>91</v>
      </c>
      <c r="X2902" s="16">
        <v>10</v>
      </c>
      <c r="Y2902" s="18" t="s">
        <v>8069</v>
      </c>
      <c r="Z2902" s="18"/>
      <c r="AS2902" s="1">
        <f>IF($A2902&lt;&gt;0,1,0)</f>
        <v>0</v>
      </c>
      <c r="AT2902" s="1">
        <f>$A2902*$B2902</f>
        <v>0</v>
      </c>
      <c r="AU2902" s="1">
        <f>$A2902*$O2902</f>
        <v>0</v>
      </c>
      <c r="AV2902" s="1">
        <f>IF($R2902=0,0,INT($A2902/$R2902))</f>
        <v>0</v>
      </c>
      <c r="AW2902" s="1">
        <f>$A2902-$AV2902*$R2902</f>
        <v>0</v>
      </c>
    </row>
    <row r="2903" ht="21.95" customHeight="1" outlineLevel="3" s="1" customFormat="1">
      <c r="A2903" s="15"/>
      <c r="B2903" s="16">
        <v>530</v>
      </c>
      <c r="C2903" s="16">
        <v>822</v>
      </c>
      <c r="D2903" s="16">
        <v>27241</v>
      </c>
      <c r="E2903" s="18"/>
      <c r="F2903" s="18" t="s">
        <v>9579</v>
      </c>
      <c r="G2903" s="18" t="s">
        <v>9580</v>
      </c>
      <c r="H2903" s="18" t="s">
        <v>49</v>
      </c>
      <c r="I2903" s="18"/>
      <c r="J2903" s="16">
        <v>2023</v>
      </c>
      <c r="K2903" s="18" t="s">
        <v>9581</v>
      </c>
      <c r="L2903" s="16">
        <v>9785961484281</v>
      </c>
      <c r="M2903" s="18" t="s">
        <v>9582</v>
      </c>
      <c r="N2903" s="16">
        <v>352</v>
      </c>
      <c r="O2903" s="19">
        <v>0.5</v>
      </c>
      <c r="P2903" s="16">
        <v>140</v>
      </c>
      <c r="Q2903" s="16">
        <v>210</v>
      </c>
      <c r="R2903" s="16">
        <v>10</v>
      </c>
      <c r="S2903" s="18" t="s">
        <v>90</v>
      </c>
      <c r="T2903" s="18" t="s">
        <v>381</v>
      </c>
      <c r="U2903" s="17">
        <v>2000</v>
      </c>
      <c r="V2903" s="18" t="s">
        <v>77</v>
      </c>
      <c r="W2903" s="18" t="s">
        <v>91</v>
      </c>
      <c r="X2903" s="16">
        <v>10</v>
      </c>
      <c r="Y2903" s="43" t="str">
        <f>HYPERLINK("","")</f>
      </c>
      <c r="Z2903" s="18"/>
      <c r="AS2903" s="1">
        <f>IF($A2903&lt;&gt;0,1,0)</f>
        <v>0</v>
      </c>
      <c r="AT2903" s="1">
        <f>$A2903*$B2903</f>
        <v>0</v>
      </c>
      <c r="AU2903" s="1">
        <f>$A2903*$O2903</f>
        <v>0</v>
      </c>
      <c r="AV2903" s="1">
        <f>IF($R2903=0,0,INT($A2903/$R2903))</f>
        <v>0</v>
      </c>
      <c r="AW2903" s="1">
        <f>$A2903-$AV2903*$R2903</f>
        <v>0</v>
      </c>
    </row>
    <row r="2904" ht="21.95" customHeight="1" outlineLevel="3" s="1" customFormat="1">
      <c r="A2904" s="15"/>
      <c r="B2904" s="16">
        <v>530</v>
      </c>
      <c r="C2904" s="16">
        <v>822</v>
      </c>
      <c r="D2904" s="16">
        <v>26946</v>
      </c>
      <c r="E2904" s="18"/>
      <c r="F2904" s="18" t="s">
        <v>9579</v>
      </c>
      <c r="G2904" s="18" t="s">
        <v>9583</v>
      </c>
      <c r="H2904" s="18" t="s">
        <v>49</v>
      </c>
      <c r="I2904" s="18"/>
      <c r="J2904" s="16">
        <v>2023</v>
      </c>
      <c r="K2904" s="18" t="s">
        <v>9584</v>
      </c>
      <c r="L2904" s="16">
        <v>9785961483444</v>
      </c>
      <c r="M2904" s="18" t="s">
        <v>9585</v>
      </c>
      <c r="N2904" s="16">
        <v>384</v>
      </c>
      <c r="O2904" s="19">
        <v>0.57</v>
      </c>
      <c r="P2904" s="16">
        <v>140</v>
      </c>
      <c r="Q2904" s="16">
        <v>210</v>
      </c>
      <c r="R2904" s="16">
        <v>10</v>
      </c>
      <c r="S2904" s="18" t="s">
        <v>90</v>
      </c>
      <c r="T2904" s="18" t="s">
        <v>381</v>
      </c>
      <c r="U2904" s="17">
        <v>2000</v>
      </c>
      <c r="V2904" s="18" t="s">
        <v>77</v>
      </c>
      <c r="W2904" s="18" t="s">
        <v>91</v>
      </c>
      <c r="X2904" s="16">
        <v>10</v>
      </c>
      <c r="Y2904" s="43" t="str">
        <f>HYPERLINK("","")</f>
      </c>
      <c r="Z2904" s="18"/>
      <c r="AS2904" s="1">
        <f>IF($A2904&lt;&gt;0,1,0)</f>
        <v>0</v>
      </c>
      <c r="AT2904" s="1">
        <f>$A2904*$B2904</f>
        <v>0</v>
      </c>
      <c r="AU2904" s="1">
        <f>$A2904*$O2904</f>
        <v>0</v>
      </c>
      <c r="AV2904" s="1">
        <f>IF($R2904=0,0,INT($A2904/$R2904))</f>
        <v>0</v>
      </c>
      <c r="AW2904" s="1">
        <f>$A2904-$AV2904*$R2904</f>
        <v>0</v>
      </c>
    </row>
    <row r="2905" ht="21.95" customHeight="1" outlineLevel="3" s="1" customFormat="1">
      <c r="A2905" s="15"/>
      <c r="B2905" s="16">
        <v>530</v>
      </c>
      <c r="C2905" s="16">
        <v>822</v>
      </c>
      <c r="D2905" s="16">
        <v>27240</v>
      </c>
      <c r="E2905" s="18"/>
      <c r="F2905" s="18" t="s">
        <v>9579</v>
      </c>
      <c r="G2905" s="18" t="s">
        <v>9586</v>
      </c>
      <c r="H2905" s="18" t="s">
        <v>49</v>
      </c>
      <c r="I2905" s="18"/>
      <c r="J2905" s="16">
        <v>2023</v>
      </c>
      <c r="K2905" s="18" t="s">
        <v>9587</v>
      </c>
      <c r="L2905" s="16">
        <v>9785961484274</v>
      </c>
      <c r="M2905" s="18" t="s">
        <v>9588</v>
      </c>
      <c r="N2905" s="16">
        <v>224</v>
      </c>
      <c r="O2905" s="19">
        <v>0.37</v>
      </c>
      <c r="P2905" s="16">
        <v>130</v>
      </c>
      <c r="Q2905" s="16">
        <v>210</v>
      </c>
      <c r="R2905" s="16">
        <v>16</v>
      </c>
      <c r="S2905" s="18" t="s">
        <v>90</v>
      </c>
      <c r="T2905" s="18" t="s">
        <v>381</v>
      </c>
      <c r="U2905" s="17">
        <v>2000</v>
      </c>
      <c r="V2905" s="18" t="s">
        <v>77</v>
      </c>
      <c r="W2905" s="18" t="s">
        <v>91</v>
      </c>
      <c r="X2905" s="16">
        <v>10</v>
      </c>
      <c r="Y2905" s="43" t="str">
        <f>HYPERLINK("","")</f>
      </c>
      <c r="Z2905" s="18"/>
      <c r="AS2905" s="1">
        <f>IF($A2905&lt;&gt;0,1,0)</f>
        <v>0</v>
      </c>
      <c r="AT2905" s="1">
        <f>$A2905*$B2905</f>
        <v>0</v>
      </c>
      <c r="AU2905" s="1">
        <f>$A2905*$O2905</f>
        <v>0</v>
      </c>
      <c r="AV2905" s="1">
        <f>IF($R2905=0,0,INT($A2905/$R2905))</f>
        <v>0</v>
      </c>
      <c r="AW2905" s="1">
        <f>$A2905-$AV2905*$R2905</f>
        <v>0</v>
      </c>
    </row>
    <row r="2906" ht="24.95" customHeight="1" outlineLevel="3" s="1" customFormat="1">
      <c r="A2906" s="15"/>
      <c r="B2906" s="16">
        <v>850</v>
      </c>
      <c r="C2906" s="17">
        <v>1232</v>
      </c>
      <c r="D2906" s="16">
        <v>33212</v>
      </c>
      <c r="E2906" s="18"/>
      <c r="F2906" s="18" t="s">
        <v>9530</v>
      </c>
      <c r="G2906" s="18" t="s">
        <v>9589</v>
      </c>
      <c r="H2906" s="18" t="s">
        <v>49</v>
      </c>
      <c r="I2906" s="18" t="s">
        <v>74</v>
      </c>
      <c r="J2906" s="16">
        <v>2026</v>
      </c>
      <c r="K2906" s="18" t="s">
        <v>9590</v>
      </c>
      <c r="L2906" s="16">
        <v>9785006303881</v>
      </c>
      <c r="M2906" s="18" t="s">
        <v>9591</v>
      </c>
      <c r="N2906" s="16">
        <v>384</v>
      </c>
      <c r="O2906" s="19">
        <v>0.38</v>
      </c>
      <c r="P2906" s="16">
        <v>130</v>
      </c>
      <c r="Q2906" s="16">
        <v>210</v>
      </c>
      <c r="R2906" s="16">
        <v>5</v>
      </c>
      <c r="S2906" s="18" t="s">
        <v>90</v>
      </c>
      <c r="T2906" s="18"/>
      <c r="U2906" s="17">
        <v>3000</v>
      </c>
      <c r="V2906" s="18" t="s">
        <v>77</v>
      </c>
      <c r="W2906" s="18" t="s">
        <v>91</v>
      </c>
      <c r="X2906" s="16">
        <v>10</v>
      </c>
      <c r="Y2906" s="18" t="s">
        <v>9592</v>
      </c>
      <c r="Z2906" s="18"/>
      <c r="AS2906" s="1">
        <f>IF($A2906&lt;&gt;0,1,0)</f>
        <v>0</v>
      </c>
      <c r="AT2906" s="1">
        <f>$A2906*$B2906</f>
        <v>0</v>
      </c>
      <c r="AU2906" s="1">
        <f>$A2906*$O2906</f>
        <v>0</v>
      </c>
      <c r="AV2906" s="1">
        <f>IF($R2906=0,0,INT($A2906/$R2906))</f>
        <v>0</v>
      </c>
      <c r="AW2906" s="1">
        <f>$A2906-$AV2906*$R2906</f>
        <v>0</v>
      </c>
    </row>
    <row r="2907" ht="24.95" customHeight="1" outlineLevel="3" s="1" customFormat="1">
      <c r="A2907" s="15"/>
      <c r="B2907" s="16">
        <v>530</v>
      </c>
      <c r="C2907" s="16">
        <v>822</v>
      </c>
      <c r="D2907" s="16">
        <v>26902</v>
      </c>
      <c r="E2907" s="18"/>
      <c r="F2907" s="18" t="s">
        <v>7741</v>
      </c>
      <c r="G2907" s="18" t="s">
        <v>7804</v>
      </c>
      <c r="H2907" s="18" t="s">
        <v>49</v>
      </c>
      <c r="I2907" s="18"/>
      <c r="J2907" s="16">
        <v>2023</v>
      </c>
      <c r="K2907" s="18" t="s">
        <v>9593</v>
      </c>
      <c r="L2907" s="16">
        <v>9785961483260</v>
      </c>
      <c r="M2907" s="18" t="s">
        <v>9594</v>
      </c>
      <c r="N2907" s="16">
        <v>432</v>
      </c>
      <c r="O2907" s="19">
        <v>0.5</v>
      </c>
      <c r="P2907" s="16">
        <v>140</v>
      </c>
      <c r="Q2907" s="16">
        <v>210</v>
      </c>
      <c r="R2907" s="16">
        <v>10</v>
      </c>
      <c r="S2907" s="18" t="s">
        <v>90</v>
      </c>
      <c r="T2907" s="18" t="s">
        <v>381</v>
      </c>
      <c r="U2907" s="17">
        <v>3000</v>
      </c>
      <c r="V2907" s="18" t="s">
        <v>77</v>
      </c>
      <c r="W2907" s="18" t="s">
        <v>91</v>
      </c>
      <c r="X2907" s="16">
        <v>10</v>
      </c>
      <c r="Y2907" s="18" t="s">
        <v>9595</v>
      </c>
      <c r="Z2907" s="18"/>
      <c r="AS2907" s="1">
        <f>IF($A2907&lt;&gt;0,1,0)</f>
        <v>0</v>
      </c>
      <c r="AT2907" s="1">
        <f>$A2907*$B2907</f>
        <v>0</v>
      </c>
      <c r="AU2907" s="1">
        <f>$A2907*$O2907</f>
        <v>0</v>
      </c>
      <c r="AV2907" s="1">
        <f>IF($R2907=0,0,INT($A2907/$R2907))</f>
        <v>0</v>
      </c>
      <c r="AW2907" s="1">
        <f>$A2907-$AV2907*$R2907</f>
        <v>0</v>
      </c>
    </row>
    <row r="2908" ht="24.95" customHeight="1" outlineLevel="3" s="1" customFormat="1">
      <c r="A2908" s="15"/>
      <c r="B2908" s="16">
        <v>890</v>
      </c>
      <c r="C2908" s="17">
        <v>1246</v>
      </c>
      <c r="D2908" s="16">
        <v>28919</v>
      </c>
      <c r="E2908" s="18"/>
      <c r="F2908" s="18" t="s">
        <v>377</v>
      </c>
      <c r="G2908" s="18" t="s">
        <v>900</v>
      </c>
      <c r="H2908" s="18" t="s">
        <v>49</v>
      </c>
      <c r="I2908" s="18"/>
      <c r="J2908" s="16">
        <v>2026</v>
      </c>
      <c r="K2908" s="18" t="s">
        <v>901</v>
      </c>
      <c r="L2908" s="16">
        <v>9785961490718</v>
      </c>
      <c r="M2908" s="18" t="s">
        <v>902</v>
      </c>
      <c r="N2908" s="16">
        <v>464</v>
      </c>
      <c r="O2908" s="19">
        <v>0.57</v>
      </c>
      <c r="P2908" s="16">
        <v>140</v>
      </c>
      <c r="Q2908" s="16">
        <v>210</v>
      </c>
      <c r="R2908" s="16">
        <v>10</v>
      </c>
      <c r="S2908" s="18" t="s">
        <v>90</v>
      </c>
      <c r="T2908" s="18" t="s">
        <v>381</v>
      </c>
      <c r="U2908" s="17">
        <v>5000</v>
      </c>
      <c r="V2908" s="18" t="s">
        <v>77</v>
      </c>
      <c r="W2908" s="18" t="s">
        <v>91</v>
      </c>
      <c r="X2908" s="16">
        <v>10</v>
      </c>
      <c r="Y2908" s="18" t="s">
        <v>528</v>
      </c>
      <c r="Z2908" s="18"/>
      <c r="AS2908" s="1">
        <f>IF($A2908&lt;&gt;0,1,0)</f>
        <v>0</v>
      </c>
      <c r="AT2908" s="1">
        <f>$A2908*$B2908</f>
        <v>0</v>
      </c>
      <c r="AU2908" s="1">
        <f>$A2908*$O2908</f>
        <v>0</v>
      </c>
      <c r="AV2908" s="1">
        <f>IF($R2908=0,0,INT($A2908/$R2908))</f>
        <v>0</v>
      </c>
      <c r="AW2908" s="1">
        <f>$A2908-$AV2908*$R2908</f>
        <v>0</v>
      </c>
    </row>
    <row r="2909" ht="21.95" customHeight="1" outlineLevel="3" s="1" customFormat="1">
      <c r="A2909" s="15"/>
      <c r="B2909" s="16">
        <v>690</v>
      </c>
      <c r="C2909" s="17">
        <v>1246</v>
      </c>
      <c r="D2909" s="16">
        <v>34597</v>
      </c>
      <c r="E2909" s="18"/>
      <c r="F2909" s="18" t="s">
        <v>377</v>
      </c>
      <c r="G2909" s="18" t="s">
        <v>378</v>
      </c>
      <c r="H2909" s="18" t="s">
        <v>49</v>
      </c>
      <c r="I2909" s="18"/>
      <c r="J2909" s="16">
        <v>2026</v>
      </c>
      <c r="K2909" s="18" t="s">
        <v>379</v>
      </c>
      <c r="L2909" s="16">
        <v>9785002831173</v>
      </c>
      <c r="M2909" s="18" t="s">
        <v>380</v>
      </c>
      <c r="N2909" s="16">
        <v>512</v>
      </c>
      <c r="O2909" s="19">
        <v>0.61</v>
      </c>
      <c r="P2909" s="16">
        <v>130</v>
      </c>
      <c r="Q2909" s="16">
        <v>210</v>
      </c>
      <c r="R2909" s="16">
        <v>8</v>
      </c>
      <c r="S2909" s="18" t="s">
        <v>90</v>
      </c>
      <c r="T2909" s="18" t="s">
        <v>381</v>
      </c>
      <c r="U2909" s="17">
        <v>10000</v>
      </c>
      <c r="V2909" s="18" t="s">
        <v>77</v>
      </c>
      <c r="W2909" s="18" t="s">
        <v>91</v>
      </c>
      <c r="X2909" s="16">
        <v>10</v>
      </c>
      <c r="Y2909" s="43" t="str">
        <f>HYPERLINK("","")</f>
      </c>
      <c r="Z2909" s="18" t="s">
        <v>113</v>
      </c>
      <c r="AS2909" s="1">
        <f>IF($A2909&lt;&gt;0,1,0)</f>
        <v>0</v>
      </c>
      <c r="AT2909" s="1">
        <f>$A2909*$B2909</f>
        <v>0</v>
      </c>
      <c r="AU2909" s="1">
        <f>$A2909*$O2909</f>
        <v>0</v>
      </c>
      <c r="AV2909" s="1">
        <f>IF($R2909=0,0,INT($A2909/$R2909))</f>
        <v>0</v>
      </c>
      <c r="AW2909" s="1">
        <f>$A2909-$AV2909*$R2909</f>
        <v>0</v>
      </c>
    </row>
    <row r="2910" ht="24.95" customHeight="1" outlineLevel="3" s="1" customFormat="1">
      <c r="A2910" s="15"/>
      <c r="B2910" s="16">
        <v>530</v>
      </c>
      <c r="C2910" s="16">
        <v>822</v>
      </c>
      <c r="D2910" s="16">
        <v>27654</v>
      </c>
      <c r="E2910" s="18"/>
      <c r="F2910" s="18" t="s">
        <v>9530</v>
      </c>
      <c r="G2910" s="18" t="s">
        <v>9596</v>
      </c>
      <c r="H2910" s="18" t="s">
        <v>49</v>
      </c>
      <c r="I2910" s="18" t="s">
        <v>74</v>
      </c>
      <c r="J2910" s="16">
        <v>2023</v>
      </c>
      <c r="K2910" s="18" t="s">
        <v>9597</v>
      </c>
      <c r="L2910" s="16">
        <v>9785961485950</v>
      </c>
      <c r="M2910" s="18" t="s">
        <v>9598</v>
      </c>
      <c r="N2910" s="16">
        <v>415</v>
      </c>
      <c r="O2910" s="19">
        <v>0.3</v>
      </c>
      <c r="P2910" s="16">
        <v>130</v>
      </c>
      <c r="Q2910" s="16">
        <v>200</v>
      </c>
      <c r="R2910" s="16">
        <v>6</v>
      </c>
      <c r="S2910" s="18" t="s">
        <v>90</v>
      </c>
      <c r="T2910" s="18" t="s">
        <v>381</v>
      </c>
      <c r="U2910" s="17">
        <v>5000</v>
      </c>
      <c r="V2910" s="18" t="s">
        <v>44</v>
      </c>
      <c r="W2910" s="18" t="s">
        <v>91</v>
      </c>
      <c r="X2910" s="16">
        <v>10</v>
      </c>
      <c r="Y2910" s="18" t="s">
        <v>8523</v>
      </c>
      <c r="Z2910" s="18"/>
      <c r="AS2910" s="1">
        <f>IF($A2910&lt;&gt;0,1,0)</f>
        <v>0</v>
      </c>
      <c r="AT2910" s="1">
        <f>$A2910*$B2910</f>
        <v>0</v>
      </c>
      <c r="AU2910" s="1">
        <f>$A2910*$O2910</f>
        <v>0</v>
      </c>
      <c r="AV2910" s="1">
        <f>IF($R2910=0,0,INT($A2910/$R2910))</f>
        <v>0</v>
      </c>
      <c r="AW2910" s="1">
        <f>$A2910-$AV2910*$R2910</f>
        <v>0</v>
      </c>
    </row>
    <row r="2911" ht="24.95" customHeight="1" outlineLevel="3" s="1" customFormat="1">
      <c r="A2911" s="15"/>
      <c r="B2911" s="16">
        <v>840</v>
      </c>
      <c r="C2911" s="17">
        <v>1218</v>
      </c>
      <c r="D2911" s="16">
        <v>30845</v>
      </c>
      <c r="E2911" s="18"/>
      <c r="F2911" s="18" t="s">
        <v>9530</v>
      </c>
      <c r="G2911" s="18" t="s">
        <v>9599</v>
      </c>
      <c r="H2911" s="18" t="s">
        <v>49</v>
      </c>
      <c r="I2911" s="18" t="s">
        <v>74</v>
      </c>
      <c r="J2911" s="16">
        <v>2025</v>
      </c>
      <c r="K2911" s="18" t="s">
        <v>9600</v>
      </c>
      <c r="L2911" s="16">
        <v>9785961496758</v>
      </c>
      <c r="M2911" s="18" t="s">
        <v>9601</v>
      </c>
      <c r="N2911" s="16">
        <v>415</v>
      </c>
      <c r="O2911" s="19">
        <v>0.37</v>
      </c>
      <c r="P2911" s="16">
        <v>130</v>
      </c>
      <c r="Q2911" s="16">
        <v>210</v>
      </c>
      <c r="R2911" s="16">
        <v>5</v>
      </c>
      <c r="S2911" s="18" t="s">
        <v>90</v>
      </c>
      <c r="T2911" s="18" t="s">
        <v>381</v>
      </c>
      <c r="U2911" s="17">
        <v>2000</v>
      </c>
      <c r="V2911" s="18" t="s">
        <v>77</v>
      </c>
      <c r="W2911" s="18" t="s">
        <v>91</v>
      </c>
      <c r="X2911" s="16">
        <v>10</v>
      </c>
      <c r="Y2911" s="18" t="s">
        <v>8523</v>
      </c>
      <c r="Z2911" s="18"/>
      <c r="AS2911" s="1">
        <f>IF($A2911&lt;&gt;0,1,0)</f>
        <v>0</v>
      </c>
      <c r="AT2911" s="1">
        <f>$A2911*$B2911</f>
        <v>0</v>
      </c>
      <c r="AU2911" s="1">
        <f>$A2911*$O2911</f>
        <v>0</v>
      </c>
      <c r="AV2911" s="1">
        <f>IF($R2911=0,0,INT($A2911/$R2911))</f>
        <v>0</v>
      </c>
      <c r="AW2911" s="1">
        <f>$A2911-$AV2911*$R2911</f>
        <v>0</v>
      </c>
    </row>
    <row r="2912" ht="11.1" customHeight="1" outlineLevel="2">
      <c r="A2912" s="41" t="s">
        <v>9602</v>
      </c>
      <c r="B2912" s="41"/>
      <c r="C2912" s="41"/>
      <c r="D2912" s="41"/>
      <c r="E2912" s="41"/>
      <c r="F2912" s="41"/>
      <c r="G2912" s="41"/>
      <c r="H2912" s="41"/>
      <c r="I2912" s="41"/>
      <c r="J2912" s="41"/>
      <c r="K2912" s="41"/>
      <c r="L2912" s="41"/>
      <c r="M2912" s="41"/>
      <c r="N2912" s="41"/>
      <c r="O2912" s="41"/>
      <c r="P2912" s="41"/>
      <c r="Q2912" s="41"/>
      <c r="R2912" s="41"/>
      <c r="S2912" s="41"/>
      <c r="T2912" s="41"/>
      <c r="U2912" s="41"/>
      <c r="V2912" s="41"/>
      <c r="W2912" s="41"/>
      <c r="X2912" s="41"/>
      <c r="Y2912" s="41"/>
      <c r="Z2912" s="24"/>
    </row>
    <row r="2913" ht="24.95" customHeight="1" outlineLevel="3" s="1" customFormat="1">
      <c r="A2913" s="15"/>
      <c r="B2913" s="16">
        <v>760</v>
      </c>
      <c r="C2913" s="17">
        <v>1102</v>
      </c>
      <c r="D2913" s="16">
        <v>32038</v>
      </c>
      <c r="E2913" s="18"/>
      <c r="F2913" s="18" t="s">
        <v>9603</v>
      </c>
      <c r="G2913" s="18" t="s">
        <v>9604</v>
      </c>
      <c r="H2913" s="18" t="s">
        <v>49</v>
      </c>
      <c r="I2913" s="18"/>
      <c r="J2913" s="16">
        <v>2025</v>
      </c>
      <c r="K2913" s="18" t="s">
        <v>9605</v>
      </c>
      <c r="L2913" s="16">
        <v>9785006300941</v>
      </c>
      <c r="M2913" s="18" t="s">
        <v>9606</v>
      </c>
      <c r="N2913" s="16">
        <v>200</v>
      </c>
      <c r="O2913" s="19">
        <v>0.53</v>
      </c>
      <c r="P2913" s="16">
        <v>170</v>
      </c>
      <c r="Q2913" s="16">
        <v>240</v>
      </c>
      <c r="R2913" s="16">
        <v>8</v>
      </c>
      <c r="S2913" s="18" t="s">
        <v>123</v>
      </c>
      <c r="T2913" s="18"/>
      <c r="U2913" s="17">
        <v>3000</v>
      </c>
      <c r="V2913" s="18" t="s">
        <v>77</v>
      </c>
      <c r="W2913" s="18" t="s">
        <v>55</v>
      </c>
      <c r="X2913" s="16">
        <v>10</v>
      </c>
      <c r="Y2913" s="18" t="s">
        <v>9607</v>
      </c>
      <c r="Z2913" s="18"/>
      <c r="AS2913" s="1">
        <f>IF($A2913&lt;&gt;0,1,0)</f>
        <v>0</v>
      </c>
      <c r="AT2913" s="1">
        <f>$A2913*$B2913</f>
        <v>0</v>
      </c>
      <c r="AU2913" s="1">
        <f>$A2913*$O2913</f>
        <v>0</v>
      </c>
      <c r="AV2913" s="1">
        <f>IF($R2913=0,0,INT($A2913/$R2913))</f>
        <v>0</v>
      </c>
      <c r="AW2913" s="1">
        <f>$A2913-$AV2913*$R2913</f>
        <v>0</v>
      </c>
    </row>
    <row r="2914" ht="24.95" customHeight="1" outlineLevel="3" s="1" customFormat="1">
      <c r="A2914" s="15"/>
      <c r="B2914" s="16">
        <v>490</v>
      </c>
      <c r="C2914" s="16">
        <v>760</v>
      </c>
      <c r="D2914" s="16">
        <v>34836</v>
      </c>
      <c r="E2914" s="18"/>
      <c r="F2914" s="18" t="s">
        <v>9608</v>
      </c>
      <c r="G2914" s="18" t="s">
        <v>9609</v>
      </c>
      <c r="H2914" s="18" t="s">
        <v>49</v>
      </c>
      <c r="I2914" s="18" t="s">
        <v>160</v>
      </c>
      <c r="J2914" s="16">
        <v>2026</v>
      </c>
      <c r="K2914" s="18" t="s">
        <v>9610</v>
      </c>
      <c r="L2914" s="16">
        <v>9785006309241</v>
      </c>
      <c r="M2914" s="18" t="s">
        <v>9611</v>
      </c>
      <c r="N2914" s="16">
        <v>32</v>
      </c>
      <c r="O2914" s="19">
        <v>0.22</v>
      </c>
      <c r="P2914" s="16">
        <v>220</v>
      </c>
      <c r="Q2914" s="16">
        <v>220</v>
      </c>
      <c r="R2914" s="16">
        <v>20</v>
      </c>
      <c r="S2914" s="18" t="s">
        <v>83</v>
      </c>
      <c r="T2914" s="18"/>
      <c r="U2914" s="17">
        <v>2000</v>
      </c>
      <c r="V2914" s="18" t="s">
        <v>77</v>
      </c>
      <c r="W2914" s="18" t="s">
        <v>184</v>
      </c>
      <c r="X2914" s="16">
        <v>10</v>
      </c>
      <c r="Y2914" s="18" t="s">
        <v>7899</v>
      </c>
      <c r="Z2914" s="18"/>
      <c r="AS2914" s="1">
        <f>IF($A2914&lt;&gt;0,1,0)</f>
        <v>0</v>
      </c>
      <c r="AT2914" s="1">
        <f>$A2914*$B2914</f>
        <v>0</v>
      </c>
      <c r="AU2914" s="1">
        <f>$A2914*$O2914</f>
        <v>0</v>
      </c>
      <c r="AV2914" s="1">
        <f>IF($R2914=0,0,INT($A2914/$R2914))</f>
        <v>0</v>
      </c>
      <c r="AW2914" s="1">
        <f>$A2914-$AV2914*$R2914</f>
        <v>0</v>
      </c>
    </row>
    <row r="2915" ht="24.95" customHeight="1" outlineLevel="3" s="1" customFormat="1">
      <c r="A2915" s="15"/>
      <c r="B2915" s="16">
        <v>190</v>
      </c>
      <c r="C2915" s="16">
        <v>304</v>
      </c>
      <c r="D2915" s="16">
        <v>34271</v>
      </c>
      <c r="E2915" s="18"/>
      <c r="F2915" s="18" t="s">
        <v>57</v>
      </c>
      <c r="G2915" s="18" t="s">
        <v>9612</v>
      </c>
      <c r="H2915" s="18" t="s">
        <v>49</v>
      </c>
      <c r="I2915" s="18"/>
      <c r="J2915" s="16">
        <v>2025</v>
      </c>
      <c r="K2915" s="18" t="s">
        <v>9613</v>
      </c>
      <c r="L2915" s="16">
        <v>9785006307025</v>
      </c>
      <c r="M2915" s="18" t="s">
        <v>9614</v>
      </c>
      <c r="N2915" s="16">
        <v>1</v>
      </c>
      <c r="O2915" s="19">
        <v>0.07</v>
      </c>
      <c r="P2915" s="16">
        <v>190</v>
      </c>
      <c r="Q2915" s="16">
        <v>280</v>
      </c>
      <c r="R2915" s="16">
        <v>100</v>
      </c>
      <c r="S2915" s="18" t="s">
        <v>83</v>
      </c>
      <c r="T2915" s="18"/>
      <c r="U2915" s="17">
        <v>3000</v>
      </c>
      <c r="V2915" s="18" t="s">
        <v>44</v>
      </c>
      <c r="W2915" s="18" t="s">
        <v>184</v>
      </c>
      <c r="X2915" s="16">
        <v>10</v>
      </c>
      <c r="Y2915" s="18" t="s">
        <v>9615</v>
      </c>
      <c r="Z2915" s="18"/>
      <c r="AS2915" s="1">
        <f>IF($A2915&lt;&gt;0,1,0)</f>
        <v>0</v>
      </c>
      <c r="AT2915" s="1">
        <f>$A2915*$B2915</f>
        <v>0</v>
      </c>
      <c r="AU2915" s="1">
        <f>$A2915*$O2915</f>
        <v>0</v>
      </c>
      <c r="AV2915" s="1">
        <f>IF($R2915=0,0,INT($A2915/$R2915))</f>
        <v>0</v>
      </c>
      <c r="AW2915" s="1">
        <f>$A2915-$AV2915*$R2915</f>
        <v>0</v>
      </c>
    </row>
    <row r="2916" ht="24.95" customHeight="1" outlineLevel="3" s="1" customFormat="1">
      <c r="A2916" s="15"/>
      <c r="B2916" s="16">
        <v>740</v>
      </c>
      <c r="C2916" s="17">
        <v>1073</v>
      </c>
      <c r="D2916" s="16">
        <v>35114</v>
      </c>
      <c r="E2916" s="18"/>
      <c r="F2916" s="18" t="s">
        <v>9616</v>
      </c>
      <c r="G2916" s="18" t="s">
        <v>9617</v>
      </c>
      <c r="H2916" s="18" t="s">
        <v>49</v>
      </c>
      <c r="I2916" s="18" t="s">
        <v>40</v>
      </c>
      <c r="J2916" s="16">
        <v>2026</v>
      </c>
      <c r="K2916" s="18" t="s">
        <v>9618</v>
      </c>
      <c r="L2916" s="16">
        <v>9785006310308</v>
      </c>
      <c r="M2916" s="18" t="s">
        <v>9619</v>
      </c>
      <c r="N2916" s="16">
        <v>64</v>
      </c>
      <c r="O2916" s="19">
        <v>0.29</v>
      </c>
      <c r="P2916" s="16">
        <v>180</v>
      </c>
      <c r="Q2916" s="16">
        <v>230</v>
      </c>
      <c r="R2916" s="16">
        <v>16</v>
      </c>
      <c r="S2916" s="18" t="s">
        <v>83</v>
      </c>
      <c r="T2916" s="18"/>
      <c r="U2916" s="17">
        <v>3000</v>
      </c>
      <c r="V2916" s="18" t="s">
        <v>77</v>
      </c>
      <c r="W2916" s="18" t="s">
        <v>184</v>
      </c>
      <c r="X2916" s="16">
        <v>10</v>
      </c>
      <c r="Y2916" s="18" t="s">
        <v>9293</v>
      </c>
      <c r="Z2916" s="18"/>
      <c r="AS2916" s="1">
        <f>IF($A2916&lt;&gt;0,1,0)</f>
        <v>0</v>
      </c>
      <c r="AT2916" s="1">
        <f>$A2916*$B2916</f>
        <v>0</v>
      </c>
      <c r="AU2916" s="1">
        <f>$A2916*$O2916</f>
        <v>0</v>
      </c>
      <c r="AV2916" s="1">
        <f>IF($R2916=0,0,INT($A2916/$R2916))</f>
        <v>0</v>
      </c>
      <c r="AW2916" s="1">
        <f>$A2916-$AV2916*$R2916</f>
        <v>0</v>
      </c>
    </row>
    <row r="2917" ht="24.95" customHeight="1" outlineLevel="3" s="1" customFormat="1">
      <c r="A2917" s="15"/>
      <c r="B2917" s="16">
        <v>540</v>
      </c>
      <c r="C2917" s="16">
        <v>837</v>
      </c>
      <c r="D2917" s="16">
        <v>31779</v>
      </c>
      <c r="E2917" s="18"/>
      <c r="F2917" s="18" t="s">
        <v>8458</v>
      </c>
      <c r="G2917" s="18" t="s">
        <v>9620</v>
      </c>
      <c r="H2917" s="18" t="s">
        <v>49</v>
      </c>
      <c r="I2917" s="18"/>
      <c r="J2917" s="16">
        <v>2025</v>
      </c>
      <c r="K2917" s="18" t="s">
        <v>9621</v>
      </c>
      <c r="L2917" s="16">
        <v>9785006300149</v>
      </c>
      <c r="M2917" s="18" t="s">
        <v>9622</v>
      </c>
      <c r="N2917" s="16">
        <v>64</v>
      </c>
      <c r="O2917" s="19">
        <v>0.29</v>
      </c>
      <c r="P2917" s="16">
        <v>170</v>
      </c>
      <c r="Q2917" s="16">
        <v>240</v>
      </c>
      <c r="R2917" s="16">
        <v>14</v>
      </c>
      <c r="S2917" s="18" t="s">
        <v>123</v>
      </c>
      <c r="T2917" s="18"/>
      <c r="U2917" s="17">
        <v>2000</v>
      </c>
      <c r="V2917" s="18" t="s">
        <v>77</v>
      </c>
      <c r="W2917" s="18" t="s">
        <v>55</v>
      </c>
      <c r="X2917" s="16">
        <v>10</v>
      </c>
      <c r="Y2917" s="18" t="s">
        <v>9623</v>
      </c>
      <c r="Z2917" s="18"/>
      <c r="AS2917" s="1">
        <f>IF($A2917&lt;&gt;0,1,0)</f>
        <v>0</v>
      </c>
      <c r="AT2917" s="1">
        <f>$A2917*$B2917</f>
        <v>0</v>
      </c>
      <c r="AU2917" s="1">
        <f>$A2917*$O2917</f>
        <v>0</v>
      </c>
      <c r="AV2917" s="1">
        <f>IF($R2917=0,0,INT($A2917/$R2917))</f>
        <v>0</v>
      </c>
      <c r="AW2917" s="1">
        <f>$A2917-$AV2917*$R2917</f>
        <v>0</v>
      </c>
    </row>
    <row r="2918" ht="24.95" customHeight="1" outlineLevel="3" s="1" customFormat="1">
      <c r="A2918" s="15"/>
      <c r="B2918" s="16">
        <v>690</v>
      </c>
      <c r="C2918" s="17">
        <v>1035</v>
      </c>
      <c r="D2918" s="16">
        <v>31122</v>
      </c>
      <c r="E2918" s="18"/>
      <c r="F2918" s="18" t="s">
        <v>9509</v>
      </c>
      <c r="G2918" s="18" t="s">
        <v>9624</v>
      </c>
      <c r="H2918" s="18" t="s">
        <v>49</v>
      </c>
      <c r="I2918" s="18" t="s">
        <v>87</v>
      </c>
      <c r="J2918" s="16">
        <v>2025</v>
      </c>
      <c r="K2918" s="18" t="s">
        <v>9625</v>
      </c>
      <c r="L2918" s="16">
        <v>9785961497649</v>
      </c>
      <c r="M2918" s="18" t="s">
        <v>9626</v>
      </c>
      <c r="N2918" s="16">
        <v>192</v>
      </c>
      <c r="O2918" s="19">
        <v>0.45</v>
      </c>
      <c r="P2918" s="16">
        <v>150</v>
      </c>
      <c r="Q2918" s="16">
        <v>220</v>
      </c>
      <c r="R2918" s="16">
        <v>14</v>
      </c>
      <c r="S2918" s="18" t="s">
        <v>43</v>
      </c>
      <c r="T2918" s="18"/>
      <c r="U2918" s="17">
        <v>1000</v>
      </c>
      <c r="V2918" s="18" t="s">
        <v>77</v>
      </c>
      <c r="W2918" s="18" t="s">
        <v>55</v>
      </c>
      <c r="X2918" s="16">
        <v>10</v>
      </c>
      <c r="Y2918" s="18" t="s">
        <v>9623</v>
      </c>
      <c r="Z2918" s="18"/>
      <c r="AS2918" s="1">
        <f>IF($A2918&lt;&gt;0,1,0)</f>
        <v>0</v>
      </c>
      <c r="AT2918" s="1">
        <f>$A2918*$B2918</f>
        <v>0</v>
      </c>
      <c r="AU2918" s="1">
        <f>$A2918*$O2918</f>
        <v>0</v>
      </c>
      <c r="AV2918" s="1">
        <f>IF($R2918=0,0,INT($A2918/$R2918))</f>
        <v>0</v>
      </c>
      <c r="AW2918" s="1">
        <f>$A2918-$AV2918*$R2918</f>
        <v>0</v>
      </c>
    </row>
    <row r="2919" ht="24.95" customHeight="1" outlineLevel="3" s="1" customFormat="1">
      <c r="A2919" s="15"/>
      <c r="B2919" s="16">
        <v>190</v>
      </c>
      <c r="C2919" s="16">
        <v>304</v>
      </c>
      <c r="D2919" s="16">
        <v>31752</v>
      </c>
      <c r="E2919" s="18"/>
      <c r="F2919" s="18" t="s">
        <v>57</v>
      </c>
      <c r="G2919" s="18" t="s">
        <v>9627</v>
      </c>
      <c r="H2919" s="18" t="s">
        <v>49</v>
      </c>
      <c r="I2919" s="18"/>
      <c r="J2919" s="16">
        <v>2025</v>
      </c>
      <c r="K2919" s="18" t="s">
        <v>9628</v>
      </c>
      <c r="L2919" s="16">
        <v>9785006300095</v>
      </c>
      <c r="M2919" s="18" t="s">
        <v>9629</v>
      </c>
      <c r="N2919" s="16">
        <v>1</v>
      </c>
      <c r="O2919" s="19">
        <v>0.06</v>
      </c>
      <c r="P2919" s="16">
        <v>200</v>
      </c>
      <c r="Q2919" s="16">
        <v>280</v>
      </c>
      <c r="R2919" s="16">
        <v>100</v>
      </c>
      <c r="S2919" s="18" t="s">
        <v>83</v>
      </c>
      <c r="T2919" s="18"/>
      <c r="U2919" s="17">
        <v>2000</v>
      </c>
      <c r="V2919" s="18" t="s">
        <v>44</v>
      </c>
      <c r="W2919" s="18" t="s">
        <v>184</v>
      </c>
      <c r="X2919" s="16">
        <v>10</v>
      </c>
      <c r="Y2919" s="18" t="s">
        <v>8786</v>
      </c>
      <c r="Z2919" s="18"/>
      <c r="AS2919" s="1">
        <f>IF($A2919&lt;&gt;0,1,0)</f>
        <v>0</v>
      </c>
      <c r="AT2919" s="1">
        <f>$A2919*$B2919</f>
        <v>0</v>
      </c>
      <c r="AU2919" s="1">
        <f>$A2919*$O2919</f>
        <v>0</v>
      </c>
      <c r="AV2919" s="1">
        <f>IF($R2919=0,0,INT($A2919/$R2919))</f>
        <v>0</v>
      </c>
      <c r="AW2919" s="1">
        <f>$A2919-$AV2919*$R2919</f>
        <v>0</v>
      </c>
    </row>
    <row r="2920" ht="24.95" customHeight="1" outlineLevel="3" s="1" customFormat="1">
      <c r="A2920" s="15"/>
      <c r="B2920" s="16">
        <v>190</v>
      </c>
      <c r="C2920" s="16">
        <v>304</v>
      </c>
      <c r="D2920" s="16">
        <v>31485</v>
      </c>
      <c r="E2920" s="18"/>
      <c r="F2920" s="18" t="s">
        <v>57</v>
      </c>
      <c r="G2920" s="18" t="s">
        <v>9630</v>
      </c>
      <c r="H2920" s="18" t="s">
        <v>49</v>
      </c>
      <c r="I2920" s="18"/>
      <c r="J2920" s="16">
        <v>2025</v>
      </c>
      <c r="K2920" s="18" t="s">
        <v>9631</v>
      </c>
      <c r="L2920" s="16">
        <v>9785961498967</v>
      </c>
      <c r="M2920" s="18" t="s">
        <v>9632</v>
      </c>
      <c r="N2920" s="16">
        <v>1</v>
      </c>
      <c r="O2920" s="19">
        <v>0.06</v>
      </c>
      <c r="P2920" s="16">
        <v>200</v>
      </c>
      <c r="Q2920" s="16">
        <v>280</v>
      </c>
      <c r="R2920" s="16">
        <v>100</v>
      </c>
      <c r="S2920" s="18" t="s">
        <v>83</v>
      </c>
      <c r="T2920" s="18"/>
      <c r="U2920" s="17">
        <v>2000</v>
      </c>
      <c r="V2920" s="18" t="s">
        <v>44</v>
      </c>
      <c r="W2920" s="18" t="s">
        <v>184</v>
      </c>
      <c r="X2920" s="16">
        <v>10</v>
      </c>
      <c r="Y2920" s="18" t="s">
        <v>8005</v>
      </c>
      <c r="Z2920" s="18"/>
      <c r="AS2920" s="1">
        <f>IF($A2920&lt;&gt;0,1,0)</f>
        <v>0</v>
      </c>
      <c r="AT2920" s="1">
        <f>$A2920*$B2920</f>
        <v>0</v>
      </c>
      <c r="AU2920" s="1">
        <f>$A2920*$O2920</f>
        <v>0</v>
      </c>
      <c r="AV2920" s="1">
        <f>IF($R2920=0,0,INT($A2920/$R2920))</f>
        <v>0</v>
      </c>
      <c r="AW2920" s="1">
        <f>$A2920-$AV2920*$R2920</f>
        <v>0</v>
      </c>
    </row>
    <row r="2921" ht="24.95" customHeight="1" outlineLevel="3" s="1" customFormat="1">
      <c r="A2921" s="15"/>
      <c r="B2921" s="16">
        <v>490</v>
      </c>
      <c r="C2921" s="16">
        <v>760</v>
      </c>
      <c r="D2921" s="16">
        <v>34849</v>
      </c>
      <c r="E2921" s="18"/>
      <c r="F2921" s="18" t="s">
        <v>9633</v>
      </c>
      <c r="G2921" s="18" t="s">
        <v>9634</v>
      </c>
      <c r="H2921" s="18" t="s">
        <v>49</v>
      </c>
      <c r="I2921" s="18" t="s">
        <v>65</v>
      </c>
      <c r="J2921" s="16">
        <v>2026</v>
      </c>
      <c r="K2921" s="18" t="s">
        <v>9635</v>
      </c>
      <c r="L2921" s="16">
        <v>9785006309302</v>
      </c>
      <c r="M2921" s="18" t="s">
        <v>9636</v>
      </c>
      <c r="N2921" s="16">
        <v>32</v>
      </c>
      <c r="O2921" s="19">
        <v>0.24</v>
      </c>
      <c r="P2921" s="16">
        <v>190</v>
      </c>
      <c r="Q2921" s="16">
        <v>240</v>
      </c>
      <c r="R2921" s="16">
        <v>20</v>
      </c>
      <c r="S2921" s="18" t="s">
        <v>83</v>
      </c>
      <c r="T2921" s="18"/>
      <c r="U2921" s="17">
        <v>3000</v>
      </c>
      <c r="V2921" s="18" t="s">
        <v>77</v>
      </c>
      <c r="W2921" s="18" t="s">
        <v>184</v>
      </c>
      <c r="X2921" s="16">
        <v>10</v>
      </c>
      <c r="Y2921" s="18" t="s">
        <v>7899</v>
      </c>
      <c r="Z2921" s="18"/>
      <c r="AS2921" s="1">
        <f>IF($A2921&lt;&gt;0,1,0)</f>
        <v>0</v>
      </c>
      <c r="AT2921" s="1">
        <f>$A2921*$B2921</f>
        <v>0</v>
      </c>
      <c r="AU2921" s="1">
        <f>$A2921*$O2921</f>
        <v>0</v>
      </c>
      <c r="AV2921" s="1">
        <f>IF($R2921=0,0,INT($A2921/$R2921))</f>
        <v>0</v>
      </c>
      <c r="AW2921" s="1">
        <f>$A2921-$AV2921*$R2921</f>
        <v>0</v>
      </c>
    </row>
    <row r="2922" ht="24.95" customHeight="1" outlineLevel="3" s="1" customFormat="1">
      <c r="A2922" s="15"/>
      <c r="B2922" s="16">
        <v>590</v>
      </c>
      <c r="C2922" s="16">
        <v>885</v>
      </c>
      <c r="D2922" s="16">
        <v>34882</v>
      </c>
      <c r="E2922" s="18"/>
      <c r="F2922" s="18" t="s">
        <v>9637</v>
      </c>
      <c r="G2922" s="18" t="s">
        <v>9638</v>
      </c>
      <c r="H2922" s="18" t="s">
        <v>49</v>
      </c>
      <c r="I2922" s="18"/>
      <c r="J2922" s="16">
        <v>2025</v>
      </c>
      <c r="K2922" s="18" t="s">
        <v>9639</v>
      </c>
      <c r="L2922" s="16">
        <v>9785006309371</v>
      </c>
      <c r="M2922" s="18" t="s">
        <v>9640</v>
      </c>
      <c r="N2922" s="16">
        <v>40</v>
      </c>
      <c r="O2922" s="19">
        <v>0.37</v>
      </c>
      <c r="P2922" s="16">
        <v>220</v>
      </c>
      <c r="Q2922" s="16">
        <v>290</v>
      </c>
      <c r="R2922" s="16">
        <v>14</v>
      </c>
      <c r="S2922" s="18" t="s">
        <v>83</v>
      </c>
      <c r="T2922" s="18"/>
      <c r="U2922" s="17">
        <v>3000</v>
      </c>
      <c r="V2922" s="18" t="s">
        <v>77</v>
      </c>
      <c r="W2922" s="18" t="s">
        <v>184</v>
      </c>
      <c r="X2922" s="16">
        <v>10</v>
      </c>
      <c r="Y2922" s="18" t="s">
        <v>7963</v>
      </c>
      <c r="Z2922" s="18"/>
      <c r="AS2922" s="1">
        <f>IF($A2922&lt;&gt;0,1,0)</f>
        <v>0</v>
      </c>
      <c r="AT2922" s="1">
        <f>$A2922*$B2922</f>
        <v>0</v>
      </c>
      <c r="AU2922" s="1">
        <f>$A2922*$O2922</f>
        <v>0</v>
      </c>
      <c r="AV2922" s="1">
        <f>IF($R2922=0,0,INT($A2922/$R2922))</f>
        <v>0</v>
      </c>
      <c r="AW2922" s="1">
        <f>$A2922-$AV2922*$R2922</f>
        <v>0</v>
      </c>
    </row>
    <row r="2923" ht="24.95" customHeight="1" outlineLevel="3" s="1" customFormat="1">
      <c r="A2923" s="15"/>
      <c r="B2923" s="16">
        <v>190</v>
      </c>
      <c r="C2923" s="16">
        <v>304</v>
      </c>
      <c r="D2923" s="16">
        <v>34125</v>
      </c>
      <c r="E2923" s="18"/>
      <c r="F2923" s="18" t="s">
        <v>9641</v>
      </c>
      <c r="G2923" s="18" t="s">
        <v>9642</v>
      </c>
      <c r="H2923" s="18" t="s">
        <v>49</v>
      </c>
      <c r="I2923" s="18"/>
      <c r="J2923" s="16">
        <v>2025</v>
      </c>
      <c r="K2923" s="18" t="s">
        <v>9643</v>
      </c>
      <c r="L2923" s="16">
        <v>9785006306394</v>
      </c>
      <c r="M2923" s="18" t="s">
        <v>9644</v>
      </c>
      <c r="N2923" s="16">
        <v>1</v>
      </c>
      <c r="O2923" s="19">
        <v>0.06</v>
      </c>
      <c r="P2923" s="16">
        <v>190</v>
      </c>
      <c r="Q2923" s="16">
        <v>280</v>
      </c>
      <c r="R2923" s="16">
        <v>100</v>
      </c>
      <c r="S2923" s="18" t="s">
        <v>83</v>
      </c>
      <c r="T2923" s="18"/>
      <c r="U2923" s="17">
        <v>3000</v>
      </c>
      <c r="V2923" s="18" t="s">
        <v>44</v>
      </c>
      <c r="W2923" s="18" t="s">
        <v>184</v>
      </c>
      <c r="X2923" s="16">
        <v>10</v>
      </c>
      <c r="Y2923" s="18" t="s">
        <v>9615</v>
      </c>
      <c r="Z2923" s="18"/>
      <c r="AS2923" s="1">
        <f>IF($A2923&lt;&gt;0,1,0)</f>
        <v>0</v>
      </c>
      <c r="AT2923" s="1">
        <f>$A2923*$B2923</f>
        <v>0</v>
      </c>
      <c r="AU2923" s="1">
        <f>$A2923*$O2923</f>
        <v>0</v>
      </c>
      <c r="AV2923" s="1">
        <f>IF($R2923=0,0,INT($A2923/$R2923))</f>
        <v>0</v>
      </c>
      <c r="AW2923" s="1">
        <f>$A2923-$AV2923*$R2923</f>
        <v>0</v>
      </c>
    </row>
    <row r="2924" ht="24.95" customHeight="1" outlineLevel="3" s="1" customFormat="1">
      <c r="A2924" s="15"/>
      <c r="B2924" s="16">
        <v>790</v>
      </c>
      <c r="C2924" s="17">
        <v>1146</v>
      </c>
      <c r="D2924" s="16">
        <v>26807</v>
      </c>
      <c r="E2924" s="18"/>
      <c r="F2924" s="18" t="s">
        <v>9645</v>
      </c>
      <c r="G2924" s="18" t="s">
        <v>9646</v>
      </c>
      <c r="H2924" s="18" t="s">
        <v>49</v>
      </c>
      <c r="I2924" s="18"/>
      <c r="J2924" s="16">
        <v>2024</v>
      </c>
      <c r="K2924" s="18" t="s">
        <v>9647</v>
      </c>
      <c r="L2924" s="16">
        <v>9785961483116</v>
      </c>
      <c r="M2924" s="18" t="s">
        <v>9648</v>
      </c>
      <c r="N2924" s="16">
        <v>136</v>
      </c>
      <c r="O2924" s="19">
        <v>0.6</v>
      </c>
      <c r="P2924" s="16">
        <v>210</v>
      </c>
      <c r="Q2924" s="16">
        <v>270</v>
      </c>
      <c r="R2924" s="16">
        <v>8</v>
      </c>
      <c r="S2924" s="18" t="s">
        <v>328</v>
      </c>
      <c r="T2924" s="18"/>
      <c r="U2924" s="17">
        <v>10000</v>
      </c>
      <c r="V2924" s="18" t="s">
        <v>77</v>
      </c>
      <c r="W2924" s="18" t="s">
        <v>8203</v>
      </c>
      <c r="X2924" s="16">
        <v>10</v>
      </c>
      <c r="Y2924" s="18" t="s">
        <v>528</v>
      </c>
      <c r="Z2924" s="18"/>
      <c r="AS2924" s="1">
        <f>IF($A2924&lt;&gt;0,1,0)</f>
        <v>0</v>
      </c>
      <c r="AT2924" s="1">
        <f>$A2924*$B2924</f>
        <v>0</v>
      </c>
      <c r="AU2924" s="1">
        <f>$A2924*$O2924</f>
        <v>0</v>
      </c>
      <c r="AV2924" s="1">
        <f>IF($R2924=0,0,INT($A2924/$R2924))</f>
        <v>0</v>
      </c>
      <c r="AW2924" s="1">
        <f>$A2924-$AV2924*$R2924</f>
        <v>0</v>
      </c>
    </row>
    <row r="2925" ht="11.1" customHeight="1" outlineLevel="2">
      <c r="A2925" s="41" t="s">
        <v>9649</v>
      </c>
      <c r="B2925" s="41"/>
      <c r="C2925" s="41"/>
      <c r="D2925" s="41"/>
      <c r="E2925" s="41"/>
      <c r="F2925" s="41"/>
      <c r="G2925" s="41"/>
      <c r="H2925" s="41"/>
      <c r="I2925" s="41"/>
      <c r="J2925" s="41"/>
      <c r="K2925" s="41"/>
      <c r="L2925" s="41"/>
      <c r="M2925" s="41"/>
      <c r="N2925" s="41"/>
      <c r="O2925" s="41"/>
      <c r="P2925" s="41"/>
      <c r="Q2925" s="41"/>
      <c r="R2925" s="41"/>
      <c r="S2925" s="41"/>
      <c r="T2925" s="41"/>
      <c r="U2925" s="41"/>
      <c r="V2925" s="41"/>
      <c r="W2925" s="41"/>
      <c r="X2925" s="41"/>
      <c r="Y2925" s="41"/>
      <c r="Z2925" s="24"/>
    </row>
    <row r="2926" ht="24.95" customHeight="1" outlineLevel="3" s="1" customFormat="1">
      <c r="A2926" s="15"/>
      <c r="B2926" s="16">
        <v>990</v>
      </c>
      <c r="C2926" s="17">
        <v>1386</v>
      </c>
      <c r="D2926" s="16">
        <v>23825</v>
      </c>
      <c r="E2926" s="18"/>
      <c r="F2926" s="18" t="s">
        <v>452</v>
      </c>
      <c r="G2926" s="18" t="s">
        <v>9650</v>
      </c>
      <c r="H2926" s="18" t="s">
        <v>49</v>
      </c>
      <c r="I2926" s="18" t="s">
        <v>87</v>
      </c>
      <c r="J2926" s="16">
        <v>2025</v>
      </c>
      <c r="K2926" s="18" t="s">
        <v>9651</v>
      </c>
      <c r="L2926" s="16">
        <v>9785961473711</v>
      </c>
      <c r="M2926" s="18" t="s">
        <v>9652</v>
      </c>
      <c r="N2926" s="16">
        <v>200</v>
      </c>
      <c r="O2926" s="19">
        <v>0.38</v>
      </c>
      <c r="P2926" s="16">
        <v>160</v>
      </c>
      <c r="Q2926" s="16">
        <v>200</v>
      </c>
      <c r="R2926" s="16">
        <v>20</v>
      </c>
      <c r="S2926" s="18" t="s">
        <v>52</v>
      </c>
      <c r="T2926" s="18" t="s">
        <v>53</v>
      </c>
      <c r="U2926" s="17">
        <v>5000</v>
      </c>
      <c r="V2926" s="18" t="s">
        <v>54</v>
      </c>
      <c r="W2926" s="18" t="s">
        <v>55</v>
      </c>
      <c r="X2926" s="16">
        <v>10</v>
      </c>
      <c r="Y2926" s="18" t="s">
        <v>459</v>
      </c>
      <c r="Z2926" s="18"/>
      <c r="AS2926" s="1">
        <f>IF($A2926&lt;&gt;0,1,0)</f>
        <v>0</v>
      </c>
      <c r="AT2926" s="1">
        <f>$A2926*$B2926</f>
        <v>0</v>
      </c>
      <c r="AU2926" s="1">
        <f>$A2926*$O2926</f>
        <v>0</v>
      </c>
      <c r="AV2926" s="1">
        <f>IF($R2926=0,0,INT($A2926/$R2926))</f>
        <v>0</v>
      </c>
      <c r="AW2926" s="1">
        <f>$A2926-$AV2926*$R2926</f>
        <v>0</v>
      </c>
    </row>
    <row r="2927" ht="24.95" customHeight="1" outlineLevel="3" s="1" customFormat="1">
      <c r="A2927" s="15"/>
      <c r="B2927" s="16">
        <v>990</v>
      </c>
      <c r="C2927" s="17">
        <v>1386</v>
      </c>
      <c r="D2927" s="16">
        <v>28276</v>
      </c>
      <c r="E2927" s="18"/>
      <c r="F2927" s="18" t="s">
        <v>452</v>
      </c>
      <c r="G2927" s="18" t="s">
        <v>9653</v>
      </c>
      <c r="H2927" s="18" t="s">
        <v>49</v>
      </c>
      <c r="I2927" s="18" t="s">
        <v>87</v>
      </c>
      <c r="J2927" s="16">
        <v>2025</v>
      </c>
      <c r="K2927" s="18" t="s">
        <v>9654</v>
      </c>
      <c r="L2927" s="16">
        <v>9785961487695</v>
      </c>
      <c r="M2927" s="18" t="s">
        <v>9655</v>
      </c>
      <c r="N2927" s="16">
        <v>200</v>
      </c>
      <c r="O2927" s="19">
        <v>0.41</v>
      </c>
      <c r="P2927" s="16">
        <v>160</v>
      </c>
      <c r="Q2927" s="16">
        <v>200</v>
      </c>
      <c r="R2927" s="16">
        <v>20</v>
      </c>
      <c r="S2927" s="18" t="s">
        <v>52</v>
      </c>
      <c r="T2927" s="18" t="s">
        <v>53</v>
      </c>
      <c r="U2927" s="17">
        <v>3000</v>
      </c>
      <c r="V2927" s="18" t="s">
        <v>54</v>
      </c>
      <c r="W2927" s="18" t="s">
        <v>55</v>
      </c>
      <c r="X2927" s="16">
        <v>10</v>
      </c>
      <c r="Y2927" s="18" t="s">
        <v>459</v>
      </c>
      <c r="Z2927" s="18"/>
      <c r="AS2927" s="1">
        <f>IF($A2927&lt;&gt;0,1,0)</f>
        <v>0</v>
      </c>
      <c r="AT2927" s="1">
        <f>$A2927*$B2927</f>
        <v>0</v>
      </c>
      <c r="AU2927" s="1">
        <f>$A2927*$O2927</f>
        <v>0</v>
      </c>
      <c r="AV2927" s="1">
        <f>IF($R2927=0,0,INT($A2927/$R2927))</f>
        <v>0</v>
      </c>
      <c r="AW2927" s="1">
        <f>$A2927-$AV2927*$R2927</f>
        <v>0</v>
      </c>
    </row>
    <row r="2928" ht="24.95" customHeight="1" outlineLevel="3" s="1" customFormat="1">
      <c r="A2928" s="15"/>
      <c r="B2928" s="16">
        <v>990</v>
      </c>
      <c r="C2928" s="17">
        <v>1386</v>
      </c>
      <c r="D2928" s="16">
        <v>30547</v>
      </c>
      <c r="E2928" s="18"/>
      <c r="F2928" s="18" t="s">
        <v>452</v>
      </c>
      <c r="G2928" s="18" t="s">
        <v>456</v>
      </c>
      <c r="H2928" s="18" t="s">
        <v>49</v>
      </c>
      <c r="I2928" s="18" t="s">
        <v>87</v>
      </c>
      <c r="J2928" s="16">
        <v>2026</v>
      </c>
      <c r="K2928" s="18" t="s">
        <v>457</v>
      </c>
      <c r="L2928" s="16">
        <v>9785961495836</v>
      </c>
      <c r="M2928" s="18" t="s">
        <v>458</v>
      </c>
      <c r="N2928" s="16">
        <v>200</v>
      </c>
      <c r="O2928" s="19">
        <v>0.4</v>
      </c>
      <c r="P2928" s="16">
        <v>150</v>
      </c>
      <c r="Q2928" s="16">
        <v>200</v>
      </c>
      <c r="R2928" s="16">
        <v>20</v>
      </c>
      <c r="S2928" s="18" t="s">
        <v>52</v>
      </c>
      <c r="T2928" s="18" t="s">
        <v>53</v>
      </c>
      <c r="U2928" s="17">
        <v>4000</v>
      </c>
      <c r="V2928" s="18" t="s">
        <v>54</v>
      </c>
      <c r="W2928" s="18" t="s">
        <v>55</v>
      </c>
      <c r="X2928" s="16">
        <v>10</v>
      </c>
      <c r="Y2928" s="18" t="s">
        <v>459</v>
      </c>
      <c r="Z2928" s="18" t="s">
        <v>56</v>
      </c>
      <c r="AS2928" s="1">
        <f>IF($A2928&lt;&gt;0,1,0)</f>
        <v>0</v>
      </c>
      <c r="AT2928" s="1">
        <f>$A2928*$B2928</f>
        <v>0</v>
      </c>
      <c r="AU2928" s="1">
        <f>$A2928*$O2928</f>
        <v>0</v>
      </c>
      <c r="AV2928" s="1">
        <f>IF($R2928=0,0,INT($A2928/$R2928))</f>
        <v>0</v>
      </c>
      <c r="AW2928" s="1">
        <f>$A2928-$AV2928*$R2928</f>
        <v>0</v>
      </c>
    </row>
    <row r="2929" ht="24.95" customHeight="1" outlineLevel="3" s="1" customFormat="1">
      <c r="A2929" s="15"/>
      <c r="B2929" s="16">
        <v>990</v>
      </c>
      <c r="C2929" s="17">
        <v>1386</v>
      </c>
      <c r="D2929" s="16">
        <v>30551</v>
      </c>
      <c r="E2929" s="18"/>
      <c r="F2929" s="18" t="s">
        <v>452</v>
      </c>
      <c r="G2929" s="18" t="s">
        <v>9656</v>
      </c>
      <c r="H2929" s="18" t="s">
        <v>49</v>
      </c>
      <c r="I2929" s="18" t="s">
        <v>87</v>
      </c>
      <c r="J2929" s="16">
        <v>2026</v>
      </c>
      <c r="K2929" s="18" t="s">
        <v>9657</v>
      </c>
      <c r="L2929" s="16">
        <v>9785961495850</v>
      </c>
      <c r="M2929" s="18" t="s">
        <v>9658</v>
      </c>
      <c r="N2929" s="16">
        <v>200</v>
      </c>
      <c r="O2929" s="19">
        <v>0.4</v>
      </c>
      <c r="P2929" s="16">
        <v>160</v>
      </c>
      <c r="Q2929" s="16">
        <v>200</v>
      </c>
      <c r="R2929" s="16">
        <v>20</v>
      </c>
      <c r="S2929" s="18" t="s">
        <v>52</v>
      </c>
      <c r="T2929" s="18" t="s">
        <v>53</v>
      </c>
      <c r="U2929" s="17">
        <v>5000</v>
      </c>
      <c r="V2929" s="18" t="s">
        <v>54</v>
      </c>
      <c r="W2929" s="18" t="s">
        <v>55</v>
      </c>
      <c r="X2929" s="16">
        <v>10</v>
      </c>
      <c r="Y2929" s="18" t="s">
        <v>459</v>
      </c>
      <c r="Z2929" s="18" t="s">
        <v>843</v>
      </c>
      <c r="AS2929" s="1">
        <f>IF($A2929&lt;&gt;0,1,0)</f>
        <v>0</v>
      </c>
      <c r="AT2929" s="1">
        <f>$A2929*$B2929</f>
        <v>0</v>
      </c>
      <c r="AU2929" s="1">
        <f>$A2929*$O2929</f>
        <v>0</v>
      </c>
      <c r="AV2929" s="1">
        <f>IF($R2929=0,0,INT($A2929/$R2929))</f>
        <v>0</v>
      </c>
      <c r="AW2929" s="1">
        <f>$A2929-$AV2929*$R2929</f>
        <v>0</v>
      </c>
    </row>
    <row r="2930" ht="24.95" customHeight="1" outlineLevel="3" s="1" customFormat="1">
      <c r="A2930" s="15"/>
      <c r="B2930" s="16">
        <v>990</v>
      </c>
      <c r="C2930" s="17">
        <v>1386</v>
      </c>
      <c r="D2930" s="16">
        <v>30963</v>
      </c>
      <c r="E2930" s="18"/>
      <c r="F2930" s="18" t="s">
        <v>452</v>
      </c>
      <c r="G2930" s="18" t="s">
        <v>9659</v>
      </c>
      <c r="H2930" s="18" t="s">
        <v>49</v>
      </c>
      <c r="I2930" s="18" t="s">
        <v>87</v>
      </c>
      <c r="J2930" s="16">
        <v>2025</v>
      </c>
      <c r="K2930" s="18" t="s">
        <v>9660</v>
      </c>
      <c r="L2930" s="16">
        <v>9785961497045</v>
      </c>
      <c r="M2930" s="18" t="s">
        <v>9661</v>
      </c>
      <c r="N2930" s="16">
        <v>200</v>
      </c>
      <c r="O2930" s="19">
        <v>0.38</v>
      </c>
      <c r="P2930" s="16">
        <v>160</v>
      </c>
      <c r="Q2930" s="16">
        <v>200</v>
      </c>
      <c r="R2930" s="16">
        <v>20</v>
      </c>
      <c r="S2930" s="18" t="s">
        <v>52</v>
      </c>
      <c r="T2930" s="18" t="s">
        <v>53</v>
      </c>
      <c r="U2930" s="17">
        <v>7000</v>
      </c>
      <c r="V2930" s="18" t="s">
        <v>77</v>
      </c>
      <c r="W2930" s="18" t="s">
        <v>55</v>
      </c>
      <c r="X2930" s="16">
        <v>10</v>
      </c>
      <c r="Y2930" s="18" t="s">
        <v>459</v>
      </c>
      <c r="Z2930" s="18"/>
      <c r="AS2930" s="1">
        <f>IF($A2930&lt;&gt;0,1,0)</f>
        <v>0</v>
      </c>
      <c r="AT2930" s="1">
        <f>$A2930*$B2930</f>
        <v>0</v>
      </c>
      <c r="AU2930" s="1">
        <f>$A2930*$O2930</f>
        <v>0</v>
      </c>
      <c r="AV2930" s="1">
        <f>IF($R2930=0,0,INT($A2930/$R2930))</f>
        <v>0</v>
      </c>
      <c r="AW2930" s="1">
        <f>$A2930-$AV2930*$R2930</f>
        <v>0</v>
      </c>
    </row>
    <row r="2931" ht="24.95" customHeight="1" outlineLevel="3" s="1" customFormat="1">
      <c r="A2931" s="15"/>
      <c r="B2931" s="16">
        <v>990</v>
      </c>
      <c r="C2931" s="17">
        <v>1386</v>
      </c>
      <c r="D2931" s="16">
        <v>32925</v>
      </c>
      <c r="E2931" s="18"/>
      <c r="F2931" s="18" t="s">
        <v>452</v>
      </c>
      <c r="G2931" s="18" t="s">
        <v>9662</v>
      </c>
      <c r="H2931" s="18" t="s">
        <v>49</v>
      </c>
      <c r="I2931" s="18" t="s">
        <v>87</v>
      </c>
      <c r="J2931" s="16">
        <v>2025</v>
      </c>
      <c r="K2931" s="18" t="s">
        <v>9663</v>
      </c>
      <c r="L2931" s="16">
        <v>9785006303393</v>
      </c>
      <c r="M2931" s="18" t="s">
        <v>9664</v>
      </c>
      <c r="N2931" s="16">
        <v>200</v>
      </c>
      <c r="O2931" s="19">
        <v>0.39</v>
      </c>
      <c r="P2931" s="16">
        <v>160</v>
      </c>
      <c r="Q2931" s="16">
        <v>200</v>
      </c>
      <c r="R2931" s="16">
        <v>20</v>
      </c>
      <c r="S2931" s="18" t="s">
        <v>52</v>
      </c>
      <c r="T2931" s="18" t="s">
        <v>53</v>
      </c>
      <c r="U2931" s="17">
        <v>5000</v>
      </c>
      <c r="V2931" s="18" t="s">
        <v>77</v>
      </c>
      <c r="W2931" s="18" t="s">
        <v>55</v>
      </c>
      <c r="X2931" s="16">
        <v>10</v>
      </c>
      <c r="Y2931" s="18" t="s">
        <v>459</v>
      </c>
      <c r="Z2931" s="18"/>
      <c r="AS2931" s="1">
        <f>IF($A2931&lt;&gt;0,1,0)</f>
        <v>0</v>
      </c>
      <c r="AT2931" s="1">
        <f>$A2931*$B2931</f>
        <v>0</v>
      </c>
      <c r="AU2931" s="1">
        <f>$A2931*$O2931</f>
        <v>0</v>
      </c>
      <c r="AV2931" s="1">
        <f>IF($R2931=0,0,INT($A2931/$R2931))</f>
        <v>0</v>
      </c>
      <c r="AW2931" s="1">
        <f>$A2931-$AV2931*$R2931</f>
        <v>0</v>
      </c>
    </row>
    <row r="2932" ht="24.95" customHeight="1" outlineLevel="3" s="1" customFormat="1">
      <c r="A2932" s="15"/>
      <c r="B2932" s="16">
        <v>990</v>
      </c>
      <c r="C2932" s="17">
        <v>1386</v>
      </c>
      <c r="D2932" s="16">
        <v>33414</v>
      </c>
      <c r="E2932" s="18"/>
      <c r="F2932" s="18" t="s">
        <v>452</v>
      </c>
      <c r="G2932" s="18" t="s">
        <v>9665</v>
      </c>
      <c r="H2932" s="18" t="s">
        <v>49</v>
      </c>
      <c r="I2932" s="18" t="s">
        <v>87</v>
      </c>
      <c r="J2932" s="16">
        <v>2025</v>
      </c>
      <c r="K2932" s="18" t="s">
        <v>9666</v>
      </c>
      <c r="L2932" s="16">
        <v>9785006304666</v>
      </c>
      <c r="M2932" s="18" t="s">
        <v>9667</v>
      </c>
      <c r="N2932" s="16">
        <v>200</v>
      </c>
      <c r="O2932" s="19">
        <v>0.41</v>
      </c>
      <c r="P2932" s="16">
        <v>160</v>
      </c>
      <c r="Q2932" s="16">
        <v>200</v>
      </c>
      <c r="R2932" s="16">
        <v>20</v>
      </c>
      <c r="S2932" s="18" t="s">
        <v>52</v>
      </c>
      <c r="T2932" s="18" t="s">
        <v>53</v>
      </c>
      <c r="U2932" s="17">
        <v>3000</v>
      </c>
      <c r="V2932" s="18" t="s">
        <v>54</v>
      </c>
      <c r="W2932" s="18" t="s">
        <v>55</v>
      </c>
      <c r="X2932" s="16">
        <v>10</v>
      </c>
      <c r="Y2932" s="18" t="s">
        <v>459</v>
      </c>
      <c r="Z2932" s="18"/>
      <c r="AS2932" s="1">
        <f>IF($A2932&lt;&gt;0,1,0)</f>
        <v>0</v>
      </c>
      <c r="AT2932" s="1">
        <f>$A2932*$B2932</f>
        <v>0</v>
      </c>
      <c r="AU2932" s="1">
        <f>$A2932*$O2932</f>
        <v>0</v>
      </c>
      <c r="AV2932" s="1">
        <f>IF($R2932=0,0,INT($A2932/$R2932))</f>
        <v>0</v>
      </c>
      <c r="AW2932" s="1">
        <f>$A2932-$AV2932*$R2932</f>
        <v>0</v>
      </c>
    </row>
    <row r="2933" ht="24.95" customHeight="1" outlineLevel="3" s="1" customFormat="1">
      <c r="A2933" s="15"/>
      <c r="B2933" s="16">
        <v>990</v>
      </c>
      <c r="C2933" s="17">
        <v>1386</v>
      </c>
      <c r="D2933" s="16">
        <v>33830</v>
      </c>
      <c r="E2933" s="18"/>
      <c r="F2933" s="18" t="s">
        <v>452</v>
      </c>
      <c r="G2933" s="18" t="s">
        <v>460</v>
      </c>
      <c r="H2933" s="18" t="s">
        <v>49</v>
      </c>
      <c r="I2933" s="18" t="s">
        <v>87</v>
      </c>
      <c r="J2933" s="16">
        <v>2025</v>
      </c>
      <c r="K2933" s="18" t="s">
        <v>461</v>
      </c>
      <c r="L2933" s="16">
        <v>9785006305632</v>
      </c>
      <c r="M2933" s="18" t="s">
        <v>462</v>
      </c>
      <c r="N2933" s="16">
        <v>200</v>
      </c>
      <c r="O2933" s="19">
        <v>0.4</v>
      </c>
      <c r="P2933" s="16">
        <v>160</v>
      </c>
      <c r="Q2933" s="16">
        <v>200</v>
      </c>
      <c r="R2933" s="16">
        <v>20</v>
      </c>
      <c r="S2933" s="18" t="s">
        <v>52</v>
      </c>
      <c r="T2933" s="18" t="s">
        <v>53</v>
      </c>
      <c r="U2933" s="17">
        <v>5000</v>
      </c>
      <c r="V2933" s="18" t="s">
        <v>54</v>
      </c>
      <c r="W2933" s="18" t="s">
        <v>55</v>
      </c>
      <c r="X2933" s="16">
        <v>10</v>
      </c>
      <c r="Y2933" s="18" t="s">
        <v>459</v>
      </c>
      <c r="Z2933" s="18"/>
      <c r="AS2933" s="1">
        <f>IF($A2933&lt;&gt;0,1,0)</f>
        <v>0</v>
      </c>
      <c r="AT2933" s="1">
        <f>$A2933*$B2933</f>
        <v>0</v>
      </c>
      <c r="AU2933" s="1">
        <f>$A2933*$O2933</f>
        <v>0</v>
      </c>
      <c r="AV2933" s="1">
        <f>IF($R2933=0,0,INT($A2933/$R2933))</f>
        <v>0</v>
      </c>
      <c r="AW2933" s="1">
        <f>$A2933-$AV2933*$R2933</f>
        <v>0</v>
      </c>
    </row>
    <row r="2934" ht="24.95" customHeight="1" outlineLevel="3" s="1" customFormat="1">
      <c r="A2934" s="15"/>
      <c r="B2934" s="16">
        <v>990</v>
      </c>
      <c r="C2934" s="17">
        <v>1386</v>
      </c>
      <c r="D2934" s="16">
        <v>33831</v>
      </c>
      <c r="E2934" s="18"/>
      <c r="F2934" s="18" t="s">
        <v>452</v>
      </c>
      <c r="G2934" s="18" t="s">
        <v>9668</v>
      </c>
      <c r="H2934" s="18" t="s">
        <v>49</v>
      </c>
      <c r="I2934" s="18" t="s">
        <v>87</v>
      </c>
      <c r="J2934" s="16">
        <v>2025</v>
      </c>
      <c r="K2934" s="18" t="s">
        <v>9669</v>
      </c>
      <c r="L2934" s="16">
        <v>9785006305649</v>
      </c>
      <c r="M2934" s="18" t="s">
        <v>9670</v>
      </c>
      <c r="N2934" s="16">
        <v>200</v>
      </c>
      <c r="O2934" s="19">
        <v>0.4</v>
      </c>
      <c r="P2934" s="16">
        <v>160</v>
      </c>
      <c r="Q2934" s="16">
        <v>200</v>
      </c>
      <c r="R2934" s="16">
        <v>20</v>
      </c>
      <c r="S2934" s="18" t="s">
        <v>52</v>
      </c>
      <c r="T2934" s="18" t="s">
        <v>53</v>
      </c>
      <c r="U2934" s="17">
        <v>5000</v>
      </c>
      <c r="V2934" s="18" t="s">
        <v>54</v>
      </c>
      <c r="W2934" s="18" t="s">
        <v>55</v>
      </c>
      <c r="X2934" s="16">
        <v>10</v>
      </c>
      <c r="Y2934" s="18" t="s">
        <v>459</v>
      </c>
      <c r="Z2934" s="18"/>
      <c r="AS2934" s="1">
        <f>IF($A2934&lt;&gt;0,1,0)</f>
        <v>0</v>
      </c>
      <c r="AT2934" s="1">
        <f>$A2934*$B2934</f>
        <v>0</v>
      </c>
      <c r="AU2934" s="1">
        <f>$A2934*$O2934</f>
        <v>0</v>
      </c>
      <c r="AV2934" s="1">
        <f>IF($R2934=0,0,INT($A2934/$R2934))</f>
        <v>0</v>
      </c>
      <c r="AW2934" s="1">
        <f>$A2934-$AV2934*$R2934</f>
        <v>0</v>
      </c>
    </row>
    <row r="2935" ht="24.95" customHeight="1" outlineLevel="3" s="1" customFormat="1">
      <c r="A2935" s="15"/>
      <c r="B2935" s="17">
        <v>1100</v>
      </c>
      <c r="C2935" s="17">
        <v>1485</v>
      </c>
      <c r="D2935" s="16">
        <v>34579</v>
      </c>
      <c r="E2935" s="18"/>
      <c r="F2935" s="18" t="s">
        <v>47</v>
      </c>
      <c r="G2935" s="18" t="s">
        <v>48</v>
      </c>
      <c r="H2935" s="18" t="s">
        <v>49</v>
      </c>
      <c r="I2935" s="18"/>
      <c r="J2935" s="16">
        <v>2026</v>
      </c>
      <c r="K2935" s="18" t="s">
        <v>50</v>
      </c>
      <c r="L2935" s="16">
        <v>9785006308053</v>
      </c>
      <c r="M2935" s="18" t="s">
        <v>51</v>
      </c>
      <c r="N2935" s="16">
        <v>288</v>
      </c>
      <c r="O2935" s="19">
        <v>0.53</v>
      </c>
      <c r="P2935" s="16">
        <v>160</v>
      </c>
      <c r="Q2935" s="16">
        <v>200</v>
      </c>
      <c r="R2935" s="16">
        <v>20</v>
      </c>
      <c r="S2935" s="18" t="s">
        <v>52</v>
      </c>
      <c r="T2935" s="18" t="s">
        <v>53</v>
      </c>
      <c r="U2935" s="17">
        <v>5000</v>
      </c>
      <c r="V2935" s="18" t="s">
        <v>54</v>
      </c>
      <c r="W2935" s="18" t="s">
        <v>55</v>
      </c>
      <c r="X2935" s="16">
        <v>10</v>
      </c>
      <c r="Y2935" s="43" t="str">
        <f>HYPERLINK("","")</f>
      </c>
      <c r="Z2935" s="18" t="s">
        <v>56</v>
      </c>
      <c r="AS2935" s="1">
        <f>IF($A2935&lt;&gt;0,1,0)</f>
        <v>0</v>
      </c>
      <c r="AT2935" s="1">
        <f>$A2935*$B2935</f>
        <v>0</v>
      </c>
      <c r="AU2935" s="1">
        <f>$A2935*$O2935</f>
        <v>0</v>
      </c>
      <c r="AV2935" s="1">
        <f>IF($R2935=0,0,INT($A2935/$R2935))</f>
        <v>0</v>
      </c>
      <c r="AW2935" s="1">
        <f>$A2935-$AV2935*$R2935</f>
        <v>0</v>
      </c>
    </row>
    <row r="2936" ht="24.95" customHeight="1" outlineLevel="3" s="1" customFormat="1">
      <c r="A2936" s="15"/>
      <c r="B2936" s="17">
        <v>1100</v>
      </c>
      <c r="C2936" s="17">
        <v>1485</v>
      </c>
      <c r="D2936" s="16">
        <v>29775</v>
      </c>
      <c r="E2936" s="18"/>
      <c r="F2936" s="18" t="s">
        <v>9671</v>
      </c>
      <c r="G2936" s="18" t="s">
        <v>9672</v>
      </c>
      <c r="H2936" s="18" t="s">
        <v>49</v>
      </c>
      <c r="I2936" s="18"/>
      <c r="J2936" s="16">
        <v>2025</v>
      </c>
      <c r="K2936" s="18" t="s">
        <v>9673</v>
      </c>
      <c r="L2936" s="16">
        <v>9785961493849</v>
      </c>
      <c r="M2936" s="18" t="s">
        <v>9674</v>
      </c>
      <c r="N2936" s="16">
        <v>288</v>
      </c>
      <c r="O2936" s="19">
        <v>0.54</v>
      </c>
      <c r="P2936" s="16">
        <v>160</v>
      </c>
      <c r="Q2936" s="16">
        <v>200</v>
      </c>
      <c r="R2936" s="16">
        <v>20</v>
      </c>
      <c r="S2936" s="18" t="s">
        <v>52</v>
      </c>
      <c r="T2936" s="18" t="s">
        <v>53</v>
      </c>
      <c r="U2936" s="17">
        <v>5000</v>
      </c>
      <c r="V2936" s="18" t="s">
        <v>54</v>
      </c>
      <c r="W2936" s="18" t="s">
        <v>55</v>
      </c>
      <c r="X2936" s="16">
        <v>10</v>
      </c>
      <c r="Y2936" s="18" t="s">
        <v>9345</v>
      </c>
      <c r="Z2936" s="18"/>
      <c r="AS2936" s="1">
        <f>IF($A2936&lt;&gt;0,1,0)</f>
        <v>0</v>
      </c>
      <c r="AT2936" s="1">
        <f>$A2936*$B2936</f>
        <v>0</v>
      </c>
      <c r="AU2936" s="1">
        <f>$A2936*$O2936</f>
        <v>0</v>
      </c>
      <c r="AV2936" s="1">
        <f>IF($R2936=0,0,INT($A2936/$R2936))</f>
        <v>0</v>
      </c>
      <c r="AW2936" s="1">
        <f>$A2936-$AV2936*$R2936</f>
        <v>0</v>
      </c>
    </row>
    <row r="2937" ht="24.95" customHeight="1" outlineLevel="3" s="1" customFormat="1">
      <c r="A2937" s="15"/>
      <c r="B2937" s="16">
        <v>990</v>
      </c>
      <c r="C2937" s="17">
        <v>1485</v>
      </c>
      <c r="D2937" s="16">
        <v>30605</v>
      </c>
      <c r="E2937" s="18"/>
      <c r="F2937" s="18" t="s">
        <v>9675</v>
      </c>
      <c r="G2937" s="18" t="s">
        <v>9676</v>
      </c>
      <c r="H2937" s="18" t="s">
        <v>49</v>
      </c>
      <c r="I2937" s="18"/>
      <c r="J2937" s="16">
        <v>2025</v>
      </c>
      <c r="K2937" s="18" t="s">
        <v>9677</v>
      </c>
      <c r="L2937" s="16">
        <v>9785961496017</v>
      </c>
      <c r="M2937" s="18" t="s">
        <v>9678</v>
      </c>
      <c r="N2937" s="16">
        <v>288</v>
      </c>
      <c r="O2937" s="19">
        <v>0.53</v>
      </c>
      <c r="P2937" s="16">
        <v>160</v>
      </c>
      <c r="Q2937" s="16">
        <v>200</v>
      </c>
      <c r="R2937" s="16">
        <v>20</v>
      </c>
      <c r="S2937" s="18" t="s">
        <v>52</v>
      </c>
      <c r="T2937" s="18" t="s">
        <v>53</v>
      </c>
      <c r="U2937" s="17">
        <v>5000</v>
      </c>
      <c r="V2937" s="18" t="s">
        <v>54</v>
      </c>
      <c r="W2937" s="18" t="s">
        <v>55</v>
      </c>
      <c r="X2937" s="16">
        <v>10</v>
      </c>
      <c r="Y2937" s="18" t="s">
        <v>9679</v>
      </c>
      <c r="Z2937" s="18"/>
      <c r="AS2937" s="1">
        <f>IF($A2937&lt;&gt;0,1,0)</f>
        <v>0</v>
      </c>
      <c r="AT2937" s="1">
        <f>$A2937*$B2937</f>
        <v>0</v>
      </c>
      <c r="AU2937" s="1">
        <f>$A2937*$O2937</f>
        <v>0</v>
      </c>
      <c r="AV2937" s="1">
        <f>IF($R2937=0,0,INT($A2937/$R2937))</f>
        <v>0</v>
      </c>
      <c r="AW2937" s="1">
        <f>$A2937-$AV2937*$R2937</f>
        <v>0</v>
      </c>
    </row>
    <row r="2938" ht="21.95" customHeight="1" outlineLevel="3" s="1" customFormat="1">
      <c r="A2938" s="15"/>
      <c r="B2938" s="16">
        <v>905</v>
      </c>
      <c r="C2938" s="17">
        <v>1267</v>
      </c>
      <c r="D2938" s="16">
        <v>35492</v>
      </c>
      <c r="E2938" s="18"/>
      <c r="F2938" s="18" t="s">
        <v>500</v>
      </c>
      <c r="G2938" s="18" t="s">
        <v>501</v>
      </c>
      <c r="H2938" s="18" t="s">
        <v>49</v>
      </c>
      <c r="I2938" s="18" t="s">
        <v>74</v>
      </c>
      <c r="J2938" s="16">
        <v>2026</v>
      </c>
      <c r="K2938" s="18" t="s">
        <v>502</v>
      </c>
      <c r="L2938" s="16">
        <v>9785006312227</v>
      </c>
      <c r="M2938" s="18" t="s">
        <v>503</v>
      </c>
      <c r="N2938" s="16">
        <v>112</v>
      </c>
      <c r="O2938" s="19">
        <v>0.34</v>
      </c>
      <c r="P2938" s="16">
        <v>160</v>
      </c>
      <c r="Q2938" s="16">
        <v>240</v>
      </c>
      <c r="R2938" s="16">
        <v>16</v>
      </c>
      <c r="S2938" s="18" t="s">
        <v>43</v>
      </c>
      <c r="T2938" s="18" t="s">
        <v>504</v>
      </c>
      <c r="U2938" s="17">
        <v>5000</v>
      </c>
      <c r="V2938" s="18" t="s">
        <v>54</v>
      </c>
      <c r="W2938" s="18" t="s">
        <v>55</v>
      </c>
      <c r="X2938" s="16">
        <v>22</v>
      </c>
      <c r="Y2938" s="43" t="str">
        <f>HYPERLINK("","")</f>
      </c>
      <c r="Z2938" s="18" t="s">
        <v>505</v>
      </c>
      <c r="AS2938" s="1">
        <f>IF($A2938&lt;&gt;0,1,0)</f>
        <v>0</v>
      </c>
      <c r="AT2938" s="1">
        <f>$A2938*$B2938</f>
        <v>0</v>
      </c>
      <c r="AU2938" s="1">
        <f>$A2938*$O2938</f>
        <v>0</v>
      </c>
      <c r="AV2938" s="1">
        <f>IF($R2938=0,0,INT($A2938/$R2938))</f>
        <v>0</v>
      </c>
      <c r="AW2938" s="1">
        <f>$A2938-$AV2938*$R2938</f>
        <v>0</v>
      </c>
    </row>
    <row r="2939" ht="24.95" customHeight="1" outlineLevel="3" s="1" customFormat="1">
      <c r="A2939" s="15"/>
      <c r="B2939" s="16">
        <v>295</v>
      </c>
      <c r="C2939" s="16">
        <v>472</v>
      </c>
      <c r="D2939" s="16">
        <v>33078</v>
      </c>
      <c r="E2939" s="18"/>
      <c r="F2939" s="18" t="s">
        <v>9680</v>
      </c>
      <c r="G2939" s="18" t="s">
        <v>9681</v>
      </c>
      <c r="H2939" s="18" t="s">
        <v>49</v>
      </c>
      <c r="I2939" s="18"/>
      <c r="J2939" s="16">
        <v>2025</v>
      </c>
      <c r="K2939" s="18" t="s">
        <v>9682</v>
      </c>
      <c r="L2939" s="16">
        <v>9785006303744</v>
      </c>
      <c r="M2939" s="18" t="s">
        <v>9683</v>
      </c>
      <c r="N2939" s="16">
        <v>6</v>
      </c>
      <c r="O2939" s="19">
        <v>0.12</v>
      </c>
      <c r="P2939" s="16">
        <v>210</v>
      </c>
      <c r="Q2939" s="16">
        <v>290</v>
      </c>
      <c r="R2939" s="16">
        <v>60</v>
      </c>
      <c r="S2939" s="18" t="s">
        <v>52</v>
      </c>
      <c r="T2939" s="18"/>
      <c r="U2939" s="17">
        <v>1200</v>
      </c>
      <c r="V2939" s="18" t="s">
        <v>44</v>
      </c>
      <c r="W2939" s="18" t="s">
        <v>184</v>
      </c>
      <c r="X2939" s="16">
        <v>22</v>
      </c>
      <c r="Y2939" s="18" t="s">
        <v>9684</v>
      </c>
      <c r="Z2939" s="18"/>
      <c r="AS2939" s="1">
        <f>IF($A2939&lt;&gt;0,1,0)</f>
        <v>0</v>
      </c>
      <c r="AT2939" s="1">
        <f>$A2939*$B2939</f>
        <v>0</v>
      </c>
      <c r="AU2939" s="1">
        <f>$A2939*$O2939</f>
        <v>0</v>
      </c>
      <c r="AV2939" s="1">
        <f>IF($R2939=0,0,INT($A2939/$R2939))</f>
        <v>0</v>
      </c>
      <c r="AW2939" s="1">
        <f>$A2939-$AV2939*$R2939</f>
        <v>0</v>
      </c>
    </row>
    <row r="2940" ht="21.95" customHeight="1" outlineLevel="3" s="1" customFormat="1">
      <c r="A2940" s="15"/>
      <c r="B2940" s="16">
        <v>905</v>
      </c>
      <c r="C2940" s="17">
        <v>1267</v>
      </c>
      <c r="D2940" s="16">
        <v>36596</v>
      </c>
      <c r="E2940" s="18"/>
      <c r="F2940" s="18" t="s">
        <v>500</v>
      </c>
      <c r="G2940" s="18" t="s">
        <v>9685</v>
      </c>
      <c r="H2940" s="18" t="s">
        <v>49</v>
      </c>
      <c r="I2940" s="18" t="s">
        <v>74</v>
      </c>
      <c r="J2940" s="16">
        <v>2026</v>
      </c>
      <c r="K2940" s="18" t="s">
        <v>9686</v>
      </c>
      <c r="L2940" s="16">
        <v>9785006317574</v>
      </c>
      <c r="M2940" s="18" t="s">
        <v>9687</v>
      </c>
      <c r="N2940" s="16">
        <v>112</v>
      </c>
      <c r="O2940" s="19">
        <v>0.33</v>
      </c>
      <c r="P2940" s="16">
        <v>160</v>
      </c>
      <c r="Q2940" s="16">
        <v>230</v>
      </c>
      <c r="R2940" s="16">
        <v>16</v>
      </c>
      <c r="S2940" s="18" t="s">
        <v>43</v>
      </c>
      <c r="T2940" s="18" t="s">
        <v>504</v>
      </c>
      <c r="U2940" s="17">
        <v>5000</v>
      </c>
      <c r="V2940" s="18" t="s">
        <v>54</v>
      </c>
      <c r="W2940" s="18" t="s">
        <v>55</v>
      </c>
      <c r="X2940" s="16">
        <v>22</v>
      </c>
      <c r="Y2940" s="43" t="str">
        <f>HYPERLINK("","")</f>
      </c>
      <c r="Z2940" s="18"/>
      <c r="AS2940" s="1">
        <f>IF($A2940&lt;&gt;0,1,0)</f>
        <v>0</v>
      </c>
      <c r="AT2940" s="1">
        <f>$A2940*$B2940</f>
        <v>0</v>
      </c>
      <c r="AU2940" s="1">
        <f>$A2940*$O2940</f>
        <v>0</v>
      </c>
      <c r="AV2940" s="1">
        <f>IF($R2940=0,0,INT($A2940/$R2940))</f>
        <v>0</v>
      </c>
      <c r="AW2940" s="1">
        <f>$A2940-$AV2940*$R2940</f>
        <v>0</v>
      </c>
    </row>
    <row r="2941" ht="24.95" customHeight="1" outlineLevel="3" s="1" customFormat="1">
      <c r="A2941" s="15"/>
      <c r="B2941" s="16">
        <v>690</v>
      </c>
      <c r="C2941" s="17">
        <v>1035</v>
      </c>
      <c r="D2941" s="16">
        <v>35032</v>
      </c>
      <c r="E2941" s="18"/>
      <c r="F2941" s="18" t="s">
        <v>9688</v>
      </c>
      <c r="G2941" s="18" t="s">
        <v>9689</v>
      </c>
      <c r="H2941" s="18" t="s">
        <v>49</v>
      </c>
      <c r="I2941" s="18" t="s">
        <v>160</v>
      </c>
      <c r="J2941" s="16">
        <v>2026</v>
      </c>
      <c r="K2941" s="18" t="s">
        <v>9690</v>
      </c>
      <c r="L2941" s="16">
        <v>9785006312746</v>
      </c>
      <c r="M2941" s="18" t="s">
        <v>9691</v>
      </c>
      <c r="N2941" s="16">
        <v>80</v>
      </c>
      <c r="O2941" s="19">
        <v>0.46</v>
      </c>
      <c r="P2941" s="16">
        <v>200</v>
      </c>
      <c r="Q2941" s="16">
        <v>280</v>
      </c>
      <c r="R2941" s="16">
        <v>12</v>
      </c>
      <c r="S2941" s="18" t="s">
        <v>83</v>
      </c>
      <c r="T2941" s="18" t="s">
        <v>9692</v>
      </c>
      <c r="U2941" s="17">
        <v>3000</v>
      </c>
      <c r="V2941" s="18" t="s">
        <v>77</v>
      </c>
      <c r="W2941" s="18" t="s">
        <v>184</v>
      </c>
      <c r="X2941" s="16">
        <v>10</v>
      </c>
      <c r="Y2941" s="18" t="s">
        <v>8733</v>
      </c>
      <c r="Z2941" s="18"/>
      <c r="AS2941" s="1">
        <f>IF($A2941&lt;&gt;0,1,0)</f>
        <v>0</v>
      </c>
      <c r="AT2941" s="1">
        <f>$A2941*$B2941</f>
        <v>0</v>
      </c>
      <c r="AU2941" s="1">
        <f>$A2941*$O2941</f>
        <v>0</v>
      </c>
      <c r="AV2941" s="1">
        <f>IF($R2941=0,0,INT($A2941/$R2941))</f>
        <v>0</v>
      </c>
      <c r="AW2941" s="1">
        <f>$A2941-$AV2941*$R2941</f>
        <v>0</v>
      </c>
    </row>
    <row r="2942" ht="24.95" customHeight="1" outlineLevel="3" s="1" customFormat="1">
      <c r="A2942" s="15"/>
      <c r="B2942" s="16">
        <v>690</v>
      </c>
      <c r="C2942" s="17">
        <v>1035</v>
      </c>
      <c r="D2942" s="16">
        <v>32498</v>
      </c>
      <c r="E2942" s="18"/>
      <c r="F2942" s="18" t="s">
        <v>9688</v>
      </c>
      <c r="G2942" s="18" t="s">
        <v>9693</v>
      </c>
      <c r="H2942" s="18" t="s">
        <v>49</v>
      </c>
      <c r="I2942" s="18" t="s">
        <v>160</v>
      </c>
      <c r="J2942" s="16">
        <v>2026</v>
      </c>
      <c r="K2942" s="18" t="s">
        <v>9694</v>
      </c>
      <c r="L2942" s="16">
        <v>9785006303294</v>
      </c>
      <c r="M2942" s="18" t="s">
        <v>9695</v>
      </c>
      <c r="N2942" s="16">
        <v>80</v>
      </c>
      <c r="O2942" s="19">
        <v>0.45</v>
      </c>
      <c r="P2942" s="16">
        <v>200</v>
      </c>
      <c r="Q2942" s="16">
        <v>280</v>
      </c>
      <c r="R2942" s="16">
        <v>12</v>
      </c>
      <c r="S2942" s="18" t="s">
        <v>83</v>
      </c>
      <c r="T2942" s="18" t="s">
        <v>9692</v>
      </c>
      <c r="U2942" s="17">
        <v>3000</v>
      </c>
      <c r="V2942" s="18" t="s">
        <v>77</v>
      </c>
      <c r="W2942" s="18" t="s">
        <v>184</v>
      </c>
      <c r="X2942" s="16">
        <v>10</v>
      </c>
      <c r="Y2942" s="18" t="s">
        <v>8733</v>
      </c>
      <c r="Z2942" s="18"/>
      <c r="AS2942" s="1">
        <f>IF($A2942&lt;&gt;0,1,0)</f>
        <v>0</v>
      </c>
      <c r="AT2942" s="1">
        <f>$A2942*$B2942</f>
        <v>0</v>
      </c>
      <c r="AU2942" s="1">
        <f>$A2942*$O2942</f>
        <v>0</v>
      </c>
      <c r="AV2942" s="1">
        <f>IF($R2942=0,0,INT($A2942/$R2942))</f>
        <v>0</v>
      </c>
      <c r="AW2942" s="1">
        <f>$A2942-$AV2942*$R2942</f>
        <v>0</v>
      </c>
    </row>
    <row r="2943" ht="24.95" customHeight="1" outlineLevel="3" s="1" customFormat="1">
      <c r="A2943" s="15"/>
      <c r="B2943" s="16">
        <v>690</v>
      </c>
      <c r="C2943" s="17">
        <v>1035</v>
      </c>
      <c r="D2943" s="16">
        <v>35015</v>
      </c>
      <c r="E2943" s="18"/>
      <c r="F2943" s="18" t="s">
        <v>9688</v>
      </c>
      <c r="G2943" s="18" t="s">
        <v>9696</v>
      </c>
      <c r="H2943" s="18" t="s">
        <v>49</v>
      </c>
      <c r="I2943" s="18" t="s">
        <v>160</v>
      </c>
      <c r="J2943" s="16">
        <v>2026</v>
      </c>
      <c r="K2943" s="18" t="s">
        <v>9697</v>
      </c>
      <c r="L2943" s="16">
        <v>9785006312739</v>
      </c>
      <c r="M2943" s="18" t="s">
        <v>9698</v>
      </c>
      <c r="N2943" s="16">
        <v>80</v>
      </c>
      <c r="O2943" s="19">
        <v>0.45</v>
      </c>
      <c r="P2943" s="16">
        <v>200</v>
      </c>
      <c r="Q2943" s="16">
        <v>280</v>
      </c>
      <c r="R2943" s="16">
        <v>12</v>
      </c>
      <c r="S2943" s="18" t="s">
        <v>83</v>
      </c>
      <c r="T2943" s="18" t="s">
        <v>9692</v>
      </c>
      <c r="U2943" s="17">
        <v>3000</v>
      </c>
      <c r="V2943" s="18" t="s">
        <v>77</v>
      </c>
      <c r="W2943" s="18" t="s">
        <v>184</v>
      </c>
      <c r="X2943" s="16">
        <v>10</v>
      </c>
      <c r="Y2943" s="18" t="s">
        <v>8733</v>
      </c>
      <c r="Z2943" s="18"/>
      <c r="AS2943" s="1">
        <f>IF($A2943&lt;&gt;0,1,0)</f>
        <v>0</v>
      </c>
      <c r="AT2943" s="1">
        <f>$A2943*$B2943</f>
        <v>0</v>
      </c>
      <c r="AU2943" s="1">
        <f>$A2943*$O2943</f>
        <v>0</v>
      </c>
      <c r="AV2943" s="1">
        <f>IF($R2943=0,0,INT($A2943/$R2943))</f>
        <v>0</v>
      </c>
      <c r="AW2943" s="1">
        <f>$A2943-$AV2943*$R2943</f>
        <v>0</v>
      </c>
    </row>
    <row r="2944" ht="24.95" customHeight="1" outlineLevel="3" s="1" customFormat="1">
      <c r="A2944" s="15"/>
      <c r="B2944" s="16">
        <v>290</v>
      </c>
      <c r="C2944" s="16">
        <v>464</v>
      </c>
      <c r="D2944" s="16">
        <v>28995</v>
      </c>
      <c r="E2944" s="18"/>
      <c r="F2944" s="18" t="s">
        <v>9699</v>
      </c>
      <c r="G2944" s="18" t="s">
        <v>9700</v>
      </c>
      <c r="H2944" s="18" t="s">
        <v>49</v>
      </c>
      <c r="I2944" s="18"/>
      <c r="J2944" s="16">
        <v>2023</v>
      </c>
      <c r="K2944" s="18" t="s">
        <v>9701</v>
      </c>
      <c r="L2944" s="16">
        <v>9785961491005</v>
      </c>
      <c r="M2944" s="18" t="s">
        <v>9702</v>
      </c>
      <c r="N2944" s="16">
        <v>32</v>
      </c>
      <c r="O2944" s="19">
        <v>0.12</v>
      </c>
      <c r="P2944" s="16">
        <v>200</v>
      </c>
      <c r="Q2944" s="16">
        <v>260</v>
      </c>
      <c r="R2944" s="16">
        <v>30</v>
      </c>
      <c r="S2944" s="18" t="s">
        <v>328</v>
      </c>
      <c r="T2944" s="18" t="s">
        <v>9703</v>
      </c>
      <c r="U2944" s="17">
        <v>4000</v>
      </c>
      <c r="V2944" s="18" t="s">
        <v>44</v>
      </c>
      <c r="W2944" s="18" t="s">
        <v>55</v>
      </c>
      <c r="X2944" s="16">
        <v>10</v>
      </c>
      <c r="Y2944" s="18" t="s">
        <v>8786</v>
      </c>
      <c r="Z2944" s="18"/>
      <c r="AS2944" s="1">
        <f>IF($A2944&lt;&gt;0,1,0)</f>
        <v>0</v>
      </c>
      <c r="AT2944" s="1">
        <f>$A2944*$B2944</f>
        <v>0</v>
      </c>
      <c r="AU2944" s="1">
        <f>$A2944*$O2944</f>
        <v>0</v>
      </c>
      <c r="AV2944" s="1">
        <f>IF($R2944=0,0,INT($A2944/$R2944))</f>
        <v>0</v>
      </c>
      <c r="AW2944" s="1">
        <f>$A2944-$AV2944*$R2944</f>
        <v>0</v>
      </c>
    </row>
    <row r="2945" ht="24.95" customHeight="1" outlineLevel="3" s="1" customFormat="1">
      <c r="A2945" s="15"/>
      <c r="B2945" s="17">
        <v>2023</v>
      </c>
      <c r="C2945" s="17">
        <v>2630</v>
      </c>
      <c r="D2945" s="16">
        <v>24387</v>
      </c>
      <c r="E2945" s="18"/>
      <c r="F2945" s="18" t="s">
        <v>9704</v>
      </c>
      <c r="G2945" s="18" t="s">
        <v>9705</v>
      </c>
      <c r="H2945" s="18" t="s">
        <v>49</v>
      </c>
      <c r="I2945" s="18"/>
      <c r="J2945" s="16">
        <v>2022</v>
      </c>
      <c r="K2945" s="18" t="s">
        <v>9706</v>
      </c>
      <c r="L2945" s="16">
        <v>9785961475098</v>
      </c>
      <c r="M2945" s="18" t="s">
        <v>9707</v>
      </c>
      <c r="N2945" s="16">
        <v>28</v>
      </c>
      <c r="O2945" s="19">
        <v>0.95</v>
      </c>
      <c r="P2945" s="16">
        <v>5</v>
      </c>
      <c r="Q2945" s="16">
        <v>6</v>
      </c>
      <c r="R2945" s="16">
        <v>22</v>
      </c>
      <c r="S2945" s="18" t="s">
        <v>328</v>
      </c>
      <c r="T2945" s="18" t="s">
        <v>9708</v>
      </c>
      <c r="U2945" s="17">
        <v>1000</v>
      </c>
      <c r="V2945" s="18" t="s">
        <v>77</v>
      </c>
      <c r="W2945" s="18" t="s">
        <v>184</v>
      </c>
      <c r="X2945" s="16">
        <v>22</v>
      </c>
      <c r="Y2945" s="18" t="s">
        <v>8659</v>
      </c>
      <c r="Z2945" s="18"/>
      <c r="AS2945" s="1">
        <f>IF($A2945&lt;&gt;0,1,0)</f>
        <v>0</v>
      </c>
      <c r="AT2945" s="1">
        <f>$A2945*$B2945</f>
        <v>0</v>
      </c>
      <c r="AU2945" s="1">
        <f>$A2945*$O2945</f>
        <v>0</v>
      </c>
      <c r="AV2945" s="1">
        <f>IF($R2945=0,0,INT($A2945/$R2945))</f>
        <v>0</v>
      </c>
      <c r="AW2945" s="1">
        <f>$A2945-$AV2945*$R2945</f>
        <v>0</v>
      </c>
    </row>
    <row r="2946" ht="24.95" customHeight="1" outlineLevel="3" s="1" customFormat="1">
      <c r="A2946" s="15"/>
      <c r="B2946" s="16">
        <v>150</v>
      </c>
      <c r="C2946" s="16">
        <v>240</v>
      </c>
      <c r="D2946" s="16">
        <v>31425</v>
      </c>
      <c r="E2946" s="18"/>
      <c r="F2946" s="18" t="s">
        <v>57</v>
      </c>
      <c r="G2946" s="18" t="s">
        <v>9709</v>
      </c>
      <c r="H2946" s="18" t="s">
        <v>49</v>
      </c>
      <c r="I2946" s="18"/>
      <c r="J2946" s="16">
        <v>2024</v>
      </c>
      <c r="K2946" s="18" t="s">
        <v>9710</v>
      </c>
      <c r="L2946" s="16">
        <v>9785961498660</v>
      </c>
      <c r="M2946" s="18" t="s">
        <v>9711</v>
      </c>
      <c r="N2946" s="16">
        <v>1</v>
      </c>
      <c r="O2946" s="19">
        <v>0.06</v>
      </c>
      <c r="P2946" s="16">
        <v>200</v>
      </c>
      <c r="Q2946" s="16">
        <v>280</v>
      </c>
      <c r="R2946" s="16">
        <v>100</v>
      </c>
      <c r="S2946" s="18" t="s">
        <v>83</v>
      </c>
      <c r="T2946" s="18"/>
      <c r="U2946" s="17">
        <v>5000</v>
      </c>
      <c r="V2946" s="18" t="s">
        <v>44</v>
      </c>
      <c r="W2946" s="18" t="s">
        <v>184</v>
      </c>
      <c r="X2946" s="16">
        <v>10</v>
      </c>
      <c r="Y2946" s="18" t="s">
        <v>9712</v>
      </c>
      <c r="Z2946" s="18"/>
      <c r="AS2946" s="1">
        <f>IF($A2946&lt;&gt;0,1,0)</f>
        <v>0</v>
      </c>
      <c r="AT2946" s="1">
        <f>$A2946*$B2946</f>
        <v>0</v>
      </c>
      <c r="AU2946" s="1">
        <f>$A2946*$O2946</f>
        <v>0</v>
      </c>
      <c r="AV2946" s="1">
        <f>IF($R2946=0,0,INT($A2946/$R2946))</f>
        <v>0</v>
      </c>
      <c r="AW2946" s="1">
        <f>$A2946-$AV2946*$R2946</f>
        <v>0</v>
      </c>
    </row>
    <row r="2947" ht="21.95" customHeight="1" outlineLevel="3" s="1" customFormat="1">
      <c r="A2947" s="15"/>
      <c r="B2947" s="16">
        <v>905</v>
      </c>
      <c r="C2947" s="17">
        <v>1267</v>
      </c>
      <c r="D2947" s="16">
        <v>35491</v>
      </c>
      <c r="E2947" s="18"/>
      <c r="F2947" s="18" t="s">
        <v>500</v>
      </c>
      <c r="G2947" s="18" t="s">
        <v>9713</v>
      </c>
      <c r="H2947" s="18" t="s">
        <v>49</v>
      </c>
      <c r="I2947" s="18" t="s">
        <v>74</v>
      </c>
      <c r="J2947" s="16">
        <v>2026</v>
      </c>
      <c r="K2947" s="18" t="s">
        <v>9714</v>
      </c>
      <c r="L2947" s="16">
        <v>9785006312197</v>
      </c>
      <c r="M2947" s="18" t="s">
        <v>9715</v>
      </c>
      <c r="N2947" s="16">
        <v>112</v>
      </c>
      <c r="O2947" s="19">
        <v>0.34</v>
      </c>
      <c r="P2947" s="16">
        <v>160</v>
      </c>
      <c r="Q2947" s="16">
        <v>240</v>
      </c>
      <c r="R2947" s="16">
        <v>16</v>
      </c>
      <c r="S2947" s="18" t="s">
        <v>43</v>
      </c>
      <c r="T2947" s="18" t="s">
        <v>504</v>
      </c>
      <c r="U2947" s="17">
        <v>5000</v>
      </c>
      <c r="V2947" s="18" t="s">
        <v>54</v>
      </c>
      <c r="W2947" s="18" t="s">
        <v>55</v>
      </c>
      <c r="X2947" s="16">
        <v>22</v>
      </c>
      <c r="Y2947" s="43" t="str">
        <f>HYPERLINK("","")</f>
      </c>
      <c r="Z2947" s="18" t="s">
        <v>629</v>
      </c>
      <c r="AS2947" s="1">
        <f>IF($A2947&lt;&gt;0,1,0)</f>
        <v>0</v>
      </c>
      <c r="AT2947" s="1">
        <f>$A2947*$B2947</f>
        <v>0</v>
      </c>
      <c r="AU2947" s="1">
        <f>$A2947*$O2947</f>
        <v>0</v>
      </c>
      <c r="AV2947" s="1">
        <f>IF($R2947=0,0,INT($A2947/$R2947))</f>
        <v>0</v>
      </c>
      <c r="AW2947" s="1">
        <f>$A2947-$AV2947*$R2947</f>
        <v>0</v>
      </c>
    </row>
    <row r="2948" ht="21.95" customHeight="1" outlineLevel="3" s="1" customFormat="1">
      <c r="A2948" s="15"/>
      <c r="B2948" s="16">
        <v>905</v>
      </c>
      <c r="C2948" s="17">
        <v>1267</v>
      </c>
      <c r="D2948" s="16">
        <v>36591</v>
      </c>
      <c r="E2948" s="18"/>
      <c r="F2948" s="18" t="s">
        <v>500</v>
      </c>
      <c r="G2948" s="18" t="s">
        <v>9716</v>
      </c>
      <c r="H2948" s="18" t="s">
        <v>49</v>
      </c>
      <c r="I2948" s="18" t="s">
        <v>74</v>
      </c>
      <c r="J2948" s="16">
        <v>2026</v>
      </c>
      <c r="K2948" s="18" t="s">
        <v>9717</v>
      </c>
      <c r="L2948" s="16">
        <v>9785006317567</v>
      </c>
      <c r="M2948" s="18" t="s">
        <v>9718</v>
      </c>
      <c r="N2948" s="16">
        <v>112</v>
      </c>
      <c r="O2948" s="19">
        <v>0.34</v>
      </c>
      <c r="P2948" s="16">
        <v>160</v>
      </c>
      <c r="Q2948" s="16">
        <v>230</v>
      </c>
      <c r="R2948" s="16">
        <v>16</v>
      </c>
      <c r="S2948" s="18" t="s">
        <v>43</v>
      </c>
      <c r="T2948" s="18" t="s">
        <v>504</v>
      </c>
      <c r="U2948" s="17">
        <v>5000</v>
      </c>
      <c r="V2948" s="18" t="s">
        <v>54</v>
      </c>
      <c r="W2948" s="18" t="s">
        <v>55</v>
      </c>
      <c r="X2948" s="16">
        <v>22</v>
      </c>
      <c r="Y2948" s="43" t="str">
        <f>HYPERLINK("","")</f>
      </c>
      <c r="Z2948" s="18"/>
      <c r="AS2948" s="1">
        <f>IF($A2948&lt;&gt;0,1,0)</f>
        <v>0</v>
      </c>
      <c r="AT2948" s="1">
        <f>$A2948*$B2948</f>
        <v>0</v>
      </c>
      <c r="AU2948" s="1">
        <f>$A2948*$O2948</f>
        <v>0</v>
      </c>
      <c r="AV2948" s="1">
        <f>IF($R2948=0,0,INT($A2948/$R2948))</f>
        <v>0</v>
      </c>
      <c r="AW2948" s="1">
        <f>$A2948-$AV2948*$R2948</f>
        <v>0</v>
      </c>
    </row>
    <row r="2949" ht="24.95" customHeight="1" outlineLevel="3" s="1" customFormat="1">
      <c r="A2949" s="15"/>
      <c r="B2949" s="16">
        <v>450</v>
      </c>
      <c r="C2949" s="16">
        <v>698</v>
      </c>
      <c r="D2949" s="16">
        <v>34619</v>
      </c>
      <c r="E2949" s="18"/>
      <c r="F2949" s="18" t="s">
        <v>9189</v>
      </c>
      <c r="G2949" s="18" t="s">
        <v>9719</v>
      </c>
      <c r="H2949" s="18" t="s">
        <v>49</v>
      </c>
      <c r="I2949" s="18" t="s">
        <v>74</v>
      </c>
      <c r="J2949" s="16">
        <v>2026</v>
      </c>
      <c r="K2949" s="18" t="s">
        <v>9720</v>
      </c>
      <c r="L2949" s="16">
        <v>9785006308329</v>
      </c>
      <c r="M2949" s="18" t="s">
        <v>9721</v>
      </c>
      <c r="N2949" s="16">
        <v>68</v>
      </c>
      <c r="O2949" s="19">
        <v>0.33</v>
      </c>
      <c r="P2949" s="16">
        <v>240</v>
      </c>
      <c r="Q2949" s="16">
        <v>280</v>
      </c>
      <c r="R2949" s="16">
        <v>20</v>
      </c>
      <c r="S2949" s="18" t="s">
        <v>83</v>
      </c>
      <c r="T2949" s="18"/>
      <c r="U2949" s="17">
        <v>5000</v>
      </c>
      <c r="V2949" s="18" t="s">
        <v>44</v>
      </c>
      <c r="W2949" s="18" t="s">
        <v>184</v>
      </c>
      <c r="X2949" s="16">
        <v>10</v>
      </c>
      <c r="Y2949" s="18" t="s">
        <v>9293</v>
      </c>
      <c r="Z2949" s="18"/>
      <c r="AS2949" s="1">
        <f>IF($A2949&lt;&gt;0,1,0)</f>
        <v>0</v>
      </c>
      <c r="AT2949" s="1">
        <f>$A2949*$B2949</f>
        <v>0</v>
      </c>
      <c r="AU2949" s="1">
        <f>$A2949*$O2949</f>
        <v>0</v>
      </c>
      <c r="AV2949" s="1">
        <f>IF($R2949=0,0,INT($A2949/$R2949))</f>
        <v>0</v>
      </c>
      <c r="AW2949" s="1">
        <f>$A2949-$AV2949*$R2949</f>
        <v>0</v>
      </c>
    </row>
    <row r="2950" ht="24.95" customHeight="1" outlineLevel="3" s="1" customFormat="1">
      <c r="A2950" s="15"/>
      <c r="B2950" s="16">
        <v>380</v>
      </c>
      <c r="C2950" s="16">
        <v>608</v>
      </c>
      <c r="D2950" s="16">
        <v>31526</v>
      </c>
      <c r="E2950" s="18"/>
      <c r="F2950" s="18" t="s">
        <v>9722</v>
      </c>
      <c r="G2950" s="18" t="s">
        <v>9723</v>
      </c>
      <c r="H2950" s="18" t="s">
        <v>49</v>
      </c>
      <c r="I2950" s="18" t="s">
        <v>160</v>
      </c>
      <c r="J2950" s="16">
        <v>2025</v>
      </c>
      <c r="K2950" s="18" t="s">
        <v>9724</v>
      </c>
      <c r="L2950" s="16">
        <v>9785961499100</v>
      </c>
      <c r="M2950" s="18" t="s">
        <v>9725</v>
      </c>
      <c r="N2950" s="16">
        <v>40</v>
      </c>
      <c r="O2950" s="19">
        <v>0.16</v>
      </c>
      <c r="P2950" s="16">
        <v>210</v>
      </c>
      <c r="Q2950" s="16">
        <v>280</v>
      </c>
      <c r="R2950" s="16">
        <v>20</v>
      </c>
      <c r="S2950" s="18" t="s">
        <v>83</v>
      </c>
      <c r="T2950" s="18" t="s">
        <v>9726</v>
      </c>
      <c r="U2950" s="17">
        <v>5000</v>
      </c>
      <c r="V2950" s="18" t="s">
        <v>44</v>
      </c>
      <c r="W2950" s="18" t="s">
        <v>184</v>
      </c>
      <c r="X2950" s="16">
        <v>10</v>
      </c>
      <c r="Y2950" s="18" t="s">
        <v>9727</v>
      </c>
      <c r="Z2950" s="18"/>
      <c r="AS2950" s="1">
        <f>IF($A2950&lt;&gt;0,1,0)</f>
        <v>0</v>
      </c>
      <c r="AT2950" s="1">
        <f>$A2950*$B2950</f>
        <v>0</v>
      </c>
      <c r="AU2950" s="1">
        <f>$A2950*$O2950</f>
        <v>0</v>
      </c>
      <c r="AV2950" s="1">
        <f>IF($R2950=0,0,INT($A2950/$R2950))</f>
        <v>0</v>
      </c>
      <c r="AW2950" s="1">
        <f>$A2950-$AV2950*$R2950</f>
        <v>0</v>
      </c>
    </row>
    <row r="2951" ht="24.95" customHeight="1" outlineLevel="3" s="1" customFormat="1">
      <c r="A2951" s="15"/>
      <c r="B2951" s="16">
        <v>380</v>
      </c>
      <c r="C2951" s="16">
        <v>608</v>
      </c>
      <c r="D2951" s="16">
        <v>27740</v>
      </c>
      <c r="E2951" s="18"/>
      <c r="F2951" s="18" t="s">
        <v>9722</v>
      </c>
      <c r="G2951" s="18" t="s">
        <v>9728</v>
      </c>
      <c r="H2951" s="18" t="s">
        <v>49</v>
      </c>
      <c r="I2951" s="18" t="s">
        <v>160</v>
      </c>
      <c r="J2951" s="16">
        <v>2024</v>
      </c>
      <c r="K2951" s="18" t="s">
        <v>9729</v>
      </c>
      <c r="L2951" s="16">
        <v>9785961486193</v>
      </c>
      <c r="M2951" s="18" t="s">
        <v>9730</v>
      </c>
      <c r="N2951" s="16">
        <v>40</v>
      </c>
      <c r="O2951" s="19">
        <v>0.15</v>
      </c>
      <c r="P2951" s="16">
        <v>210</v>
      </c>
      <c r="Q2951" s="16">
        <v>280</v>
      </c>
      <c r="R2951" s="16">
        <v>25</v>
      </c>
      <c r="S2951" s="18" t="s">
        <v>83</v>
      </c>
      <c r="T2951" s="18" t="s">
        <v>9726</v>
      </c>
      <c r="U2951" s="17">
        <v>3000</v>
      </c>
      <c r="V2951" s="18" t="s">
        <v>44</v>
      </c>
      <c r="W2951" s="18" t="s">
        <v>184</v>
      </c>
      <c r="X2951" s="16">
        <v>10</v>
      </c>
      <c r="Y2951" s="18" t="s">
        <v>8214</v>
      </c>
      <c r="Z2951" s="18"/>
      <c r="AS2951" s="1">
        <f>IF($A2951&lt;&gt;0,1,0)</f>
        <v>0</v>
      </c>
      <c r="AT2951" s="1">
        <f>$A2951*$B2951</f>
        <v>0</v>
      </c>
      <c r="AU2951" s="1">
        <f>$A2951*$O2951</f>
        <v>0</v>
      </c>
      <c r="AV2951" s="1">
        <f>IF($R2951=0,0,INT($A2951/$R2951))</f>
        <v>0</v>
      </c>
      <c r="AW2951" s="1">
        <f>$A2951-$AV2951*$R2951</f>
        <v>0</v>
      </c>
    </row>
    <row r="2952" ht="24.95" customHeight="1" outlineLevel="3" s="1" customFormat="1">
      <c r="A2952" s="15"/>
      <c r="B2952" s="16">
        <v>380</v>
      </c>
      <c r="C2952" s="16">
        <v>608</v>
      </c>
      <c r="D2952" s="16">
        <v>31533</v>
      </c>
      <c r="E2952" s="18"/>
      <c r="F2952" s="18" t="s">
        <v>9722</v>
      </c>
      <c r="G2952" s="18" t="s">
        <v>9731</v>
      </c>
      <c r="H2952" s="18" t="s">
        <v>49</v>
      </c>
      <c r="I2952" s="18" t="s">
        <v>160</v>
      </c>
      <c r="J2952" s="16">
        <v>2025</v>
      </c>
      <c r="K2952" s="18" t="s">
        <v>9732</v>
      </c>
      <c r="L2952" s="16">
        <v>9785961499162</v>
      </c>
      <c r="M2952" s="18" t="s">
        <v>9733</v>
      </c>
      <c r="N2952" s="16">
        <v>40</v>
      </c>
      <c r="O2952" s="19">
        <v>0.15</v>
      </c>
      <c r="P2952" s="16">
        <v>210</v>
      </c>
      <c r="Q2952" s="16">
        <v>280</v>
      </c>
      <c r="R2952" s="16">
        <v>20</v>
      </c>
      <c r="S2952" s="18" t="s">
        <v>83</v>
      </c>
      <c r="T2952" s="18" t="s">
        <v>9726</v>
      </c>
      <c r="U2952" s="17">
        <v>5000</v>
      </c>
      <c r="V2952" s="18" t="s">
        <v>44</v>
      </c>
      <c r="W2952" s="18" t="s">
        <v>184</v>
      </c>
      <c r="X2952" s="16">
        <v>10</v>
      </c>
      <c r="Y2952" s="18" t="s">
        <v>9727</v>
      </c>
      <c r="Z2952" s="18"/>
      <c r="AS2952" s="1">
        <f>IF($A2952&lt;&gt;0,1,0)</f>
        <v>0</v>
      </c>
      <c r="AT2952" s="1">
        <f>$A2952*$B2952</f>
        <v>0</v>
      </c>
      <c r="AU2952" s="1">
        <f>$A2952*$O2952</f>
        <v>0</v>
      </c>
      <c r="AV2952" s="1">
        <f>IF($R2952=0,0,INT($A2952/$R2952))</f>
        <v>0</v>
      </c>
      <c r="AW2952" s="1">
        <f>$A2952-$AV2952*$R2952</f>
        <v>0</v>
      </c>
    </row>
    <row r="2953" ht="24.95" customHeight="1" outlineLevel="3" s="1" customFormat="1">
      <c r="A2953" s="15"/>
      <c r="B2953" s="16">
        <v>380</v>
      </c>
      <c r="C2953" s="16">
        <v>608</v>
      </c>
      <c r="D2953" s="16">
        <v>27739</v>
      </c>
      <c r="E2953" s="18"/>
      <c r="F2953" s="18" t="s">
        <v>9722</v>
      </c>
      <c r="G2953" s="18" t="s">
        <v>9734</v>
      </c>
      <c r="H2953" s="18" t="s">
        <v>49</v>
      </c>
      <c r="I2953" s="18" t="s">
        <v>160</v>
      </c>
      <c r="J2953" s="16">
        <v>2024</v>
      </c>
      <c r="K2953" s="18" t="s">
        <v>9735</v>
      </c>
      <c r="L2953" s="16">
        <v>9785961486186</v>
      </c>
      <c r="M2953" s="18" t="s">
        <v>9736</v>
      </c>
      <c r="N2953" s="16">
        <v>40</v>
      </c>
      <c r="O2953" s="19">
        <v>0.15</v>
      </c>
      <c r="P2953" s="16">
        <v>210</v>
      </c>
      <c r="Q2953" s="16">
        <v>280</v>
      </c>
      <c r="R2953" s="16">
        <v>25</v>
      </c>
      <c r="S2953" s="18" t="s">
        <v>83</v>
      </c>
      <c r="T2953" s="18" t="s">
        <v>9726</v>
      </c>
      <c r="U2953" s="17">
        <v>3000</v>
      </c>
      <c r="V2953" s="18" t="s">
        <v>44</v>
      </c>
      <c r="W2953" s="18" t="s">
        <v>184</v>
      </c>
      <c r="X2953" s="16">
        <v>10</v>
      </c>
      <c r="Y2953" s="18" t="s">
        <v>8214</v>
      </c>
      <c r="Z2953" s="18"/>
      <c r="AS2953" s="1">
        <f>IF($A2953&lt;&gt;0,1,0)</f>
        <v>0</v>
      </c>
      <c r="AT2953" s="1">
        <f>$A2953*$B2953</f>
        <v>0</v>
      </c>
      <c r="AU2953" s="1">
        <f>$A2953*$O2953</f>
        <v>0</v>
      </c>
      <c r="AV2953" s="1">
        <f>IF($R2953=0,0,INT($A2953/$R2953))</f>
        <v>0</v>
      </c>
      <c r="AW2953" s="1">
        <f>$A2953-$AV2953*$R2953</f>
        <v>0</v>
      </c>
    </row>
    <row r="2954" ht="24.95" customHeight="1" outlineLevel="3" s="1" customFormat="1">
      <c r="A2954" s="15"/>
      <c r="B2954" s="16">
        <v>380</v>
      </c>
      <c r="C2954" s="16">
        <v>608</v>
      </c>
      <c r="D2954" s="16">
        <v>27737</v>
      </c>
      <c r="E2954" s="18"/>
      <c r="F2954" s="18" t="s">
        <v>9722</v>
      </c>
      <c r="G2954" s="18" t="s">
        <v>9737</v>
      </c>
      <c r="H2954" s="18" t="s">
        <v>49</v>
      </c>
      <c r="I2954" s="18" t="s">
        <v>160</v>
      </c>
      <c r="J2954" s="16">
        <v>2024</v>
      </c>
      <c r="K2954" s="18" t="s">
        <v>9738</v>
      </c>
      <c r="L2954" s="16">
        <v>9785961486162</v>
      </c>
      <c r="M2954" s="18" t="s">
        <v>9739</v>
      </c>
      <c r="N2954" s="16">
        <v>40</v>
      </c>
      <c r="O2954" s="19">
        <v>0.16</v>
      </c>
      <c r="P2954" s="16">
        <v>210</v>
      </c>
      <c r="Q2954" s="16">
        <v>280</v>
      </c>
      <c r="R2954" s="16">
        <v>20</v>
      </c>
      <c r="S2954" s="18" t="s">
        <v>83</v>
      </c>
      <c r="T2954" s="18" t="s">
        <v>9726</v>
      </c>
      <c r="U2954" s="17">
        <v>3000</v>
      </c>
      <c r="V2954" s="18" t="s">
        <v>44</v>
      </c>
      <c r="W2954" s="18" t="s">
        <v>184</v>
      </c>
      <c r="X2954" s="16">
        <v>10</v>
      </c>
      <c r="Y2954" s="18" t="s">
        <v>8214</v>
      </c>
      <c r="Z2954" s="18"/>
      <c r="AS2954" s="1">
        <f>IF($A2954&lt;&gt;0,1,0)</f>
        <v>0</v>
      </c>
      <c r="AT2954" s="1">
        <f>$A2954*$B2954</f>
        <v>0</v>
      </c>
      <c r="AU2954" s="1">
        <f>$A2954*$O2954</f>
        <v>0</v>
      </c>
      <c r="AV2954" s="1">
        <f>IF($R2954=0,0,INT($A2954/$R2954))</f>
        <v>0</v>
      </c>
      <c r="AW2954" s="1">
        <f>$A2954-$AV2954*$R2954</f>
        <v>0</v>
      </c>
    </row>
    <row r="2955" ht="24.95" customHeight="1" outlineLevel="3" s="1" customFormat="1">
      <c r="A2955" s="15"/>
      <c r="B2955" s="16">
        <v>380</v>
      </c>
      <c r="C2955" s="16">
        <v>608</v>
      </c>
      <c r="D2955" s="16">
        <v>27736</v>
      </c>
      <c r="E2955" s="18"/>
      <c r="F2955" s="18" t="s">
        <v>9722</v>
      </c>
      <c r="G2955" s="18" t="s">
        <v>9740</v>
      </c>
      <c r="H2955" s="18" t="s">
        <v>49</v>
      </c>
      <c r="I2955" s="18" t="s">
        <v>160</v>
      </c>
      <c r="J2955" s="16">
        <v>2024</v>
      </c>
      <c r="K2955" s="18" t="s">
        <v>9741</v>
      </c>
      <c r="L2955" s="16">
        <v>9785961486148</v>
      </c>
      <c r="M2955" s="18" t="s">
        <v>9742</v>
      </c>
      <c r="N2955" s="16">
        <v>40</v>
      </c>
      <c r="O2955" s="19">
        <v>0.15</v>
      </c>
      <c r="P2955" s="16">
        <v>210</v>
      </c>
      <c r="Q2955" s="16">
        <v>280</v>
      </c>
      <c r="R2955" s="16">
        <v>20</v>
      </c>
      <c r="S2955" s="18" t="s">
        <v>83</v>
      </c>
      <c r="T2955" s="18" t="s">
        <v>9726</v>
      </c>
      <c r="U2955" s="17">
        <v>3000</v>
      </c>
      <c r="V2955" s="18" t="s">
        <v>44</v>
      </c>
      <c r="W2955" s="18" t="s">
        <v>184</v>
      </c>
      <c r="X2955" s="16">
        <v>10</v>
      </c>
      <c r="Y2955" s="18" t="s">
        <v>8214</v>
      </c>
      <c r="Z2955" s="18"/>
      <c r="AS2955" s="1">
        <f>IF($A2955&lt;&gt;0,1,0)</f>
        <v>0</v>
      </c>
      <c r="AT2955" s="1">
        <f>$A2955*$B2955</f>
        <v>0</v>
      </c>
      <c r="AU2955" s="1">
        <f>$A2955*$O2955</f>
        <v>0</v>
      </c>
      <c r="AV2955" s="1">
        <f>IF($R2955=0,0,INT($A2955/$R2955))</f>
        <v>0</v>
      </c>
      <c r="AW2955" s="1">
        <f>$A2955-$AV2955*$R2955</f>
        <v>0</v>
      </c>
    </row>
    <row r="2956" ht="24.95" customHeight="1" outlineLevel="3" s="1" customFormat="1">
      <c r="A2956" s="15"/>
      <c r="B2956" s="16">
        <v>380</v>
      </c>
      <c r="C2956" s="16">
        <v>608</v>
      </c>
      <c r="D2956" s="16">
        <v>31528</v>
      </c>
      <c r="E2956" s="18"/>
      <c r="F2956" s="18" t="s">
        <v>9722</v>
      </c>
      <c r="G2956" s="18" t="s">
        <v>9743</v>
      </c>
      <c r="H2956" s="18" t="s">
        <v>49</v>
      </c>
      <c r="I2956" s="18" t="s">
        <v>160</v>
      </c>
      <c r="J2956" s="16">
        <v>2025</v>
      </c>
      <c r="K2956" s="18" t="s">
        <v>9744</v>
      </c>
      <c r="L2956" s="16">
        <v>9785961499124</v>
      </c>
      <c r="M2956" s="18" t="s">
        <v>9745</v>
      </c>
      <c r="N2956" s="16">
        <v>40</v>
      </c>
      <c r="O2956" s="19">
        <v>0.18</v>
      </c>
      <c r="P2956" s="16">
        <v>210</v>
      </c>
      <c r="Q2956" s="16">
        <v>280</v>
      </c>
      <c r="R2956" s="16">
        <v>20</v>
      </c>
      <c r="S2956" s="18" t="s">
        <v>83</v>
      </c>
      <c r="T2956" s="18" t="s">
        <v>9726</v>
      </c>
      <c r="U2956" s="17">
        <v>5000</v>
      </c>
      <c r="V2956" s="18" t="s">
        <v>44</v>
      </c>
      <c r="W2956" s="18" t="s">
        <v>184</v>
      </c>
      <c r="X2956" s="16">
        <v>10</v>
      </c>
      <c r="Y2956" s="18" t="s">
        <v>9727</v>
      </c>
      <c r="Z2956" s="18"/>
      <c r="AS2956" s="1">
        <f>IF($A2956&lt;&gt;0,1,0)</f>
        <v>0</v>
      </c>
      <c r="AT2956" s="1">
        <f>$A2956*$B2956</f>
        <v>0</v>
      </c>
      <c r="AU2956" s="1">
        <f>$A2956*$O2956</f>
        <v>0</v>
      </c>
      <c r="AV2956" s="1">
        <f>IF($R2956=0,0,INT($A2956/$R2956))</f>
        <v>0</v>
      </c>
      <c r="AW2956" s="1">
        <f>$A2956-$AV2956*$R2956</f>
        <v>0</v>
      </c>
    </row>
    <row r="2957" ht="24.95" customHeight="1" outlineLevel="3" s="1" customFormat="1">
      <c r="A2957" s="15"/>
      <c r="B2957" s="16">
        <v>380</v>
      </c>
      <c r="C2957" s="16">
        <v>608</v>
      </c>
      <c r="D2957" s="16">
        <v>27738</v>
      </c>
      <c r="E2957" s="18"/>
      <c r="F2957" s="18" t="s">
        <v>9722</v>
      </c>
      <c r="G2957" s="18" t="s">
        <v>9746</v>
      </c>
      <c r="H2957" s="18" t="s">
        <v>49</v>
      </c>
      <c r="I2957" s="18" t="s">
        <v>160</v>
      </c>
      <c r="J2957" s="16">
        <v>2024</v>
      </c>
      <c r="K2957" s="18" t="s">
        <v>9747</v>
      </c>
      <c r="L2957" s="16">
        <v>9785961486179</v>
      </c>
      <c r="M2957" s="18" t="s">
        <v>9748</v>
      </c>
      <c r="N2957" s="16">
        <v>40</v>
      </c>
      <c r="O2957" s="19">
        <v>0.15</v>
      </c>
      <c r="P2957" s="16">
        <v>210</v>
      </c>
      <c r="Q2957" s="16">
        <v>280</v>
      </c>
      <c r="R2957" s="16">
        <v>20</v>
      </c>
      <c r="S2957" s="18" t="s">
        <v>83</v>
      </c>
      <c r="T2957" s="18" t="s">
        <v>9726</v>
      </c>
      <c r="U2957" s="17">
        <v>3000</v>
      </c>
      <c r="V2957" s="18" t="s">
        <v>44</v>
      </c>
      <c r="W2957" s="18" t="s">
        <v>184</v>
      </c>
      <c r="X2957" s="16">
        <v>10</v>
      </c>
      <c r="Y2957" s="18" t="s">
        <v>8214</v>
      </c>
      <c r="Z2957" s="18"/>
      <c r="AS2957" s="1">
        <f>IF($A2957&lt;&gt;0,1,0)</f>
        <v>0</v>
      </c>
      <c r="AT2957" s="1">
        <f>$A2957*$B2957</f>
        <v>0</v>
      </c>
      <c r="AU2957" s="1">
        <f>$A2957*$O2957</f>
        <v>0</v>
      </c>
      <c r="AV2957" s="1">
        <f>IF($R2957=0,0,INT($A2957/$R2957))</f>
        <v>0</v>
      </c>
      <c r="AW2957" s="1">
        <f>$A2957-$AV2957*$R2957</f>
        <v>0</v>
      </c>
    </row>
    <row r="2958" ht="24.95" customHeight="1" outlineLevel="3" s="1" customFormat="1">
      <c r="A2958" s="15"/>
      <c r="B2958" s="16">
        <v>250</v>
      </c>
      <c r="C2958" s="16">
        <v>400</v>
      </c>
      <c r="D2958" s="16">
        <v>28809</v>
      </c>
      <c r="E2958" s="18"/>
      <c r="F2958" s="18" t="s">
        <v>8261</v>
      </c>
      <c r="G2958" s="18" t="s">
        <v>9749</v>
      </c>
      <c r="H2958" s="18" t="s">
        <v>49</v>
      </c>
      <c r="I2958" s="18"/>
      <c r="J2958" s="16">
        <v>2023</v>
      </c>
      <c r="K2958" s="18" t="s">
        <v>9750</v>
      </c>
      <c r="L2958" s="16">
        <v>9785961490138</v>
      </c>
      <c r="M2958" s="18" t="s">
        <v>9751</v>
      </c>
      <c r="N2958" s="16">
        <v>64</v>
      </c>
      <c r="O2958" s="19">
        <v>0.12</v>
      </c>
      <c r="P2958" s="16">
        <v>140</v>
      </c>
      <c r="Q2958" s="16">
        <v>210</v>
      </c>
      <c r="R2958" s="16">
        <v>60</v>
      </c>
      <c r="S2958" s="18" t="s">
        <v>43</v>
      </c>
      <c r="T2958" s="18"/>
      <c r="U2958" s="17">
        <v>3000</v>
      </c>
      <c r="V2958" s="18" t="s">
        <v>44</v>
      </c>
      <c r="W2958" s="18" t="s">
        <v>55</v>
      </c>
      <c r="X2958" s="16">
        <v>10</v>
      </c>
      <c r="Y2958" s="18" t="s">
        <v>528</v>
      </c>
      <c r="Z2958" s="18"/>
      <c r="AS2958" s="1">
        <f>IF($A2958&lt;&gt;0,1,0)</f>
        <v>0</v>
      </c>
      <c r="AT2958" s="1">
        <f>$A2958*$B2958</f>
        <v>0</v>
      </c>
      <c r="AU2958" s="1">
        <f>$A2958*$O2958</f>
        <v>0</v>
      </c>
      <c r="AV2958" s="1">
        <f>IF($R2958=0,0,INT($A2958/$R2958))</f>
        <v>0</v>
      </c>
      <c r="AW2958" s="1">
        <f>$A2958-$AV2958*$R2958</f>
        <v>0</v>
      </c>
    </row>
    <row r="2959" ht="15" customHeight="1" outlineLevel="1">
      <c r="A2959" s="40" t="s">
        <v>9752</v>
      </c>
      <c r="B2959" s="40"/>
      <c r="C2959" s="40"/>
      <c r="D2959" s="40"/>
      <c r="E2959" s="40"/>
      <c r="F2959" s="40"/>
      <c r="G2959" s="40"/>
      <c r="H2959" s="40"/>
      <c r="I2959" s="40"/>
      <c r="J2959" s="40"/>
      <c r="K2959" s="40"/>
      <c r="L2959" s="40"/>
      <c r="M2959" s="40"/>
      <c r="N2959" s="40"/>
      <c r="O2959" s="40"/>
      <c r="P2959" s="40"/>
      <c r="Q2959" s="40"/>
      <c r="R2959" s="40"/>
      <c r="S2959" s="40"/>
      <c r="T2959" s="40"/>
      <c r="U2959" s="40"/>
      <c r="V2959" s="40"/>
      <c r="W2959" s="40"/>
      <c r="X2959" s="40"/>
      <c r="Y2959" s="40"/>
      <c r="Z2959" s="23"/>
    </row>
    <row r="2960" ht="11.1" customHeight="1" outlineLevel="2">
      <c r="A2960" s="41" t="s">
        <v>9753</v>
      </c>
      <c r="B2960" s="41"/>
      <c r="C2960" s="41"/>
      <c r="D2960" s="41"/>
      <c r="E2960" s="41"/>
      <c r="F2960" s="41"/>
      <c r="G2960" s="41"/>
      <c r="H2960" s="41"/>
      <c r="I2960" s="41"/>
      <c r="J2960" s="41"/>
      <c r="K2960" s="41"/>
      <c r="L2960" s="41"/>
      <c r="M2960" s="41"/>
      <c r="N2960" s="41"/>
      <c r="O2960" s="41"/>
      <c r="P2960" s="41"/>
      <c r="Q2960" s="41"/>
      <c r="R2960" s="41"/>
      <c r="S2960" s="41"/>
      <c r="T2960" s="41"/>
      <c r="U2960" s="41"/>
      <c r="V2960" s="41"/>
      <c r="W2960" s="41"/>
      <c r="X2960" s="41"/>
      <c r="Y2960" s="41"/>
      <c r="Z2960" s="24"/>
    </row>
    <row r="2961" ht="24.95" customHeight="1" outlineLevel="3" s="1" customFormat="1">
      <c r="A2961" s="15"/>
      <c r="B2961" s="16">
        <v>803</v>
      </c>
      <c r="C2961" s="17">
        <v>1164</v>
      </c>
      <c r="D2961" s="16">
        <v>24653</v>
      </c>
      <c r="E2961" s="18"/>
      <c r="F2961" s="18" t="s">
        <v>9754</v>
      </c>
      <c r="G2961" s="18" t="s">
        <v>9755</v>
      </c>
      <c r="H2961" s="18" t="s">
        <v>49</v>
      </c>
      <c r="I2961" s="18"/>
      <c r="J2961" s="16">
        <v>2022</v>
      </c>
      <c r="K2961" s="18" t="s">
        <v>9756</v>
      </c>
      <c r="L2961" s="16">
        <v>9785961475616</v>
      </c>
      <c r="M2961" s="18" t="s">
        <v>9757</v>
      </c>
      <c r="N2961" s="16">
        <v>50</v>
      </c>
      <c r="O2961" s="19">
        <v>0.32</v>
      </c>
      <c r="P2961" s="16">
        <v>5</v>
      </c>
      <c r="Q2961" s="16">
        <v>6</v>
      </c>
      <c r="R2961" s="16">
        <v>45</v>
      </c>
      <c r="S2961" s="18" t="s">
        <v>9758</v>
      </c>
      <c r="T2961" s="18"/>
      <c r="U2961" s="17">
        <v>1500</v>
      </c>
      <c r="V2961" s="18" t="s">
        <v>77</v>
      </c>
      <c r="W2961" s="18" t="s">
        <v>91</v>
      </c>
      <c r="X2961" s="16">
        <v>22</v>
      </c>
      <c r="Y2961" s="18" t="s">
        <v>9759</v>
      </c>
      <c r="Z2961" s="18"/>
      <c r="AS2961" s="1">
        <f>IF($A2961&lt;&gt;0,1,0)</f>
        <v>0</v>
      </c>
      <c r="AT2961" s="1">
        <f>$A2961*$B2961</f>
        <v>0</v>
      </c>
      <c r="AU2961" s="1">
        <f>$A2961*$O2961</f>
        <v>0</v>
      </c>
      <c r="AV2961" s="1">
        <f>IF($R2961=0,0,INT($A2961/$R2961))</f>
        <v>0</v>
      </c>
      <c r="AW2961" s="1">
        <f>$A2961-$AV2961*$R2961</f>
        <v>0</v>
      </c>
    </row>
    <row r="2962" ht="21.95" customHeight="1" outlineLevel="3" s="1" customFormat="1">
      <c r="A2962" s="15"/>
      <c r="B2962" s="16">
        <v>490</v>
      </c>
      <c r="C2962" s="16">
        <v>760</v>
      </c>
      <c r="D2962" s="16">
        <v>23430</v>
      </c>
      <c r="E2962" s="18"/>
      <c r="F2962" s="18" t="s">
        <v>9760</v>
      </c>
      <c r="G2962" s="18" t="s">
        <v>9761</v>
      </c>
      <c r="H2962" s="18" t="s">
        <v>49</v>
      </c>
      <c r="I2962" s="18" t="s">
        <v>74</v>
      </c>
      <c r="J2962" s="16">
        <v>2022</v>
      </c>
      <c r="K2962" s="18" t="s">
        <v>9762</v>
      </c>
      <c r="L2962" s="16">
        <v>9785961472523</v>
      </c>
      <c r="M2962" s="18" t="s">
        <v>9763</v>
      </c>
      <c r="N2962" s="16">
        <v>189</v>
      </c>
      <c r="O2962" s="19">
        <v>0.2</v>
      </c>
      <c r="P2962" s="16">
        <v>125</v>
      </c>
      <c r="Q2962" s="16">
        <v>200</v>
      </c>
      <c r="R2962" s="16">
        <v>24</v>
      </c>
      <c r="S2962" s="18" t="s">
        <v>90</v>
      </c>
      <c r="T2962" s="18"/>
      <c r="U2962" s="17">
        <v>3000</v>
      </c>
      <c r="V2962" s="18" t="s">
        <v>44</v>
      </c>
      <c r="W2962" s="18" t="s">
        <v>184</v>
      </c>
      <c r="X2962" s="16">
        <v>10</v>
      </c>
      <c r="Y2962" s="43" t="str">
        <f>HYPERLINK("","")</f>
      </c>
      <c r="Z2962" s="18"/>
      <c r="AS2962" s="1">
        <f>IF($A2962&lt;&gt;0,1,0)</f>
        <v>0</v>
      </c>
      <c r="AT2962" s="1">
        <f>$A2962*$B2962</f>
        <v>0</v>
      </c>
      <c r="AU2962" s="1">
        <f>$A2962*$O2962</f>
        <v>0</v>
      </c>
      <c r="AV2962" s="1">
        <f>IF($R2962=0,0,INT($A2962/$R2962))</f>
        <v>0</v>
      </c>
      <c r="AW2962" s="1">
        <f>$A2962-$AV2962*$R2962</f>
        <v>0</v>
      </c>
    </row>
    <row r="2963" ht="24.95" customHeight="1" outlineLevel="3" s="1" customFormat="1">
      <c r="A2963" s="25"/>
      <c r="B2963" s="26">
        <v>440</v>
      </c>
      <c r="C2963" s="26">
        <v>682</v>
      </c>
      <c r="D2963" s="26">
        <v>11206</v>
      </c>
      <c r="E2963" s="27"/>
      <c r="F2963" s="27" t="s">
        <v>9764</v>
      </c>
      <c r="G2963" s="27" t="s">
        <v>9765</v>
      </c>
      <c r="H2963" s="27" t="s">
        <v>73</v>
      </c>
      <c r="I2963" s="27" t="s">
        <v>74</v>
      </c>
      <c r="J2963" s="26">
        <v>2020</v>
      </c>
      <c r="K2963" s="27" t="s">
        <v>9766</v>
      </c>
      <c r="L2963" s="26">
        <v>9785001391463</v>
      </c>
      <c r="M2963" s="27" t="s">
        <v>9767</v>
      </c>
      <c r="N2963" s="26">
        <v>345</v>
      </c>
      <c r="O2963" s="28">
        <v>0.4</v>
      </c>
      <c r="P2963" s="26">
        <v>122</v>
      </c>
      <c r="Q2963" s="26">
        <v>180</v>
      </c>
      <c r="R2963" s="26">
        <v>8</v>
      </c>
      <c r="S2963" s="27" t="s">
        <v>190</v>
      </c>
      <c r="T2963" s="27" t="s">
        <v>811</v>
      </c>
      <c r="U2963" s="29">
        <v>3000</v>
      </c>
      <c r="V2963" s="27" t="s">
        <v>44</v>
      </c>
      <c r="W2963" s="27" t="s">
        <v>184</v>
      </c>
      <c r="X2963" s="26">
        <v>10</v>
      </c>
      <c r="Y2963" s="45" t="str">
        <f>HYPERLINK("https://api-enni.alpina.ru/FilePrivilegesApproval/270","https://api-enni.alpina.ru/FilePrivilegesApproval/270")</f>
        <v>https://api-enni.alpina.ru/FilePrivilegesApproval/270</v>
      </c>
      <c r="Z2963" s="27"/>
      <c r="AS2963" s="1">
        <f>IF($A2963&lt;&gt;0,1,0)</f>
        <v>0</v>
      </c>
      <c r="AT2963" s="1">
        <f>$A2963*$B2963</f>
        <v>0</v>
      </c>
      <c r="AU2963" s="1">
        <f>$A2963*$O2963</f>
        <v>0</v>
      </c>
      <c r="AV2963" s="1">
        <f>IF($R2963=0,0,INT($A2963/$R2963))</f>
        <v>0</v>
      </c>
      <c r="AW2963" s="1">
        <f>$A2963-$AV2963*$R2963</f>
        <v>0</v>
      </c>
    </row>
    <row r="2964" ht="24.95" customHeight="1" outlineLevel="3" s="1" customFormat="1">
      <c r="A2964" s="15"/>
      <c r="B2964" s="16">
        <v>590</v>
      </c>
      <c r="C2964" s="16">
        <v>885</v>
      </c>
      <c r="D2964" s="16">
        <v>23544</v>
      </c>
      <c r="E2964" s="18"/>
      <c r="F2964" s="18" t="s">
        <v>9768</v>
      </c>
      <c r="G2964" s="18" t="s">
        <v>9769</v>
      </c>
      <c r="H2964" s="18" t="s">
        <v>49</v>
      </c>
      <c r="I2964" s="18"/>
      <c r="J2964" s="16">
        <v>2022</v>
      </c>
      <c r="K2964" s="18" t="s">
        <v>9770</v>
      </c>
      <c r="L2964" s="16">
        <v>9785961473025</v>
      </c>
      <c r="M2964" s="18" t="s">
        <v>9771</v>
      </c>
      <c r="N2964" s="16">
        <v>158</v>
      </c>
      <c r="O2964" s="19">
        <v>0.31</v>
      </c>
      <c r="P2964" s="16">
        <v>146</v>
      </c>
      <c r="Q2964" s="16">
        <v>216</v>
      </c>
      <c r="R2964" s="16">
        <v>16</v>
      </c>
      <c r="S2964" s="18" t="s">
        <v>43</v>
      </c>
      <c r="T2964" s="18"/>
      <c r="U2964" s="17">
        <v>5000</v>
      </c>
      <c r="V2964" s="18" t="s">
        <v>77</v>
      </c>
      <c r="W2964" s="18" t="s">
        <v>55</v>
      </c>
      <c r="X2964" s="16">
        <v>10</v>
      </c>
      <c r="Y2964" s="18" t="s">
        <v>9772</v>
      </c>
      <c r="Z2964" s="18"/>
      <c r="AS2964" s="1">
        <f>IF($A2964&lt;&gt;0,1,0)</f>
        <v>0</v>
      </c>
      <c r="AT2964" s="1">
        <f>$A2964*$B2964</f>
        <v>0</v>
      </c>
      <c r="AU2964" s="1">
        <f>$A2964*$O2964</f>
        <v>0</v>
      </c>
      <c r="AV2964" s="1">
        <f>IF($R2964=0,0,INT($A2964/$R2964))</f>
        <v>0</v>
      </c>
      <c r="AW2964" s="1">
        <f>$A2964-$AV2964*$R2964</f>
        <v>0</v>
      </c>
    </row>
    <row r="2965" ht="24.95" customHeight="1" outlineLevel="3" s="1" customFormat="1">
      <c r="A2965" s="15"/>
      <c r="B2965" s="16">
        <v>620</v>
      </c>
      <c r="C2965" s="16">
        <v>930</v>
      </c>
      <c r="D2965" s="16">
        <v>25177</v>
      </c>
      <c r="E2965" s="18"/>
      <c r="F2965" s="18" t="s">
        <v>9773</v>
      </c>
      <c r="G2965" s="18" t="s">
        <v>9774</v>
      </c>
      <c r="H2965" s="18" t="s">
        <v>49</v>
      </c>
      <c r="I2965" s="18" t="s">
        <v>1213</v>
      </c>
      <c r="J2965" s="16">
        <v>2024</v>
      </c>
      <c r="K2965" s="18" t="s">
        <v>9775</v>
      </c>
      <c r="L2965" s="16">
        <v>9785961489897</v>
      </c>
      <c r="M2965" s="18" t="s">
        <v>9776</v>
      </c>
      <c r="N2965" s="16">
        <v>304</v>
      </c>
      <c r="O2965" s="19">
        <v>0.32</v>
      </c>
      <c r="P2965" s="16">
        <v>210</v>
      </c>
      <c r="Q2965" s="16">
        <v>130</v>
      </c>
      <c r="R2965" s="16">
        <v>8</v>
      </c>
      <c r="S2965" s="18" t="s">
        <v>90</v>
      </c>
      <c r="T2965" s="18" t="s">
        <v>9777</v>
      </c>
      <c r="U2965" s="17">
        <v>3000</v>
      </c>
      <c r="V2965" s="18" t="s">
        <v>44</v>
      </c>
      <c r="W2965" s="18" t="s">
        <v>91</v>
      </c>
      <c r="X2965" s="16">
        <v>10</v>
      </c>
      <c r="Y2965" s="18" t="s">
        <v>9778</v>
      </c>
      <c r="Z2965" s="18"/>
      <c r="AS2965" s="1">
        <f>IF($A2965&lt;&gt;0,1,0)</f>
        <v>0</v>
      </c>
      <c r="AT2965" s="1">
        <f>$A2965*$B2965</f>
        <v>0</v>
      </c>
      <c r="AU2965" s="1">
        <f>$A2965*$O2965</f>
        <v>0</v>
      </c>
      <c r="AV2965" s="1">
        <f>IF($R2965=0,0,INT($A2965/$R2965))</f>
        <v>0</v>
      </c>
      <c r="AW2965" s="1">
        <f>$A2965-$AV2965*$R2965</f>
        <v>0</v>
      </c>
    </row>
    <row r="2966" ht="24.95" customHeight="1" outlineLevel="3" s="1" customFormat="1">
      <c r="A2966" s="15"/>
      <c r="B2966" s="16">
        <v>690</v>
      </c>
      <c r="C2966" s="17">
        <v>1035</v>
      </c>
      <c r="D2966" s="16">
        <v>27663</v>
      </c>
      <c r="E2966" s="18"/>
      <c r="F2966" s="18" t="s">
        <v>9779</v>
      </c>
      <c r="G2966" s="18" t="s">
        <v>9780</v>
      </c>
      <c r="H2966" s="18" t="s">
        <v>95</v>
      </c>
      <c r="I2966" s="18"/>
      <c r="J2966" s="16">
        <v>2023</v>
      </c>
      <c r="K2966" s="18" t="s">
        <v>9781</v>
      </c>
      <c r="L2966" s="16">
        <v>9785206001662</v>
      </c>
      <c r="M2966" s="18" t="s">
        <v>9782</v>
      </c>
      <c r="N2966" s="16">
        <v>28</v>
      </c>
      <c r="O2966" s="19">
        <v>0.31</v>
      </c>
      <c r="P2966" s="16">
        <v>215</v>
      </c>
      <c r="Q2966" s="16">
        <v>236</v>
      </c>
      <c r="R2966" s="16">
        <v>10</v>
      </c>
      <c r="S2966" s="18" t="s">
        <v>83</v>
      </c>
      <c r="T2966" s="18"/>
      <c r="U2966" s="17">
        <v>1505</v>
      </c>
      <c r="V2966" s="18" t="s">
        <v>77</v>
      </c>
      <c r="W2966" s="18" t="s">
        <v>55</v>
      </c>
      <c r="X2966" s="16">
        <v>10</v>
      </c>
      <c r="Y2966" s="43" t="str">
        <f>HYPERLINK("https://api-enni.alpina.ru/FilePrivilegesApproval/223","https://api-enni.alpina.ru/FilePrivilegesApproval/223")</f>
        <v>https://api-enni.alpina.ru/FilePrivilegesApproval/223</v>
      </c>
      <c r="Z2966" s="18"/>
      <c r="AS2966" s="1">
        <f>IF($A2966&lt;&gt;0,1,0)</f>
        <v>0</v>
      </c>
      <c r="AT2966" s="1">
        <f>$A2966*$B2966</f>
        <v>0</v>
      </c>
      <c r="AU2966" s="1">
        <f>$A2966*$O2966</f>
        <v>0</v>
      </c>
      <c r="AV2966" s="1">
        <f>IF($R2966=0,0,INT($A2966/$R2966))</f>
        <v>0</v>
      </c>
      <c r="AW2966" s="1">
        <f>$A2966-$AV2966*$R2966</f>
        <v>0</v>
      </c>
    </row>
    <row r="2967" ht="21.95" customHeight="1" outlineLevel="3" s="1" customFormat="1">
      <c r="A2967" s="15"/>
      <c r="B2967" s="16">
        <v>640</v>
      </c>
      <c r="C2967" s="16">
        <v>960</v>
      </c>
      <c r="D2967" s="16">
        <v>33774</v>
      </c>
      <c r="E2967" s="18"/>
      <c r="F2967" s="18" t="s">
        <v>9783</v>
      </c>
      <c r="G2967" s="18" t="s">
        <v>9784</v>
      </c>
      <c r="H2967" s="18" t="s">
        <v>49</v>
      </c>
      <c r="I2967" s="18"/>
      <c r="J2967" s="16">
        <v>2025</v>
      </c>
      <c r="K2967" s="18" t="s">
        <v>9785</v>
      </c>
      <c r="L2967" s="16">
        <v>9785006305519</v>
      </c>
      <c r="M2967" s="18" t="s">
        <v>9786</v>
      </c>
      <c r="N2967" s="16">
        <v>128</v>
      </c>
      <c r="O2967" s="19">
        <v>0.17</v>
      </c>
      <c r="P2967" s="16">
        <v>140</v>
      </c>
      <c r="Q2967" s="16">
        <v>210</v>
      </c>
      <c r="R2967" s="16">
        <v>20</v>
      </c>
      <c r="S2967" s="18" t="s">
        <v>43</v>
      </c>
      <c r="T2967" s="18"/>
      <c r="U2967" s="17">
        <v>1200</v>
      </c>
      <c r="V2967" s="18" t="s">
        <v>44</v>
      </c>
      <c r="W2967" s="18" t="s">
        <v>69</v>
      </c>
      <c r="X2967" s="16">
        <v>10</v>
      </c>
      <c r="Y2967" s="43" t="str">
        <f>HYPERLINK("","")</f>
      </c>
      <c r="Z2967" s="18"/>
      <c r="AS2967" s="1">
        <f>IF($A2967&lt;&gt;0,1,0)</f>
        <v>0</v>
      </c>
      <c r="AT2967" s="1">
        <f>$A2967*$B2967</f>
        <v>0</v>
      </c>
      <c r="AU2967" s="1">
        <f>$A2967*$O2967</f>
        <v>0</v>
      </c>
      <c r="AV2967" s="1">
        <f>IF($R2967=0,0,INT($A2967/$R2967))</f>
        <v>0</v>
      </c>
      <c r="AW2967" s="1">
        <f>$A2967-$AV2967*$R2967</f>
        <v>0</v>
      </c>
    </row>
    <row r="2968" ht="21.95" customHeight="1" outlineLevel="3" s="1" customFormat="1">
      <c r="A2968" s="15"/>
      <c r="B2968" s="16">
        <v>490</v>
      </c>
      <c r="C2968" s="16">
        <v>760</v>
      </c>
      <c r="D2968" s="16">
        <v>32509</v>
      </c>
      <c r="E2968" s="18"/>
      <c r="F2968" s="18" t="s">
        <v>634</v>
      </c>
      <c r="G2968" s="18" t="s">
        <v>635</v>
      </c>
      <c r="H2968" s="18" t="s">
        <v>86</v>
      </c>
      <c r="I2968" s="18" t="s">
        <v>636</v>
      </c>
      <c r="J2968" s="16">
        <v>2026</v>
      </c>
      <c r="K2968" s="18" t="s">
        <v>637</v>
      </c>
      <c r="L2968" s="16">
        <v>9785006302419</v>
      </c>
      <c r="M2968" s="18" t="s">
        <v>638</v>
      </c>
      <c r="N2968" s="16">
        <v>198</v>
      </c>
      <c r="O2968" s="19">
        <v>0.34</v>
      </c>
      <c r="P2968" s="16">
        <v>150</v>
      </c>
      <c r="Q2968" s="16">
        <v>220</v>
      </c>
      <c r="R2968" s="16">
        <v>10</v>
      </c>
      <c r="S2968" s="18" t="s">
        <v>43</v>
      </c>
      <c r="T2968" s="18"/>
      <c r="U2968" s="17">
        <v>1000</v>
      </c>
      <c r="V2968" s="18" t="s">
        <v>77</v>
      </c>
      <c r="W2968" s="18" t="s">
        <v>184</v>
      </c>
      <c r="X2968" s="16">
        <v>10</v>
      </c>
      <c r="Y2968" s="43" t="str">
        <f>HYPERLINK("","")</f>
      </c>
      <c r="Z2968" s="18" t="s">
        <v>119</v>
      </c>
      <c r="AS2968" s="1">
        <f>IF($A2968&lt;&gt;0,1,0)</f>
        <v>0</v>
      </c>
      <c r="AT2968" s="1">
        <f>$A2968*$B2968</f>
        <v>0</v>
      </c>
      <c r="AU2968" s="1">
        <f>$A2968*$O2968</f>
        <v>0</v>
      </c>
      <c r="AV2968" s="1">
        <f>IF($R2968=0,0,INT($A2968/$R2968))</f>
        <v>0</v>
      </c>
      <c r="AW2968" s="1">
        <f>$A2968-$AV2968*$R2968</f>
        <v>0</v>
      </c>
    </row>
    <row r="2969" ht="24.95" customHeight="1" outlineLevel="3" s="1" customFormat="1">
      <c r="A2969" s="15"/>
      <c r="B2969" s="16">
        <v>540</v>
      </c>
      <c r="C2969" s="16">
        <v>837</v>
      </c>
      <c r="D2969" s="16">
        <v>30669</v>
      </c>
      <c r="E2969" s="18"/>
      <c r="F2969" s="18" t="s">
        <v>9787</v>
      </c>
      <c r="G2969" s="18" t="s">
        <v>9788</v>
      </c>
      <c r="H2969" s="18" t="s">
        <v>49</v>
      </c>
      <c r="I2969" s="18"/>
      <c r="J2969" s="16">
        <v>2025</v>
      </c>
      <c r="K2969" s="18" t="s">
        <v>9789</v>
      </c>
      <c r="L2969" s="16">
        <v>9785961496147</v>
      </c>
      <c r="M2969" s="18" t="s">
        <v>9790</v>
      </c>
      <c r="N2969" s="16">
        <v>168</v>
      </c>
      <c r="O2969" s="19">
        <v>0.36</v>
      </c>
      <c r="P2969" s="16">
        <v>150</v>
      </c>
      <c r="Q2969" s="16">
        <v>220</v>
      </c>
      <c r="R2969" s="16">
        <v>18</v>
      </c>
      <c r="S2969" s="18" t="s">
        <v>43</v>
      </c>
      <c r="T2969" s="18"/>
      <c r="U2969" s="17">
        <v>3000</v>
      </c>
      <c r="V2969" s="18" t="s">
        <v>77</v>
      </c>
      <c r="W2969" s="18" t="s">
        <v>69</v>
      </c>
      <c r="X2969" s="16">
        <v>10</v>
      </c>
      <c r="Y2969" s="18" t="s">
        <v>9791</v>
      </c>
      <c r="Z2969" s="18"/>
      <c r="AS2969" s="1">
        <f>IF($A2969&lt;&gt;0,1,0)</f>
        <v>0</v>
      </c>
      <c r="AT2969" s="1">
        <f>$A2969*$B2969</f>
        <v>0</v>
      </c>
      <c r="AU2969" s="1">
        <f>$A2969*$O2969</f>
        <v>0</v>
      </c>
      <c r="AV2969" s="1">
        <f>IF($R2969=0,0,INT($A2969/$R2969))</f>
        <v>0</v>
      </c>
      <c r="AW2969" s="1">
        <f>$A2969-$AV2969*$R2969</f>
        <v>0</v>
      </c>
    </row>
    <row r="2970" ht="24.95" customHeight="1" outlineLevel="3" s="1" customFormat="1">
      <c r="A2970" s="15"/>
      <c r="B2970" s="16">
        <v>790</v>
      </c>
      <c r="C2970" s="17">
        <v>1146</v>
      </c>
      <c r="D2970" s="16">
        <v>28671</v>
      </c>
      <c r="E2970" s="18"/>
      <c r="F2970" s="18" t="s">
        <v>9792</v>
      </c>
      <c r="G2970" s="18" t="s">
        <v>9793</v>
      </c>
      <c r="H2970" s="18" t="s">
        <v>49</v>
      </c>
      <c r="I2970" s="18"/>
      <c r="J2970" s="16">
        <v>2025</v>
      </c>
      <c r="K2970" s="18" t="s">
        <v>9794</v>
      </c>
      <c r="L2970" s="16">
        <v>9785961489644</v>
      </c>
      <c r="M2970" s="18" t="s">
        <v>9795</v>
      </c>
      <c r="N2970" s="16">
        <v>168</v>
      </c>
      <c r="O2970" s="19">
        <v>0.53</v>
      </c>
      <c r="P2970" s="16">
        <v>190</v>
      </c>
      <c r="Q2970" s="16">
        <v>230</v>
      </c>
      <c r="R2970" s="16">
        <v>10</v>
      </c>
      <c r="S2970" s="18" t="s">
        <v>52</v>
      </c>
      <c r="T2970" s="18"/>
      <c r="U2970" s="17">
        <v>5000</v>
      </c>
      <c r="V2970" s="18" t="s">
        <v>77</v>
      </c>
      <c r="W2970" s="18" t="s">
        <v>184</v>
      </c>
      <c r="X2970" s="16">
        <v>10</v>
      </c>
      <c r="Y2970" s="18" t="s">
        <v>9796</v>
      </c>
      <c r="Z2970" s="18"/>
      <c r="AS2970" s="1">
        <f>IF($A2970&lt;&gt;0,1,0)</f>
        <v>0</v>
      </c>
      <c r="AT2970" s="1">
        <f>$A2970*$B2970</f>
        <v>0</v>
      </c>
      <c r="AU2970" s="1">
        <f>$A2970*$O2970</f>
        <v>0</v>
      </c>
      <c r="AV2970" s="1">
        <f>IF($R2970=0,0,INT($A2970/$R2970))</f>
        <v>0</v>
      </c>
      <c r="AW2970" s="1">
        <f>$A2970-$AV2970*$R2970</f>
        <v>0</v>
      </c>
    </row>
    <row r="2971" ht="21.95" customHeight="1" outlineLevel="3" s="1" customFormat="1">
      <c r="A2971" s="15"/>
      <c r="B2971" s="16">
        <v>890</v>
      </c>
      <c r="C2971" s="17">
        <v>1246</v>
      </c>
      <c r="D2971" s="16">
        <v>35680</v>
      </c>
      <c r="E2971" s="18"/>
      <c r="F2971" s="18" t="s">
        <v>256</v>
      </c>
      <c r="G2971" s="18" t="s">
        <v>9797</v>
      </c>
      <c r="H2971" s="18" t="s">
        <v>49</v>
      </c>
      <c r="I2971" s="18"/>
      <c r="J2971" s="16">
        <v>2026</v>
      </c>
      <c r="K2971" s="18" t="s">
        <v>9798</v>
      </c>
      <c r="L2971" s="16">
        <v>9785006312661</v>
      </c>
      <c r="M2971" s="18" t="s">
        <v>9799</v>
      </c>
      <c r="N2971" s="16">
        <v>360</v>
      </c>
      <c r="O2971" s="19">
        <v>0.65</v>
      </c>
      <c r="P2971" s="16">
        <v>150</v>
      </c>
      <c r="Q2971" s="16">
        <v>220</v>
      </c>
      <c r="R2971" s="16">
        <v>10</v>
      </c>
      <c r="S2971" s="18" t="s">
        <v>43</v>
      </c>
      <c r="T2971" s="18"/>
      <c r="U2971" s="17">
        <v>10000</v>
      </c>
      <c r="V2971" s="18" t="s">
        <v>77</v>
      </c>
      <c r="W2971" s="18" t="s">
        <v>184</v>
      </c>
      <c r="X2971" s="16">
        <v>10</v>
      </c>
      <c r="Y2971" s="43" t="str">
        <f>HYPERLINK("","")</f>
      </c>
      <c r="Z2971" s="18"/>
      <c r="AS2971" s="1">
        <f>IF($A2971&lt;&gt;0,1,0)</f>
        <v>0</v>
      </c>
      <c r="AT2971" s="1">
        <f>$A2971*$B2971</f>
        <v>0</v>
      </c>
      <c r="AU2971" s="1">
        <f>$A2971*$O2971</f>
        <v>0</v>
      </c>
      <c r="AV2971" s="1">
        <f>IF($R2971=0,0,INT($A2971/$R2971))</f>
        <v>0</v>
      </c>
      <c r="AW2971" s="1">
        <f>$A2971-$AV2971*$R2971</f>
        <v>0</v>
      </c>
    </row>
    <row r="2972" ht="21.95" customHeight="1" outlineLevel="3" s="1" customFormat="1">
      <c r="A2972" s="15"/>
      <c r="B2972" s="16">
        <v>640</v>
      </c>
      <c r="C2972" s="16">
        <v>960</v>
      </c>
      <c r="D2972" s="16">
        <v>24612</v>
      </c>
      <c r="E2972" s="18"/>
      <c r="F2972" s="18" t="s">
        <v>1575</v>
      </c>
      <c r="G2972" s="18" t="s">
        <v>9800</v>
      </c>
      <c r="H2972" s="18" t="s">
        <v>49</v>
      </c>
      <c r="I2972" s="18" t="s">
        <v>65</v>
      </c>
      <c r="J2972" s="16">
        <v>2023</v>
      </c>
      <c r="K2972" s="18" t="s">
        <v>9801</v>
      </c>
      <c r="L2972" s="16">
        <v>9785961475395</v>
      </c>
      <c r="M2972" s="18" t="s">
        <v>9802</v>
      </c>
      <c r="N2972" s="16">
        <v>256</v>
      </c>
      <c r="O2972" s="19">
        <v>0.4</v>
      </c>
      <c r="P2972" s="16">
        <v>146</v>
      </c>
      <c r="Q2972" s="16">
        <v>216</v>
      </c>
      <c r="R2972" s="16">
        <v>14</v>
      </c>
      <c r="S2972" s="18" t="s">
        <v>43</v>
      </c>
      <c r="T2972" s="18"/>
      <c r="U2972" s="17">
        <v>3000</v>
      </c>
      <c r="V2972" s="18" t="s">
        <v>77</v>
      </c>
      <c r="W2972" s="18" t="s">
        <v>184</v>
      </c>
      <c r="X2972" s="16">
        <v>10</v>
      </c>
      <c r="Y2972" s="43" t="str">
        <f>HYPERLINK("","")</f>
      </c>
      <c r="Z2972" s="18"/>
      <c r="AS2972" s="1">
        <f>IF($A2972&lt;&gt;0,1,0)</f>
        <v>0</v>
      </c>
      <c r="AT2972" s="1">
        <f>$A2972*$B2972</f>
        <v>0</v>
      </c>
      <c r="AU2972" s="1">
        <f>$A2972*$O2972</f>
        <v>0</v>
      </c>
      <c r="AV2972" s="1">
        <f>IF($R2972=0,0,INT($A2972/$R2972))</f>
        <v>0</v>
      </c>
      <c r="AW2972" s="1">
        <f>$A2972-$AV2972*$R2972</f>
        <v>0</v>
      </c>
    </row>
    <row r="2973" ht="21.95" customHeight="1" outlineLevel="3" s="1" customFormat="1">
      <c r="A2973" s="15"/>
      <c r="B2973" s="16">
        <v>620</v>
      </c>
      <c r="C2973" s="16">
        <v>930</v>
      </c>
      <c r="D2973" s="16">
        <v>28484</v>
      </c>
      <c r="E2973" s="18"/>
      <c r="F2973" s="18" t="s">
        <v>1165</v>
      </c>
      <c r="G2973" s="18" t="s">
        <v>9803</v>
      </c>
      <c r="H2973" s="18" t="s">
        <v>49</v>
      </c>
      <c r="I2973" s="18"/>
      <c r="J2973" s="16">
        <v>2023</v>
      </c>
      <c r="K2973" s="18" t="s">
        <v>9804</v>
      </c>
      <c r="L2973" s="16">
        <v>9785961489118</v>
      </c>
      <c r="M2973" s="18" t="s">
        <v>9805</v>
      </c>
      <c r="N2973" s="16">
        <v>320</v>
      </c>
      <c r="O2973" s="19">
        <v>0.33</v>
      </c>
      <c r="P2973" s="16">
        <v>130</v>
      </c>
      <c r="Q2973" s="16">
        <v>200</v>
      </c>
      <c r="R2973" s="16">
        <v>8</v>
      </c>
      <c r="S2973" s="18" t="s">
        <v>90</v>
      </c>
      <c r="T2973" s="18" t="s">
        <v>9777</v>
      </c>
      <c r="U2973" s="17">
        <v>2000</v>
      </c>
      <c r="V2973" s="18" t="s">
        <v>44</v>
      </c>
      <c r="W2973" s="18" t="s">
        <v>69</v>
      </c>
      <c r="X2973" s="16">
        <v>10</v>
      </c>
      <c r="Y2973" s="43" t="str">
        <f>HYPERLINK("","")</f>
      </c>
      <c r="Z2973" s="18"/>
      <c r="AS2973" s="1">
        <f>IF($A2973&lt;&gt;0,1,0)</f>
        <v>0</v>
      </c>
      <c r="AT2973" s="1">
        <f>$A2973*$B2973</f>
        <v>0</v>
      </c>
      <c r="AU2973" s="1">
        <f>$A2973*$O2973</f>
        <v>0</v>
      </c>
      <c r="AV2973" s="1">
        <f>IF($R2973=0,0,INT($A2973/$R2973))</f>
        <v>0</v>
      </c>
      <c r="AW2973" s="1">
        <f>$A2973-$AV2973*$R2973</f>
        <v>0</v>
      </c>
    </row>
    <row r="2974" ht="24.95" customHeight="1" outlineLevel="3" s="1" customFormat="1">
      <c r="A2974" s="15"/>
      <c r="B2974" s="16">
        <v>620</v>
      </c>
      <c r="C2974" s="16">
        <v>930</v>
      </c>
      <c r="D2974" s="16">
        <v>27583</v>
      </c>
      <c r="E2974" s="18"/>
      <c r="F2974" s="18" t="s">
        <v>2207</v>
      </c>
      <c r="G2974" s="18" t="s">
        <v>9806</v>
      </c>
      <c r="H2974" s="18" t="s">
        <v>49</v>
      </c>
      <c r="I2974" s="18"/>
      <c r="J2974" s="16">
        <v>2023</v>
      </c>
      <c r="K2974" s="18" t="s">
        <v>9807</v>
      </c>
      <c r="L2974" s="16">
        <v>9785961485752</v>
      </c>
      <c r="M2974" s="18" t="s">
        <v>9808</v>
      </c>
      <c r="N2974" s="16">
        <v>320</v>
      </c>
      <c r="O2974" s="19">
        <v>0.33</v>
      </c>
      <c r="P2974" s="16">
        <v>130</v>
      </c>
      <c r="Q2974" s="16">
        <v>200</v>
      </c>
      <c r="R2974" s="16">
        <v>8</v>
      </c>
      <c r="S2974" s="18" t="s">
        <v>90</v>
      </c>
      <c r="T2974" s="18" t="s">
        <v>9777</v>
      </c>
      <c r="U2974" s="17">
        <v>3000</v>
      </c>
      <c r="V2974" s="18" t="s">
        <v>44</v>
      </c>
      <c r="W2974" s="18" t="s">
        <v>45</v>
      </c>
      <c r="X2974" s="16">
        <v>10</v>
      </c>
      <c r="Y2974" s="43" t="str">
        <f>HYPERLINK("","")</f>
      </c>
      <c r="Z2974" s="18"/>
      <c r="AS2974" s="1">
        <f>IF($A2974&lt;&gt;0,1,0)</f>
        <v>0</v>
      </c>
      <c r="AT2974" s="1">
        <f>$A2974*$B2974</f>
        <v>0</v>
      </c>
      <c r="AU2974" s="1">
        <f>$A2974*$O2974</f>
        <v>0</v>
      </c>
      <c r="AV2974" s="1">
        <f>IF($R2974=0,0,INT($A2974/$R2974))</f>
        <v>0</v>
      </c>
      <c r="AW2974" s="1">
        <f>$A2974-$AV2974*$R2974</f>
        <v>0</v>
      </c>
    </row>
    <row r="2975" ht="21.95" customHeight="1" outlineLevel="3" s="1" customFormat="1">
      <c r="A2975" s="15"/>
      <c r="B2975" s="16">
        <v>680</v>
      </c>
      <c r="C2975" s="17">
        <v>1020</v>
      </c>
      <c r="D2975" s="16">
        <v>27725</v>
      </c>
      <c r="E2975" s="18"/>
      <c r="F2975" s="18" t="s">
        <v>9809</v>
      </c>
      <c r="G2975" s="18" t="s">
        <v>9810</v>
      </c>
      <c r="H2975" s="18" t="s">
        <v>49</v>
      </c>
      <c r="I2975" s="18" t="s">
        <v>1213</v>
      </c>
      <c r="J2975" s="16">
        <v>2024</v>
      </c>
      <c r="K2975" s="18" t="s">
        <v>9811</v>
      </c>
      <c r="L2975" s="16">
        <v>9785961486117</v>
      </c>
      <c r="M2975" s="18" t="s">
        <v>9812</v>
      </c>
      <c r="N2975" s="16">
        <v>368</v>
      </c>
      <c r="O2975" s="19">
        <v>0.37</v>
      </c>
      <c r="P2975" s="16">
        <v>130</v>
      </c>
      <c r="Q2975" s="16">
        <v>200</v>
      </c>
      <c r="R2975" s="16">
        <v>12</v>
      </c>
      <c r="S2975" s="18" t="s">
        <v>90</v>
      </c>
      <c r="T2975" s="18" t="s">
        <v>9777</v>
      </c>
      <c r="U2975" s="17">
        <v>3000</v>
      </c>
      <c r="V2975" s="18" t="s">
        <v>44</v>
      </c>
      <c r="W2975" s="18" t="s">
        <v>69</v>
      </c>
      <c r="X2975" s="16">
        <v>10</v>
      </c>
      <c r="Y2975" s="43" t="str">
        <f>HYPERLINK("","")</f>
      </c>
      <c r="Z2975" s="18"/>
      <c r="AS2975" s="1">
        <f>IF($A2975&lt;&gt;0,1,0)</f>
        <v>0</v>
      </c>
      <c r="AT2975" s="1">
        <f>$A2975*$B2975</f>
        <v>0</v>
      </c>
      <c r="AU2975" s="1">
        <f>$A2975*$O2975</f>
        <v>0</v>
      </c>
      <c r="AV2975" s="1">
        <f>IF($R2975=0,0,INT($A2975/$R2975))</f>
        <v>0</v>
      </c>
      <c r="AW2975" s="1">
        <f>$A2975-$AV2975*$R2975</f>
        <v>0</v>
      </c>
    </row>
    <row r="2976" ht="24.95" customHeight="1" outlineLevel="3" s="1" customFormat="1">
      <c r="A2976" s="15"/>
      <c r="B2976" s="16">
        <v>790</v>
      </c>
      <c r="C2976" s="17">
        <v>1146</v>
      </c>
      <c r="D2976" s="16">
        <v>2978</v>
      </c>
      <c r="E2976" s="18"/>
      <c r="F2976" s="18" t="s">
        <v>803</v>
      </c>
      <c r="G2976" s="18" t="s">
        <v>804</v>
      </c>
      <c r="H2976" s="18" t="s">
        <v>73</v>
      </c>
      <c r="I2976" s="18" t="s">
        <v>74</v>
      </c>
      <c r="J2976" s="16">
        <v>2023</v>
      </c>
      <c r="K2976" s="18" t="s">
        <v>805</v>
      </c>
      <c r="L2976" s="16">
        <v>9785916718263</v>
      </c>
      <c r="M2976" s="18" t="s">
        <v>806</v>
      </c>
      <c r="N2976" s="16">
        <v>224</v>
      </c>
      <c r="O2976" s="19">
        <v>0.26</v>
      </c>
      <c r="P2976" s="16">
        <v>120</v>
      </c>
      <c r="Q2976" s="16">
        <v>180</v>
      </c>
      <c r="R2976" s="16">
        <v>12</v>
      </c>
      <c r="S2976" s="18" t="s">
        <v>190</v>
      </c>
      <c r="T2976" s="18"/>
      <c r="U2976" s="17">
        <v>2000</v>
      </c>
      <c r="V2976" s="18" t="s">
        <v>44</v>
      </c>
      <c r="W2976" s="18" t="s">
        <v>184</v>
      </c>
      <c r="X2976" s="16">
        <v>10</v>
      </c>
      <c r="Y2976" s="43" t="str">
        <f>HYPERLINK("https://api-enni.alpina.ru/FilePrivilegesApproval/127","https://api-enni.alpina.ru/FilePrivilegesApproval/127")</f>
        <v>https://api-enni.alpina.ru/FilePrivilegesApproval/127</v>
      </c>
      <c r="Z2976" s="18" t="s">
        <v>807</v>
      </c>
      <c r="AS2976" s="1">
        <f>IF($A2976&lt;&gt;0,1,0)</f>
        <v>0</v>
      </c>
      <c r="AT2976" s="1">
        <f>$A2976*$B2976</f>
        <v>0</v>
      </c>
      <c r="AU2976" s="1">
        <f>$A2976*$O2976</f>
        <v>0</v>
      </c>
      <c r="AV2976" s="1">
        <f>IF($R2976=0,0,INT($A2976/$R2976))</f>
        <v>0</v>
      </c>
      <c r="AW2976" s="1">
        <f>$A2976-$AV2976*$R2976</f>
        <v>0</v>
      </c>
    </row>
    <row r="2977" ht="21.95" customHeight="1" outlineLevel="3" s="1" customFormat="1">
      <c r="A2977" s="15"/>
      <c r="B2977" s="17">
        <v>1290</v>
      </c>
      <c r="C2977" s="17">
        <v>1742</v>
      </c>
      <c r="D2977" s="16">
        <v>2885</v>
      </c>
      <c r="E2977" s="18"/>
      <c r="F2977" s="18" t="s">
        <v>803</v>
      </c>
      <c r="G2977" s="18" t="s">
        <v>808</v>
      </c>
      <c r="H2977" s="18" t="s">
        <v>73</v>
      </c>
      <c r="I2977" s="18" t="s">
        <v>74</v>
      </c>
      <c r="J2977" s="16">
        <v>2024</v>
      </c>
      <c r="K2977" s="18" t="s">
        <v>809</v>
      </c>
      <c r="L2977" s="16">
        <v>9785916717891</v>
      </c>
      <c r="M2977" s="18" t="s">
        <v>810</v>
      </c>
      <c r="N2977" s="16">
        <v>224</v>
      </c>
      <c r="O2977" s="19">
        <v>0.34</v>
      </c>
      <c r="P2977" s="16">
        <v>130</v>
      </c>
      <c r="Q2977" s="16">
        <v>190</v>
      </c>
      <c r="R2977" s="16">
        <v>14</v>
      </c>
      <c r="S2977" s="18" t="s">
        <v>190</v>
      </c>
      <c r="T2977" s="18" t="s">
        <v>811</v>
      </c>
      <c r="U2977" s="17">
        <v>1500</v>
      </c>
      <c r="V2977" s="18" t="s">
        <v>54</v>
      </c>
      <c r="W2977" s="18" t="s">
        <v>184</v>
      </c>
      <c r="X2977" s="16">
        <v>10</v>
      </c>
      <c r="Y2977" s="43" t="str">
        <f>HYPERLINK("","")</f>
      </c>
      <c r="Z2977" s="18" t="s">
        <v>98</v>
      </c>
      <c r="AS2977" s="1">
        <f>IF($A2977&lt;&gt;0,1,0)</f>
        <v>0</v>
      </c>
      <c r="AT2977" s="1">
        <f>$A2977*$B2977</f>
        <v>0</v>
      </c>
      <c r="AU2977" s="1">
        <f>$A2977*$O2977</f>
        <v>0</v>
      </c>
      <c r="AV2977" s="1">
        <f>IF($R2977=0,0,INT($A2977/$R2977))</f>
        <v>0</v>
      </c>
      <c r="AW2977" s="1">
        <f>$A2977-$AV2977*$R2977</f>
        <v>0</v>
      </c>
    </row>
    <row r="2978" ht="24.95" customHeight="1" outlineLevel="3" s="1" customFormat="1">
      <c r="A2978" s="15"/>
      <c r="B2978" s="16">
        <v>590</v>
      </c>
      <c r="C2978" s="16">
        <v>885</v>
      </c>
      <c r="D2978" s="16">
        <v>3371</v>
      </c>
      <c r="E2978" s="18"/>
      <c r="F2978" s="18" t="s">
        <v>803</v>
      </c>
      <c r="G2978" s="18" t="s">
        <v>9813</v>
      </c>
      <c r="H2978" s="18" t="s">
        <v>73</v>
      </c>
      <c r="I2978" s="18" t="s">
        <v>74</v>
      </c>
      <c r="J2978" s="16">
        <v>2024</v>
      </c>
      <c r="K2978" s="18" t="s">
        <v>9814</v>
      </c>
      <c r="L2978" s="16">
        <v>9785916715798</v>
      </c>
      <c r="M2978" s="18" t="s">
        <v>9815</v>
      </c>
      <c r="N2978" s="16">
        <v>128</v>
      </c>
      <c r="O2978" s="19">
        <v>0.16</v>
      </c>
      <c r="P2978" s="16">
        <v>120</v>
      </c>
      <c r="Q2978" s="16">
        <v>180</v>
      </c>
      <c r="R2978" s="16">
        <v>20</v>
      </c>
      <c r="S2978" s="18" t="s">
        <v>190</v>
      </c>
      <c r="T2978" s="18" t="s">
        <v>811</v>
      </c>
      <c r="U2978" s="17">
        <v>1000</v>
      </c>
      <c r="V2978" s="18" t="s">
        <v>44</v>
      </c>
      <c r="W2978" s="18" t="s">
        <v>184</v>
      </c>
      <c r="X2978" s="16">
        <v>10</v>
      </c>
      <c r="Y2978" s="43" t="str">
        <f>HYPERLINK("https://api-enni.alpina.ru/FilePrivilegesApproval/5","https://api-enni.alpina.ru/FilePrivilegesApproval/5")</f>
        <v>https://api-enni.alpina.ru/FilePrivilegesApproval/5</v>
      </c>
      <c r="Z2978" s="18"/>
      <c r="AS2978" s="1">
        <f>IF($A2978&lt;&gt;0,1,0)</f>
        <v>0</v>
      </c>
      <c r="AT2978" s="1">
        <f>$A2978*$B2978</f>
        <v>0</v>
      </c>
      <c r="AU2978" s="1">
        <f>$A2978*$O2978</f>
        <v>0</v>
      </c>
      <c r="AV2978" s="1">
        <f>IF($R2978=0,0,INT($A2978/$R2978))</f>
        <v>0</v>
      </c>
      <c r="AW2978" s="1">
        <f>$A2978-$AV2978*$R2978</f>
        <v>0</v>
      </c>
    </row>
    <row r="2979" ht="24.95" customHeight="1" outlineLevel="3" s="1" customFormat="1">
      <c r="A2979" s="15"/>
      <c r="B2979" s="16">
        <v>790</v>
      </c>
      <c r="C2979" s="17">
        <v>1146</v>
      </c>
      <c r="D2979" s="16">
        <v>31634</v>
      </c>
      <c r="E2979" s="18"/>
      <c r="F2979" s="18" t="s">
        <v>9816</v>
      </c>
      <c r="G2979" s="18" t="s">
        <v>9817</v>
      </c>
      <c r="H2979" s="18" t="s">
        <v>49</v>
      </c>
      <c r="I2979" s="18"/>
      <c r="J2979" s="16">
        <v>2025</v>
      </c>
      <c r="K2979" s="18" t="s">
        <v>9818</v>
      </c>
      <c r="L2979" s="16">
        <v>9785961499650</v>
      </c>
      <c r="M2979" s="18" t="s">
        <v>9819</v>
      </c>
      <c r="N2979" s="16">
        <v>336</v>
      </c>
      <c r="O2979" s="19">
        <v>0.62</v>
      </c>
      <c r="P2979" s="16">
        <v>150</v>
      </c>
      <c r="Q2979" s="16">
        <v>220</v>
      </c>
      <c r="R2979" s="16">
        <v>6</v>
      </c>
      <c r="S2979" s="18" t="s">
        <v>43</v>
      </c>
      <c r="T2979" s="18"/>
      <c r="U2979" s="17">
        <v>3000</v>
      </c>
      <c r="V2979" s="18" t="s">
        <v>77</v>
      </c>
      <c r="W2979" s="18" t="s">
        <v>184</v>
      </c>
      <c r="X2979" s="16">
        <v>10</v>
      </c>
      <c r="Y2979" s="18" t="s">
        <v>9820</v>
      </c>
      <c r="Z2979" s="18"/>
      <c r="AS2979" s="1">
        <f>IF($A2979&lt;&gt;0,1,0)</f>
        <v>0</v>
      </c>
      <c r="AT2979" s="1">
        <f>$A2979*$B2979</f>
        <v>0</v>
      </c>
      <c r="AU2979" s="1">
        <f>$A2979*$O2979</f>
        <v>0</v>
      </c>
      <c r="AV2979" s="1">
        <f>IF($R2979=0,0,INT($A2979/$R2979))</f>
        <v>0</v>
      </c>
      <c r="AW2979" s="1">
        <f>$A2979-$AV2979*$R2979</f>
        <v>0</v>
      </c>
    </row>
    <row r="2980" ht="24.95" customHeight="1" outlineLevel="3" s="1" customFormat="1">
      <c r="A2980" s="15"/>
      <c r="B2980" s="16">
        <v>990</v>
      </c>
      <c r="C2980" s="17">
        <v>1386</v>
      </c>
      <c r="D2980" s="16">
        <v>18953</v>
      </c>
      <c r="E2980" s="18"/>
      <c r="F2980" s="18" t="s">
        <v>9821</v>
      </c>
      <c r="G2980" s="18" t="s">
        <v>9822</v>
      </c>
      <c r="H2980" s="18" t="s">
        <v>49</v>
      </c>
      <c r="I2980" s="18"/>
      <c r="J2980" s="16">
        <v>2021</v>
      </c>
      <c r="K2980" s="18" t="s">
        <v>9823</v>
      </c>
      <c r="L2980" s="16">
        <v>9785961438185</v>
      </c>
      <c r="M2980" s="18" t="s">
        <v>9824</v>
      </c>
      <c r="N2980" s="16">
        <v>184</v>
      </c>
      <c r="O2980" s="19">
        <v>0.84</v>
      </c>
      <c r="P2980" s="16">
        <v>207</v>
      </c>
      <c r="Q2980" s="16">
        <v>246</v>
      </c>
      <c r="R2980" s="16">
        <v>6</v>
      </c>
      <c r="S2980" s="18" t="s">
        <v>328</v>
      </c>
      <c r="T2980" s="18"/>
      <c r="U2980" s="17">
        <v>3000</v>
      </c>
      <c r="V2980" s="18" t="s">
        <v>77</v>
      </c>
      <c r="W2980" s="18" t="s">
        <v>184</v>
      </c>
      <c r="X2980" s="16">
        <v>10</v>
      </c>
      <c r="Y2980" s="18" t="s">
        <v>9825</v>
      </c>
      <c r="Z2980" s="18"/>
      <c r="AS2980" s="1">
        <f>IF($A2980&lt;&gt;0,1,0)</f>
        <v>0</v>
      </c>
      <c r="AT2980" s="1">
        <f>$A2980*$B2980</f>
        <v>0</v>
      </c>
      <c r="AU2980" s="1">
        <f>$A2980*$O2980</f>
        <v>0</v>
      </c>
      <c r="AV2980" s="1">
        <f>IF($R2980=0,0,INT($A2980/$R2980))</f>
        <v>0</v>
      </c>
      <c r="AW2980" s="1">
        <f>$A2980-$AV2980*$R2980</f>
        <v>0</v>
      </c>
    </row>
    <row r="2981" ht="24.95" customHeight="1" outlineLevel="3" s="1" customFormat="1">
      <c r="A2981" s="15"/>
      <c r="B2981" s="16">
        <v>590</v>
      </c>
      <c r="C2981" s="16">
        <v>885</v>
      </c>
      <c r="D2981" s="16">
        <v>32406</v>
      </c>
      <c r="E2981" s="18"/>
      <c r="F2981" s="18" t="s">
        <v>9826</v>
      </c>
      <c r="G2981" s="18" t="s">
        <v>9827</v>
      </c>
      <c r="H2981" s="18" t="s">
        <v>49</v>
      </c>
      <c r="I2981" s="18" t="s">
        <v>74</v>
      </c>
      <c r="J2981" s="16">
        <v>2025</v>
      </c>
      <c r="K2981" s="18" t="s">
        <v>9828</v>
      </c>
      <c r="L2981" s="16">
        <v>9785006302150</v>
      </c>
      <c r="M2981" s="18" t="s">
        <v>9829</v>
      </c>
      <c r="N2981" s="16">
        <v>104</v>
      </c>
      <c r="O2981" s="19">
        <v>0.2</v>
      </c>
      <c r="P2981" s="16">
        <v>150</v>
      </c>
      <c r="Q2981" s="16">
        <v>220</v>
      </c>
      <c r="R2981" s="16">
        <v>28</v>
      </c>
      <c r="S2981" s="18" t="s">
        <v>43</v>
      </c>
      <c r="T2981" s="18"/>
      <c r="U2981" s="17">
        <v>3000</v>
      </c>
      <c r="V2981" s="18" t="s">
        <v>77</v>
      </c>
      <c r="W2981" s="18" t="s">
        <v>55</v>
      </c>
      <c r="X2981" s="16">
        <v>10</v>
      </c>
      <c r="Y2981" s="18" t="s">
        <v>9830</v>
      </c>
      <c r="Z2981" s="18"/>
      <c r="AS2981" s="1">
        <f>IF($A2981&lt;&gt;0,1,0)</f>
        <v>0</v>
      </c>
      <c r="AT2981" s="1">
        <f>$A2981*$B2981</f>
        <v>0</v>
      </c>
      <c r="AU2981" s="1">
        <f>$A2981*$O2981</f>
        <v>0</v>
      </c>
      <c r="AV2981" s="1">
        <f>IF($R2981=0,0,INT($A2981/$R2981))</f>
        <v>0</v>
      </c>
      <c r="AW2981" s="1">
        <f>$A2981-$AV2981*$R2981</f>
        <v>0</v>
      </c>
    </row>
    <row r="2982" ht="21.95" customHeight="1" outlineLevel="3" s="1" customFormat="1">
      <c r="A2982" s="15"/>
      <c r="B2982" s="16">
        <v>590</v>
      </c>
      <c r="C2982" s="16">
        <v>885</v>
      </c>
      <c r="D2982" s="16">
        <v>26043</v>
      </c>
      <c r="E2982" s="18"/>
      <c r="F2982" s="18" t="s">
        <v>9831</v>
      </c>
      <c r="G2982" s="18" t="s">
        <v>9832</v>
      </c>
      <c r="H2982" s="18" t="s">
        <v>49</v>
      </c>
      <c r="I2982" s="18" t="s">
        <v>74</v>
      </c>
      <c r="J2982" s="16">
        <v>2022</v>
      </c>
      <c r="K2982" s="18" t="s">
        <v>9833</v>
      </c>
      <c r="L2982" s="16">
        <v>9785961480092</v>
      </c>
      <c r="M2982" s="18" t="s">
        <v>9834</v>
      </c>
      <c r="N2982" s="16">
        <v>352</v>
      </c>
      <c r="O2982" s="19">
        <v>0.36</v>
      </c>
      <c r="P2982" s="16">
        <v>125</v>
      </c>
      <c r="Q2982" s="16">
        <v>200</v>
      </c>
      <c r="R2982" s="16">
        <v>14</v>
      </c>
      <c r="S2982" s="18" t="s">
        <v>90</v>
      </c>
      <c r="T2982" s="18"/>
      <c r="U2982" s="17">
        <v>2000</v>
      </c>
      <c r="V2982" s="18" t="s">
        <v>44</v>
      </c>
      <c r="W2982" s="18" t="s">
        <v>91</v>
      </c>
      <c r="X2982" s="16">
        <v>10</v>
      </c>
      <c r="Y2982" s="43" t="str">
        <f>HYPERLINK("","")</f>
      </c>
      <c r="Z2982" s="18"/>
      <c r="AS2982" s="1">
        <f>IF($A2982&lt;&gt;0,1,0)</f>
        <v>0</v>
      </c>
      <c r="AT2982" s="1">
        <f>$A2982*$B2982</f>
        <v>0</v>
      </c>
      <c r="AU2982" s="1">
        <f>$A2982*$O2982</f>
        <v>0</v>
      </c>
      <c r="AV2982" s="1">
        <f>IF($R2982=0,0,INT($A2982/$R2982))</f>
        <v>0</v>
      </c>
      <c r="AW2982" s="1">
        <f>$A2982-$AV2982*$R2982</f>
        <v>0</v>
      </c>
    </row>
    <row r="2983" ht="24.95" customHeight="1" outlineLevel="3" s="1" customFormat="1">
      <c r="A2983" s="15"/>
      <c r="B2983" s="17">
        <v>1090</v>
      </c>
      <c r="C2983" s="17">
        <v>1472</v>
      </c>
      <c r="D2983" s="16">
        <v>26932</v>
      </c>
      <c r="E2983" s="18"/>
      <c r="F2983" s="18" t="s">
        <v>9835</v>
      </c>
      <c r="G2983" s="18" t="s">
        <v>9836</v>
      </c>
      <c r="H2983" s="18" t="s">
        <v>49</v>
      </c>
      <c r="I2983" s="18"/>
      <c r="J2983" s="16">
        <v>2024</v>
      </c>
      <c r="K2983" s="18" t="s">
        <v>9837</v>
      </c>
      <c r="L2983" s="16">
        <v>9785961483369</v>
      </c>
      <c r="M2983" s="18" t="s">
        <v>9838</v>
      </c>
      <c r="N2983" s="16">
        <v>332</v>
      </c>
      <c r="O2983" s="19">
        <v>0.96</v>
      </c>
      <c r="P2983" s="16">
        <v>220</v>
      </c>
      <c r="Q2983" s="16">
        <v>220</v>
      </c>
      <c r="R2983" s="16">
        <v>5</v>
      </c>
      <c r="S2983" s="18" t="s">
        <v>83</v>
      </c>
      <c r="T2983" s="18"/>
      <c r="U2983" s="17">
        <v>5000</v>
      </c>
      <c r="V2983" s="18" t="s">
        <v>77</v>
      </c>
      <c r="W2983" s="18" t="s">
        <v>184</v>
      </c>
      <c r="X2983" s="16">
        <v>10</v>
      </c>
      <c r="Y2983" s="18" t="s">
        <v>9839</v>
      </c>
      <c r="Z2983" s="18"/>
      <c r="AS2983" s="1">
        <f>IF($A2983&lt;&gt;0,1,0)</f>
        <v>0</v>
      </c>
      <c r="AT2983" s="1">
        <f>$A2983*$B2983</f>
        <v>0</v>
      </c>
      <c r="AU2983" s="1">
        <f>$A2983*$O2983</f>
        <v>0</v>
      </c>
      <c r="AV2983" s="1">
        <f>IF($R2983=0,0,INT($A2983/$R2983))</f>
        <v>0</v>
      </c>
      <c r="AW2983" s="1">
        <f>$A2983-$AV2983*$R2983</f>
        <v>0</v>
      </c>
    </row>
    <row r="2984" ht="24.95" customHeight="1" outlineLevel="3" s="1" customFormat="1">
      <c r="A2984" s="15"/>
      <c r="B2984" s="17">
        <v>1190</v>
      </c>
      <c r="C2984" s="17">
        <v>1607</v>
      </c>
      <c r="D2984" s="16">
        <v>31723</v>
      </c>
      <c r="E2984" s="18"/>
      <c r="F2984" s="18" t="s">
        <v>9835</v>
      </c>
      <c r="G2984" s="18" t="s">
        <v>9836</v>
      </c>
      <c r="H2984" s="18" t="s">
        <v>49</v>
      </c>
      <c r="I2984" s="18"/>
      <c r="J2984" s="16">
        <v>2024</v>
      </c>
      <c r="K2984" s="18" t="s">
        <v>9840</v>
      </c>
      <c r="L2984" s="16">
        <v>9785006300606</v>
      </c>
      <c r="M2984" s="18" t="s">
        <v>9841</v>
      </c>
      <c r="N2984" s="16">
        <v>332</v>
      </c>
      <c r="O2984" s="19">
        <v>0.98</v>
      </c>
      <c r="P2984" s="16">
        <v>220</v>
      </c>
      <c r="Q2984" s="16">
        <v>220</v>
      </c>
      <c r="R2984" s="16">
        <v>5</v>
      </c>
      <c r="S2984" s="18" t="s">
        <v>83</v>
      </c>
      <c r="T2984" s="18"/>
      <c r="U2984" s="17">
        <v>7000</v>
      </c>
      <c r="V2984" s="18" t="s">
        <v>77</v>
      </c>
      <c r="W2984" s="18" t="s">
        <v>184</v>
      </c>
      <c r="X2984" s="16">
        <v>10</v>
      </c>
      <c r="Y2984" s="18" t="s">
        <v>9839</v>
      </c>
      <c r="Z2984" s="18"/>
      <c r="AS2984" s="1">
        <f>IF($A2984&lt;&gt;0,1,0)</f>
        <v>0</v>
      </c>
      <c r="AT2984" s="1">
        <f>$A2984*$B2984</f>
        <v>0</v>
      </c>
      <c r="AU2984" s="1">
        <f>$A2984*$O2984</f>
        <v>0</v>
      </c>
      <c r="AV2984" s="1">
        <f>IF($R2984=0,0,INT($A2984/$R2984))</f>
        <v>0</v>
      </c>
      <c r="AW2984" s="1">
        <f>$A2984-$AV2984*$R2984</f>
        <v>0</v>
      </c>
    </row>
    <row r="2985" ht="24.95" customHeight="1" outlineLevel="3" s="1" customFormat="1">
      <c r="A2985" s="15"/>
      <c r="B2985" s="16">
        <v>450</v>
      </c>
      <c r="C2985" s="16">
        <v>698</v>
      </c>
      <c r="D2985" s="16">
        <v>22672</v>
      </c>
      <c r="E2985" s="18"/>
      <c r="F2985" s="18" t="s">
        <v>9842</v>
      </c>
      <c r="G2985" s="18" t="s">
        <v>9843</v>
      </c>
      <c r="H2985" s="18" t="s">
        <v>49</v>
      </c>
      <c r="I2985" s="18" t="s">
        <v>74</v>
      </c>
      <c r="J2985" s="16">
        <v>2022</v>
      </c>
      <c r="K2985" s="18" t="s">
        <v>9844</v>
      </c>
      <c r="L2985" s="16">
        <v>9785961461138</v>
      </c>
      <c r="M2985" s="18" t="s">
        <v>9845</v>
      </c>
      <c r="N2985" s="16">
        <v>368</v>
      </c>
      <c r="O2985" s="19">
        <v>0.38</v>
      </c>
      <c r="P2985" s="16">
        <v>125</v>
      </c>
      <c r="Q2985" s="16">
        <v>200</v>
      </c>
      <c r="R2985" s="16">
        <v>12</v>
      </c>
      <c r="S2985" s="18" t="s">
        <v>90</v>
      </c>
      <c r="T2985" s="18"/>
      <c r="U2985" s="17">
        <v>5000</v>
      </c>
      <c r="V2985" s="18" t="s">
        <v>44</v>
      </c>
      <c r="W2985" s="18" t="s">
        <v>91</v>
      </c>
      <c r="X2985" s="16">
        <v>10</v>
      </c>
      <c r="Y2985" s="18" t="s">
        <v>9825</v>
      </c>
      <c r="Z2985" s="18"/>
      <c r="AS2985" s="1">
        <f>IF($A2985&lt;&gt;0,1,0)</f>
        <v>0</v>
      </c>
      <c r="AT2985" s="1">
        <f>$A2985*$B2985</f>
        <v>0</v>
      </c>
      <c r="AU2985" s="1">
        <f>$A2985*$O2985</f>
        <v>0</v>
      </c>
      <c r="AV2985" s="1">
        <f>IF($R2985=0,0,INT($A2985/$R2985))</f>
        <v>0</v>
      </c>
      <c r="AW2985" s="1">
        <f>$A2985-$AV2985*$R2985</f>
        <v>0</v>
      </c>
    </row>
    <row r="2986" ht="24.95" customHeight="1" outlineLevel="3" s="1" customFormat="1">
      <c r="A2986" s="15"/>
      <c r="B2986" s="16">
        <v>450</v>
      </c>
      <c r="C2986" s="16">
        <v>698</v>
      </c>
      <c r="D2986" s="16">
        <v>23087</v>
      </c>
      <c r="E2986" s="18"/>
      <c r="F2986" s="18" t="s">
        <v>9846</v>
      </c>
      <c r="G2986" s="18" t="s">
        <v>9847</v>
      </c>
      <c r="H2986" s="18" t="s">
        <v>49</v>
      </c>
      <c r="I2986" s="18" t="s">
        <v>74</v>
      </c>
      <c r="J2986" s="16">
        <v>2022</v>
      </c>
      <c r="K2986" s="18" t="s">
        <v>9848</v>
      </c>
      <c r="L2986" s="16">
        <v>9785961473056</v>
      </c>
      <c r="M2986" s="18" t="s">
        <v>9849</v>
      </c>
      <c r="N2986" s="16">
        <v>368</v>
      </c>
      <c r="O2986" s="19">
        <v>0.39</v>
      </c>
      <c r="P2986" s="16">
        <v>125</v>
      </c>
      <c r="Q2986" s="16">
        <v>200</v>
      </c>
      <c r="R2986" s="16">
        <v>12</v>
      </c>
      <c r="S2986" s="18" t="s">
        <v>90</v>
      </c>
      <c r="T2986" s="18"/>
      <c r="U2986" s="17">
        <v>5000</v>
      </c>
      <c r="V2986" s="18" t="s">
        <v>44</v>
      </c>
      <c r="W2986" s="18" t="s">
        <v>91</v>
      </c>
      <c r="X2986" s="16">
        <v>10</v>
      </c>
      <c r="Y2986" s="18" t="s">
        <v>9850</v>
      </c>
      <c r="Z2986" s="18"/>
      <c r="AS2986" s="1">
        <f>IF($A2986&lt;&gt;0,1,0)</f>
        <v>0</v>
      </c>
      <c r="AT2986" s="1">
        <f>$A2986*$B2986</f>
        <v>0</v>
      </c>
      <c r="AU2986" s="1">
        <f>$A2986*$O2986</f>
        <v>0</v>
      </c>
      <c r="AV2986" s="1">
        <f>IF($R2986=0,0,INT($A2986/$R2986))</f>
        <v>0</v>
      </c>
      <c r="AW2986" s="1">
        <f>$A2986-$AV2986*$R2986</f>
        <v>0</v>
      </c>
    </row>
    <row r="2987" ht="21.95" customHeight="1" outlineLevel="3" s="1" customFormat="1">
      <c r="A2987" s="15"/>
      <c r="B2987" s="16">
        <v>620</v>
      </c>
      <c r="C2987" s="16">
        <v>930</v>
      </c>
      <c r="D2987" s="16">
        <v>29514</v>
      </c>
      <c r="E2987" s="18"/>
      <c r="F2987" s="18" t="s">
        <v>9846</v>
      </c>
      <c r="G2987" s="18" t="s">
        <v>9851</v>
      </c>
      <c r="H2987" s="18" t="s">
        <v>49</v>
      </c>
      <c r="I2987" s="18" t="s">
        <v>74</v>
      </c>
      <c r="J2987" s="16">
        <v>2023</v>
      </c>
      <c r="K2987" s="18" t="s">
        <v>9852</v>
      </c>
      <c r="L2987" s="16">
        <v>9785961493429</v>
      </c>
      <c r="M2987" s="18" t="s">
        <v>9853</v>
      </c>
      <c r="N2987" s="16">
        <v>368</v>
      </c>
      <c r="O2987" s="19">
        <v>0.37</v>
      </c>
      <c r="P2987" s="16">
        <v>130</v>
      </c>
      <c r="Q2987" s="16">
        <v>200</v>
      </c>
      <c r="R2987" s="16">
        <v>10</v>
      </c>
      <c r="S2987" s="18" t="s">
        <v>90</v>
      </c>
      <c r="T2987" s="18" t="s">
        <v>9777</v>
      </c>
      <c r="U2987" s="17">
        <v>2000</v>
      </c>
      <c r="V2987" s="18" t="s">
        <v>44</v>
      </c>
      <c r="W2987" s="18" t="s">
        <v>184</v>
      </c>
      <c r="X2987" s="16">
        <v>10</v>
      </c>
      <c r="Y2987" s="43" t="str">
        <f>HYPERLINK("","")</f>
      </c>
      <c r="Z2987" s="18"/>
      <c r="AS2987" s="1">
        <f>IF($A2987&lt;&gt;0,1,0)</f>
        <v>0</v>
      </c>
      <c r="AT2987" s="1">
        <f>$A2987*$B2987</f>
        <v>0</v>
      </c>
      <c r="AU2987" s="1">
        <f>$A2987*$O2987</f>
        <v>0</v>
      </c>
      <c r="AV2987" s="1">
        <f>IF($R2987=0,0,INT($A2987/$R2987))</f>
        <v>0</v>
      </c>
      <c r="AW2987" s="1">
        <f>$A2987-$AV2987*$R2987</f>
        <v>0</v>
      </c>
    </row>
    <row r="2988" ht="11.1" customHeight="1" outlineLevel="2">
      <c r="A2988" s="41" t="s">
        <v>9854</v>
      </c>
      <c r="B2988" s="41"/>
      <c r="C2988" s="41"/>
      <c r="D2988" s="41"/>
      <c r="E2988" s="41"/>
      <c r="F2988" s="41"/>
      <c r="G2988" s="41"/>
      <c r="H2988" s="41"/>
      <c r="I2988" s="41"/>
      <c r="J2988" s="41"/>
      <c r="K2988" s="41"/>
      <c r="L2988" s="41"/>
      <c r="M2988" s="41"/>
      <c r="N2988" s="41"/>
      <c r="O2988" s="41"/>
      <c r="P2988" s="41"/>
      <c r="Q2988" s="41"/>
      <c r="R2988" s="41"/>
      <c r="S2988" s="41"/>
      <c r="T2988" s="41"/>
      <c r="U2988" s="41"/>
      <c r="V2988" s="41"/>
      <c r="W2988" s="41"/>
      <c r="X2988" s="41"/>
      <c r="Y2988" s="41"/>
      <c r="Z2988" s="24"/>
    </row>
    <row r="2989" ht="21.95" customHeight="1" outlineLevel="3" s="1" customFormat="1">
      <c r="A2989" s="15"/>
      <c r="B2989" s="16">
        <v>490</v>
      </c>
      <c r="C2989" s="16">
        <v>760</v>
      </c>
      <c r="D2989" s="16">
        <v>12661</v>
      </c>
      <c r="E2989" s="18"/>
      <c r="F2989" s="18" t="s">
        <v>9855</v>
      </c>
      <c r="G2989" s="18" t="s">
        <v>9856</v>
      </c>
      <c r="H2989" s="18" t="s">
        <v>49</v>
      </c>
      <c r="I2989" s="18" t="s">
        <v>74</v>
      </c>
      <c r="J2989" s="16">
        <v>2026</v>
      </c>
      <c r="K2989" s="18" t="s">
        <v>9857</v>
      </c>
      <c r="L2989" s="16">
        <v>9785961426540</v>
      </c>
      <c r="M2989" s="18" t="s">
        <v>9858</v>
      </c>
      <c r="N2989" s="16">
        <v>333</v>
      </c>
      <c r="O2989" s="19">
        <v>0.22</v>
      </c>
      <c r="P2989" s="16">
        <v>115</v>
      </c>
      <c r="Q2989" s="16">
        <v>165</v>
      </c>
      <c r="R2989" s="16">
        <v>14</v>
      </c>
      <c r="S2989" s="18" t="s">
        <v>190</v>
      </c>
      <c r="T2989" s="18" t="s">
        <v>9859</v>
      </c>
      <c r="U2989" s="17">
        <v>2000</v>
      </c>
      <c r="V2989" s="18" t="s">
        <v>44</v>
      </c>
      <c r="W2989" s="18" t="s">
        <v>91</v>
      </c>
      <c r="X2989" s="16">
        <v>10</v>
      </c>
      <c r="Y2989" s="43" t="str">
        <f>HYPERLINK("","")</f>
      </c>
      <c r="Z2989" s="18" t="s">
        <v>2419</v>
      </c>
      <c r="AS2989" s="1">
        <f>IF($A2989&lt;&gt;0,1,0)</f>
        <v>0</v>
      </c>
      <c r="AT2989" s="1">
        <f>$A2989*$B2989</f>
        <v>0</v>
      </c>
      <c r="AU2989" s="1">
        <f>$A2989*$O2989</f>
        <v>0</v>
      </c>
      <c r="AV2989" s="1">
        <f>IF($R2989=0,0,INT($A2989/$R2989))</f>
        <v>0</v>
      </c>
      <c r="AW2989" s="1">
        <f>$A2989-$AV2989*$R2989</f>
        <v>0</v>
      </c>
    </row>
    <row r="2990" ht="21.95" customHeight="1" outlineLevel="3" s="1" customFormat="1">
      <c r="A2990" s="15"/>
      <c r="B2990" s="16">
        <v>390</v>
      </c>
      <c r="C2990" s="16">
        <v>624</v>
      </c>
      <c r="D2990" s="16">
        <v>13921</v>
      </c>
      <c r="E2990" s="18"/>
      <c r="F2990" s="18" t="s">
        <v>9860</v>
      </c>
      <c r="G2990" s="18" t="s">
        <v>9861</v>
      </c>
      <c r="H2990" s="18" t="s">
        <v>49</v>
      </c>
      <c r="I2990" s="18"/>
      <c r="J2990" s="16">
        <v>2019</v>
      </c>
      <c r="K2990" s="18" t="s">
        <v>9862</v>
      </c>
      <c r="L2990" s="16">
        <v>9785961428223</v>
      </c>
      <c r="M2990" s="18" t="s">
        <v>9863</v>
      </c>
      <c r="N2990" s="16">
        <v>190</v>
      </c>
      <c r="O2990" s="19">
        <v>0.13</v>
      </c>
      <c r="P2990" s="16">
        <v>115</v>
      </c>
      <c r="Q2990" s="16">
        <v>165</v>
      </c>
      <c r="R2990" s="16">
        <v>16</v>
      </c>
      <c r="S2990" s="18" t="s">
        <v>190</v>
      </c>
      <c r="T2990" s="18" t="s">
        <v>9859</v>
      </c>
      <c r="U2990" s="17">
        <v>3000</v>
      </c>
      <c r="V2990" s="18" t="s">
        <v>44</v>
      </c>
      <c r="W2990" s="18" t="s">
        <v>184</v>
      </c>
      <c r="X2990" s="16">
        <v>10</v>
      </c>
      <c r="Y2990" s="43" t="str">
        <f>HYPERLINK("","")</f>
      </c>
      <c r="Z2990" s="18"/>
      <c r="AS2990" s="1">
        <f>IF($A2990&lt;&gt;0,1,0)</f>
        <v>0</v>
      </c>
      <c r="AT2990" s="1">
        <f>$A2990*$B2990</f>
        <v>0</v>
      </c>
      <c r="AU2990" s="1">
        <f>$A2990*$O2990</f>
        <v>0</v>
      </c>
      <c r="AV2990" s="1">
        <f>IF($R2990=0,0,INT($A2990/$R2990))</f>
        <v>0</v>
      </c>
      <c r="AW2990" s="1">
        <f>$A2990-$AV2990*$R2990</f>
        <v>0</v>
      </c>
    </row>
    <row r="2991" ht="24.95" customHeight="1" outlineLevel="3" s="1" customFormat="1">
      <c r="A2991" s="15"/>
      <c r="B2991" s="16">
        <v>490</v>
      </c>
      <c r="C2991" s="16">
        <v>760</v>
      </c>
      <c r="D2991" s="16">
        <v>36332</v>
      </c>
      <c r="E2991" s="18"/>
      <c r="F2991" s="18" t="s">
        <v>9864</v>
      </c>
      <c r="G2991" s="18" t="s">
        <v>9865</v>
      </c>
      <c r="H2991" s="18" t="s">
        <v>49</v>
      </c>
      <c r="I2991" s="18" t="s">
        <v>74</v>
      </c>
      <c r="J2991" s="16">
        <v>2026</v>
      </c>
      <c r="K2991" s="18" t="s">
        <v>9866</v>
      </c>
      <c r="L2991" s="16">
        <v>9785006316751</v>
      </c>
      <c r="M2991" s="18" t="s">
        <v>9867</v>
      </c>
      <c r="N2991" s="16">
        <v>432</v>
      </c>
      <c r="O2991" s="19">
        <v>0.23</v>
      </c>
      <c r="P2991" s="16">
        <v>120</v>
      </c>
      <c r="Q2991" s="16">
        <v>170</v>
      </c>
      <c r="R2991" s="16">
        <v>28</v>
      </c>
      <c r="S2991" s="18" t="s">
        <v>190</v>
      </c>
      <c r="T2991" s="18" t="s">
        <v>9859</v>
      </c>
      <c r="U2991" s="17">
        <v>1000</v>
      </c>
      <c r="V2991" s="18" t="s">
        <v>44</v>
      </c>
      <c r="W2991" s="18" t="s">
        <v>184</v>
      </c>
      <c r="X2991" s="16">
        <v>10</v>
      </c>
      <c r="Y2991" s="43" t="str">
        <f>HYPERLINK("","")</f>
      </c>
      <c r="Z2991" s="18" t="s">
        <v>744</v>
      </c>
      <c r="AS2991" s="1">
        <f>IF($A2991&lt;&gt;0,1,0)</f>
        <v>0</v>
      </c>
      <c r="AT2991" s="1">
        <f>$A2991*$B2991</f>
        <v>0</v>
      </c>
      <c r="AU2991" s="1">
        <f>$A2991*$O2991</f>
        <v>0</v>
      </c>
      <c r="AV2991" s="1">
        <f>IF($R2991=0,0,INT($A2991/$R2991))</f>
        <v>0</v>
      </c>
      <c r="AW2991" s="1">
        <f>$A2991-$AV2991*$R2991</f>
        <v>0</v>
      </c>
    </row>
    <row r="2992" ht="21.95" customHeight="1" outlineLevel="3" s="1" customFormat="1">
      <c r="A2992" s="15"/>
      <c r="B2992" s="16">
        <v>340</v>
      </c>
      <c r="C2992" s="16">
        <v>544</v>
      </c>
      <c r="D2992" s="16">
        <v>27457</v>
      </c>
      <c r="E2992" s="18"/>
      <c r="F2992" s="18" t="s">
        <v>9868</v>
      </c>
      <c r="G2992" s="18" t="s">
        <v>9869</v>
      </c>
      <c r="H2992" s="18" t="s">
        <v>49</v>
      </c>
      <c r="I2992" s="18"/>
      <c r="J2992" s="16">
        <v>2026</v>
      </c>
      <c r="K2992" s="18" t="s">
        <v>9870</v>
      </c>
      <c r="L2992" s="16">
        <v>9785961485226</v>
      </c>
      <c r="M2992" s="18" t="s">
        <v>9871</v>
      </c>
      <c r="N2992" s="16">
        <v>237</v>
      </c>
      <c r="O2992" s="19">
        <v>0.44</v>
      </c>
      <c r="P2992" s="16">
        <v>120</v>
      </c>
      <c r="Q2992" s="16">
        <v>170</v>
      </c>
      <c r="R2992" s="16">
        <v>16</v>
      </c>
      <c r="S2992" s="18" t="s">
        <v>190</v>
      </c>
      <c r="T2992" s="18" t="s">
        <v>9859</v>
      </c>
      <c r="U2992" s="17">
        <v>3000</v>
      </c>
      <c r="V2992" s="18" t="s">
        <v>44</v>
      </c>
      <c r="W2992" s="18" t="s">
        <v>184</v>
      </c>
      <c r="X2992" s="16">
        <v>10</v>
      </c>
      <c r="Y2992" s="43" t="str">
        <f>HYPERLINK("","")</f>
      </c>
      <c r="Z2992" s="18"/>
      <c r="AS2992" s="1">
        <f>IF($A2992&lt;&gt;0,1,0)</f>
        <v>0</v>
      </c>
      <c r="AT2992" s="1">
        <f>$A2992*$B2992</f>
        <v>0</v>
      </c>
      <c r="AU2992" s="1">
        <f>$A2992*$O2992</f>
        <v>0</v>
      </c>
      <c r="AV2992" s="1">
        <f>IF($R2992=0,0,INT($A2992/$R2992))</f>
        <v>0</v>
      </c>
      <c r="AW2992" s="1">
        <f>$A2992-$AV2992*$R2992</f>
        <v>0</v>
      </c>
    </row>
    <row r="2993" ht="21.95" customHeight="1" outlineLevel="3" s="1" customFormat="1">
      <c r="A2993" s="15"/>
      <c r="B2993" s="16">
        <v>440</v>
      </c>
      <c r="C2993" s="16">
        <v>682</v>
      </c>
      <c r="D2993" s="16">
        <v>12817</v>
      </c>
      <c r="E2993" s="18"/>
      <c r="F2993" s="18" t="s">
        <v>9872</v>
      </c>
      <c r="G2993" s="18" t="s">
        <v>9873</v>
      </c>
      <c r="H2993" s="18" t="s">
        <v>49</v>
      </c>
      <c r="I2993" s="18" t="s">
        <v>74</v>
      </c>
      <c r="J2993" s="16">
        <v>2025</v>
      </c>
      <c r="K2993" s="18" t="s">
        <v>9874</v>
      </c>
      <c r="L2993" s="16">
        <v>9785961427448</v>
      </c>
      <c r="M2993" s="18" t="s">
        <v>9875</v>
      </c>
      <c r="N2993" s="16">
        <v>482</v>
      </c>
      <c r="O2993" s="19">
        <v>0.32</v>
      </c>
      <c r="P2993" s="16">
        <v>115</v>
      </c>
      <c r="Q2993" s="16">
        <v>165</v>
      </c>
      <c r="R2993" s="16">
        <v>6</v>
      </c>
      <c r="S2993" s="18" t="s">
        <v>190</v>
      </c>
      <c r="T2993" s="18" t="s">
        <v>9859</v>
      </c>
      <c r="U2993" s="17">
        <v>2000</v>
      </c>
      <c r="V2993" s="18" t="s">
        <v>44</v>
      </c>
      <c r="W2993" s="18" t="s">
        <v>184</v>
      </c>
      <c r="X2993" s="16">
        <v>10</v>
      </c>
      <c r="Y2993" s="43" t="str">
        <f>HYPERLINK("","")</f>
      </c>
      <c r="Z2993" s="18"/>
      <c r="AS2993" s="1">
        <f>IF($A2993&lt;&gt;0,1,0)</f>
        <v>0</v>
      </c>
      <c r="AT2993" s="1">
        <f>$A2993*$B2993</f>
        <v>0</v>
      </c>
      <c r="AU2993" s="1">
        <f>$A2993*$O2993</f>
        <v>0</v>
      </c>
      <c r="AV2993" s="1">
        <f>IF($R2993=0,0,INT($A2993/$R2993))</f>
        <v>0</v>
      </c>
      <c r="AW2993" s="1">
        <f>$A2993-$AV2993*$R2993</f>
        <v>0</v>
      </c>
    </row>
    <row r="2994" ht="11.1" customHeight="1" outlineLevel="2">
      <c r="A2994" s="41" t="s">
        <v>9876</v>
      </c>
      <c r="B2994" s="41"/>
      <c r="C2994" s="41"/>
      <c r="D2994" s="41"/>
      <c r="E2994" s="41"/>
      <c r="F2994" s="41"/>
      <c r="G2994" s="41"/>
      <c r="H2994" s="41"/>
      <c r="I2994" s="41"/>
      <c r="J2994" s="41"/>
      <c r="K2994" s="41"/>
      <c r="L2994" s="41"/>
      <c r="M2994" s="41"/>
      <c r="N2994" s="41"/>
      <c r="O2994" s="41"/>
      <c r="P2994" s="41"/>
      <c r="Q2994" s="41"/>
      <c r="R2994" s="41"/>
      <c r="S2994" s="41"/>
      <c r="T2994" s="41"/>
      <c r="U2994" s="41"/>
      <c r="V2994" s="41"/>
      <c r="W2994" s="41"/>
      <c r="X2994" s="41"/>
      <c r="Y2994" s="41"/>
      <c r="Z2994" s="24"/>
    </row>
    <row r="2995" ht="24.95" customHeight="1" outlineLevel="3" s="1" customFormat="1">
      <c r="A2995" s="15"/>
      <c r="B2995" s="16">
        <v>790</v>
      </c>
      <c r="C2995" s="17">
        <v>1146</v>
      </c>
      <c r="D2995" s="16">
        <v>34928</v>
      </c>
      <c r="E2995" s="18"/>
      <c r="F2995" s="18" t="s">
        <v>3339</v>
      </c>
      <c r="G2995" s="18" t="s">
        <v>9877</v>
      </c>
      <c r="H2995" s="18" t="s">
        <v>95</v>
      </c>
      <c r="I2995" s="18" t="s">
        <v>74</v>
      </c>
      <c r="J2995" s="16">
        <v>2026</v>
      </c>
      <c r="K2995" s="18" t="s">
        <v>9878</v>
      </c>
      <c r="L2995" s="16">
        <v>9785206005264</v>
      </c>
      <c r="M2995" s="18" t="s">
        <v>9879</v>
      </c>
      <c r="N2995" s="16">
        <v>240</v>
      </c>
      <c r="O2995" s="19">
        <v>0.38</v>
      </c>
      <c r="P2995" s="16">
        <v>150</v>
      </c>
      <c r="Q2995" s="16">
        <v>220</v>
      </c>
      <c r="R2995" s="16">
        <v>10</v>
      </c>
      <c r="S2995" s="18" t="s">
        <v>43</v>
      </c>
      <c r="T2995" s="18"/>
      <c r="U2995" s="17">
        <v>1000</v>
      </c>
      <c r="V2995" s="18" t="s">
        <v>77</v>
      </c>
      <c r="W2995" s="18" t="s">
        <v>69</v>
      </c>
      <c r="X2995" s="16">
        <v>10</v>
      </c>
      <c r="Y2995" s="43" t="str">
        <f>HYPERLINK("https://api-enni.alpina.ru/FilePrivilegesApproval/1077","https://api-enni.alpina.ru/FilePrivilegesApproval/1077")</f>
        <v>https://api-enni.alpina.ru/FilePrivilegesApproval/1077</v>
      </c>
      <c r="Z2995" s="18"/>
      <c r="AS2995" s="1">
        <f>IF($A2995&lt;&gt;0,1,0)</f>
        <v>0</v>
      </c>
      <c r="AT2995" s="1">
        <f>$A2995*$B2995</f>
        <v>0</v>
      </c>
      <c r="AU2995" s="1">
        <f>$A2995*$O2995</f>
        <v>0</v>
      </c>
      <c r="AV2995" s="1">
        <f>IF($R2995=0,0,INT($A2995/$R2995))</f>
        <v>0</v>
      </c>
      <c r="AW2995" s="1">
        <f>$A2995-$AV2995*$R2995</f>
        <v>0</v>
      </c>
    </row>
    <row r="2996" ht="24.95" customHeight="1" outlineLevel="3" s="1" customFormat="1">
      <c r="A2996" s="15"/>
      <c r="B2996" s="16">
        <v>590</v>
      </c>
      <c r="C2996" s="16">
        <v>885</v>
      </c>
      <c r="D2996" s="16">
        <v>23954</v>
      </c>
      <c r="E2996" s="18"/>
      <c r="F2996" s="18" t="s">
        <v>47</v>
      </c>
      <c r="G2996" s="18" t="s">
        <v>9880</v>
      </c>
      <c r="H2996" s="18" t="s">
        <v>49</v>
      </c>
      <c r="I2996" s="18"/>
      <c r="J2996" s="16">
        <v>2022</v>
      </c>
      <c r="K2996" s="18" t="s">
        <v>9881</v>
      </c>
      <c r="L2996" s="16">
        <v>9785961479102</v>
      </c>
      <c r="M2996" s="18" t="s">
        <v>9882</v>
      </c>
      <c r="N2996" s="16">
        <v>318</v>
      </c>
      <c r="O2996" s="19">
        <v>0.4</v>
      </c>
      <c r="P2996" s="16">
        <v>141</v>
      </c>
      <c r="Q2996" s="16">
        <v>210</v>
      </c>
      <c r="R2996" s="16">
        <v>14</v>
      </c>
      <c r="S2996" s="18" t="s">
        <v>43</v>
      </c>
      <c r="T2996" s="18"/>
      <c r="U2996" s="17">
        <v>3000</v>
      </c>
      <c r="V2996" s="18" t="s">
        <v>44</v>
      </c>
      <c r="W2996" s="18" t="s">
        <v>184</v>
      </c>
      <c r="X2996" s="16">
        <v>10</v>
      </c>
      <c r="Y2996" s="18" t="s">
        <v>9883</v>
      </c>
      <c r="Z2996" s="18"/>
      <c r="AS2996" s="1">
        <f>IF($A2996&lt;&gt;0,1,0)</f>
        <v>0</v>
      </c>
      <c r="AT2996" s="1">
        <f>$A2996*$B2996</f>
        <v>0</v>
      </c>
      <c r="AU2996" s="1">
        <f>$A2996*$O2996</f>
        <v>0</v>
      </c>
      <c r="AV2996" s="1">
        <f>IF($R2996=0,0,INT($A2996/$R2996))</f>
        <v>0</v>
      </c>
      <c r="AW2996" s="1">
        <f>$A2996-$AV2996*$R2996</f>
        <v>0</v>
      </c>
    </row>
    <row r="2997" ht="24.95" customHeight="1" outlineLevel="3" s="1" customFormat="1">
      <c r="A2997" s="25"/>
      <c r="B2997" s="26">
        <v>490</v>
      </c>
      <c r="C2997" s="26">
        <v>760</v>
      </c>
      <c r="D2997" s="26">
        <v>8284</v>
      </c>
      <c r="E2997" s="27"/>
      <c r="F2997" s="27" t="s">
        <v>9884</v>
      </c>
      <c r="G2997" s="27" t="s">
        <v>9885</v>
      </c>
      <c r="H2997" s="27" t="s">
        <v>49</v>
      </c>
      <c r="I2997" s="27"/>
      <c r="J2997" s="26">
        <v>2019</v>
      </c>
      <c r="K2997" s="27" t="s">
        <v>9886</v>
      </c>
      <c r="L2997" s="26">
        <v>9785961470178</v>
      </c>
      <c r="M2997" s="27" t="s">
        <v>9887</v>
      </c>
      <c r="N2997" s="26">
        <v>314</v>
      </c>
      <c r="O2997" s="28">
        <v>0.32</v>
      </c>
      <c r="P2997" s="26">
        <v>145</v>
      </c>
      <c r="Q2997" s="26">
        <v>216</v>
      </c>
      <c r="R2997" s="26">
        <v>12</v>
      </c>
      <c r="S2997" s="27" t="s">
        <v>43</v>
      </c>
      <c r="T2997" s="27"/>
      <c r="U2997" s="29">
        <v>2000</v>
      </c>
      <c r="V2997" s="27" t="s">
        <v>77</v>
      </c>
      <c r="W2997" s="27" t="s">
        <v>91</v>
      </c>
      <c r="X2997" s="26">
        <v>10</v>
      </c>
      <c r="Y2997" s="27" t="s">
        <v>9888</v>
      </c>
      <c r="Z2997" s="27"/>
      <c r="AS2997" s="1">
        <f>IF($A2997&lt;&gt;0,1,0)</f>
        <v>0</v>
      </c>
      <c r="AT2997" s="1">
        <f>$A2997*$B2997</f>
        <v>0</v>
      </c>
      <c r="AU2997" s="1">
        <f>$A2997*$O2997</f>
        <v>0</v>
      </c>
      <c r="AV2997" s="1">
        <f>IF($R2997=0,0,INT($A2997/$R2997))</f>
        <v>0</v>
      </c>
      <c r="AW2997" s="1">
        <f>$A2997-$AV2997*$R2997</f>
        <v>0</v>
      </c>
    </row>
    <row r="2998" ht="24.95" customHeight="1" outlineLevel="3" s="1" customFormat="1">
      <c r="A2998" s="15"/>
      <c r="B2998" s="16">
        <v>590</v>
      </c>
      <c r="C2998" s="16">
        <v>885</v>
      </c>
      <c r="D2998" s="16">
        <v>7963</v>
      </c>
      <c r="E2998" s="18"/>
      <c r="F2998" s="18" t="s">
        <v>9889</v>
      </c>
      <c r="G2998" s="18" t="s">
        <v>9890</v>
      </c>
      <c r="H2998" s="18" t="s">
        <v>49</v>
      </c>
      <c r="I2998" s="18" t="s">
        <v>74</v>
      </c>
      <c r="J2998" s="16">
        <v>2024</v>
      </c>
      <c r="K2998" s="18" t="s">
        <v>9891</v>
      </c>
      <c r="L2998" s="16">
        <v>9785961465174</v>
      </c>
      <c r="M2998" s="18" t="s">
        <v>9892</v>
      </c>
      <c r="N2998" s="16">
        <v>332</v>
      </c>
      <c r="O2998" s="19">
        <v>0.42</v>
      </c>
      <c r="P2998" s="16">
        <v>148</v>
      </c>
      <c r="Q2998" s="16">
        <v>210</v>
      </c>
      <c r="R2998" s="16">
        <v>14</v>
      </c>
      <c r="S2998" s="18" t="s">
        <v>43</v>
      </c>
      <c r="T2998" s="18"/>
      <c r="U2998" s="17">
        <v>3000</v>
      </c>
      <c r="V2998" s="18" t="s">
        <v>44</v>
      </c>
      <c r="W2998" s="18" t="s">
        <v>184</v>
      </c>
      <c r="X2998" s="16">
        <v>10</v>
      </c>
      <c r="Y2998" s="43" t="str">
        <f>HYPERLINK("","")</f>
      </c>
      <c r="Z2998" s="18"/>
      <c r="AS2998" s="1">
        <f>IF($A2998&lt;&gt;0,1,0)</f>
        <v>0</v>
      </c>
      <c r="AT2998" s="1">
        <f>$A2998*$B2998</f>
        <v>0</v>
      </c>
      <c r="AU2998" s="1">
        <f>$A2998*$O2998</f>
        <v>0</v>
      </c>
      <c r="AV2998" s="1">
        <f>IF($R2998=0,0,INT($A2998/$R2998))</f>
        <v>0</v>
      </c>
      <c r="AW2998" s="1">
        <f>$A2998-$AV2998*$R2998</f>
        <v>0</v>
      </c>
    </row>
    <row r="2999" ht="24.95" customHeight="1" outlineLevel="3" s="1" customFormat="1">
      <c r="A2999" s="15"/>
      <c r="B2999" s="16">
        <v>590</v>
      </c>
      <c r="C2999" s="16">
        <v>885</v>
      </c>
      <c r="D2999" s="16">
        <v>35687</v>
      </c>
      <c r="E2999" s="18"/>
      <c r="F2999" s="18" t="s">
        <v>238</v>
      </c>
      <c r="G2999" s="18" t="s">
        <v>239</v>
      </c>
      <c r="H2999" s="18" t="s">
        <v>86</v>
      </c>
      <c r="I2999" s="18"/>
      <c r="J2999" s="16">
        <v>2026</v>
      </c>
      <c r="K2999" s="18" t="s">
        <v>240</v>
      </c>
      <c r="L2999" s="16">
        <v>9785006312708</v>
      </c>
      <c r="M2999" s="18" t="s">
        <v>241</v>
      </c>
      <c r="N2999" s="16">
        <v>175</v>
      </c>
      <c r="O2999" s="19">
        <v>0.27</v>
      </c>
      <c r="P2999" s="16">
        <v>150</v>
      </c>
      <c r="Q2999" s="16">
        <v>220</v>
      </c>
      <c r="R2999" s="16">
        <v>18</v>
      </c>
      <c r="S2999" s="18" t="s">
        <v>43</v>
      </c>
      <c r="T2999" s="18"/>
      <c r="U2999" s="17">
        <v>2000</v>
      </c>
      <c r="V2999" s="18" t="s">
        <v>77</v>
      </c>
      <c r="W2999" s="18" t="s">
        <v>69</v>
      </c>
      <c r="X2999" s="16">
        <v>10</v>
      </c>
      <c r="Y2999" s="43" t="str">
        <f>HYPERLINK("https://api-enni.alpina.ru/FilePrivilegesApproval/1141","https://api-enni.alpina.ru/FilePrivilegesApproval/1141")</f>
        <v>https://api-enni.alpina.ru/FilePrivilegesApproval/1141</v>
      </c>
      <c r="Z2999" s="18" t="s">
        <v>103</v>
      </c>
      <c r="AS2999" s="1">
        <f>IF($A2999&lt;&gt;0,1,0)</f>
        <v>0</v>
      </c>
      <c r="AT2999" s="1">
        <f>$A2999*$B2999</f>
        <v>0</v>
      </c>
      <c r="AU2999" s="1">
        <f>$A2999*$O2999</f>
        <v>0</v>
      </c>
      <c r="AV2999" s="1">
        <f>IF($R2999=0,0,INT($A2999/$R2999))</f>
        <v>0</v>
      </c>
      <c r="AW2999" s="1">
        <f>$A2999-$AV2999*$R2999</f>
        <v>0</v>
      </c>
    </row>
    <row r="3000" ht="24.95" customHeight="1" outlineLevel="3" s="1" customFormat="1">
      <c r="A3000" s="15"/>
      <c r="B3000" s="16">
        <v>590</v>
      </c>
      <c r="C3000" s="16">
        <v>885</v>
      </c>
      <c r="D3000" s="16">
        <v>28611</v>
      </c>
      <c r="E3000" s="18"/>
      <c r="F3000" s="18" t="s">
        <v>9893</v>
      </c>
      <c r="G3000" s="18" t="s">
        <v>9894</v>
      </c>
      <c r="H3000" s="18" t="s">
        <v>95</v>
      </c>
      <c r="I3000" s="18"/>
      <c r="J3000" s="16">
        <v>2023</v>
      </c>
      <c r="K3000" s="18" t="s">
        <v>9895</v>
      </c>
      <c r="L3000" s="16">
        <v>9785206002195</v>
      </c>
      <c r="M3000" s="18" t="s">
        <v>9896</v>
      </c>
      <c r="N3000" s="16">
        <v>96</v>
      </c>
      <c r="O3000" s="19">
        <v>0.39</v>
      </c>
      <c r="P3000" s="16">
        <v>200</v>
      </c>
      <c r="Q3000" s="16">
        <v>240</v>
      </c>
      <c r="R3000" s="16">
        <v>12</v>
      </c>
      <c r="S3000" s="18" t="s">
        <v>328</v>
      </c>
      <c r="T3000" s="18"/>
      <c r="U3000" s="17">
        <v>1505</v>
      </c>
      <c r="V3000" s="18" t="s">
        <v>77</v>
      </c>
      <c r="W3000" s="18" t="s">
        <v>91</v>
      </c>
      <c r="X3000" s="16">
        <v>10</v>
      </c>
      <c r="Y3000" s="43" t="str">
        <f>HYPERLINK("https://api-enni.alpina.ru/FilePrivilegesApproval/286","https://api-enni.alpina.ru/FilePrivilegesApproval/286")</f>
        <v>https://api-enni.alpina.ru/FilePrivilegesApproval/286</v>
      </c>
      <c r="Z3000" s="18"/>
      <c r="AS3000" s="1">
        <f>IF($A3000&lt;&gt;0,1,0)</f>
        <v>0</v>
      </c>
      <c r="AT3000" s="1">
        <f>$A3000*$B3000</f>
        <v>0</v>
      </c>
      <c r="AU3000" s="1">
        <f>$A3000*$O3000</f>
        <v>0</v>
      </c>
      <c r="AV3000" s="1">
        <f>IF($R3000=0,0,INT($A3000/$R3000))</f>
        <v>0</v>
      </c>
      <c r="AW3000" s="1">
        <f>$A3000-$AV3000*$R3000</f>
        <v>0</v>
      </c>
    </row>
    <row r="3001" ht="24.95" customHeight="1" outlineLevel="3" s="1" customFormat="1">
      <c r="A3001" s="15"/>
      <c r="B3001" s="16">
        <v>950</v>
      </c>
      <c r="C3001" s="17">
        <v>1330</v>
      </c>
      <c r="D3001" s="16">
        <v>20648</v>
      </c>
      <c r="E3001" s="18"/>
      <c r="F3001" s="18" t="s">
        <v>3194</v>
      </c>
      <c r="G3001" s="18" t="s">
        <v>9897</v>
      </c>
      <c r="H3001" s="18" t="s">
        <v>49</v>
      </c>
      <c r="I3001" s="18"/>
      <c r="J3001" s="16">
        <v>2021</v>
      </c>
      <c r="K3001" s="18" t="s">
        <v>9898</v>
      </c>
      <c r="L3001" s="16">
        <v>9785961440744</v>
      </c>
      <c r="M3001" s="18" t="s">
        <v>9899</v>
      </c>
      <c r="N3001" s="16">
        <v>351</v>
      </c>
      <c r="O3001" s="19">
        <v>0.64</v>
      </c>
      <c r="P3001" s="16">
        <v>160</v>
      </c>
      <c r="Q3001" s="16">
        <v>220</v>
      </c>
      <c r="R3001" s="16">
        <v>6</v>
      </c>
      <c r="S3001" s="18" t="s">
        <v>52</v>
      </c>
      <c r="T3001" s="18"/>
      <c r="U3001" s="17">
        <v>3000</v>
      </c>
      <c r="V3001" s="18" t="s">
        <v>44</v>
      </c>
      <c r="W3001" s="18" t="s">
        <v>184</v>
      </c>
      <c r="X3001" s="16">
        <v>10</v>
      </c>
      <c r="Y3001" s="18" t="s">
        <v>9825</v>
      </c>
      <c r="Z3001" s="18"/>
      <c r="AS3001" s="1">
        <f>IF($A3001&lt;&gt;0,1,0)</f>
        <v>0</v>
      </c>
      <c r="AT3001" s="1">
        <f>$A3001*$B3001</f>
        <v>0</v>
      </c>
      <c r="AU3001" s="1">
        <f>$A3001*$O3001</f>
        <v>0</v>
      </c>
      <c r="AV3001" s="1">
        <f>IF($R3001=0,0,INT($A3001/$R3001))</f>
        <v>0</v>
      </c>
      <c r="AW3001" s="1">
        <f>$A3001-$AV3001*$R3001</f>
        <v>0</v>
      </c>
    </row>
    <row r="3002" ht="21.95" customHeight="1" outlineLevel="3" s="1" customFormat="1">
      <c r="A3002" s="15"/>
      <c r="B3002" s="16">
        <v>790</v>
      </c>
      <c r="C3002" s="17">
        <v>1146</v>
      </c>
      <c r="D3002" s="16">
        <v>33595</v>
      </c>
      <c r="E3002" s="18"/>
      <c r="F3002" s="18" t="s">
        <v>1575</v>
      </c>
      <c r="G3002" s="18" t="s">
        <v>9900</v>
      </c>
      <c r="H3002" s="18" t="s">
        <v>49</v>
      </c>
      <c r="I3002" s="18" t="s">
        <v>65</v>
      </c>
      <c r="J3002" s="16">
        <v>2026</v>
      </c>
      <c r="K3002" s="18" t="s">
        <v>9901</v>
      </c>
      <c r="L3002" s="16">
        <v>9785006305182</v>
      </c>
      <c r="M3002" s="18" t="s">
        <v>9902</v>
      </c>
      <c r="N3002" s="16">
        <v>240</v>
      </c>
      <c r="O3002" s="19">
        <v>0.24</v>
      </c>
      <c r="P3002" s="16">
        <v>140</v>
      </c>
      <c r="Q3002" s="16">
        <v>210</v>
      </c>
      <c r="R3002" s="16">
        <v>10</v>
      </c>
      <c r="S3002" s="18" t="s">
        <v>43</v>
      </c>
      <c r="T3002" s="18"/>
      <c r="U3002" s="17">
        <v>3000</v>
      </c>
      <c r="V3002" s="18" t="s">
        <v>44</v>
      </c>
      <c r="W3002" s="18" t="s">
        <v>69</v>
      </c>
      <c r="X3002" s="16">
        <v>22</v>
      </c>
      <c r="Y3002" s="43" t="str">
        <f>HYPERLINK("","")</f>
      </c>
      <c r="Z3002" s="18" t="s">
        <v>251</v>
      </c>
      <c r="AS3002" s="1">
        <f>IF($A3002&lt;&gt;0,1,0)</f>
        <v>0</v>
      </c>
      <c r="AT3002" s="1">
        <f>$A3002*$B3002</f>
        <v>0</v>
      </c>
      <c r="AU3002" s="1">
        <f>$A3002*$O3002</f>
        <v>0</v>
      </c>
      <c r="AV3002" s="1">
        <f>IF($R3002=0,0,INT($A3002/$R3002))</f>
        <v>0</v>
      </c>
      <c r="AW3002" s="1">
        <f>$A3002-$AV3002*$R3002</f>
        <v>0</v>
      </c>
    </row>
    <row r="3003" ht="24.95" customHeight="1" outlineLevel="3" s="1" customFormat="1">
      <c r="A3003" s="15"/>
      <c r="B3003" s="16">
        <v>390</v>
      </c>
      <c r="C3003" s="16">
        <v>624</v>
      </c>
      <c r="D3003" s="16">
        <v>27535</v>
      </c>
      <c r="E3003" s="18"/>
      <c r="F3003" s="18" t="s">
        <v>1759</v>
      </c>
      <c r="G3003" s="18" t="s">
        <v>9903</v>
      </c>
      <c r="H3003" s="18" t="s">
        <v>73</v>
      </c>
      <c r="I3003" s="18" t="s">
        <v>74</v>
      </c>
      <c r="J3003" s="16">
        <v>2023</v>
      </c>
      <c r="K3003" s="18" t="s">
        <v>9904</v>
      </c>
      <c r="L3003" s="16">
        <v>9785001398967</v>
      </c>
      <c r="M3003" s="18" t="s">
        <v>9905</v>
      </c>
      <c r="N3003" s="16">
        <v>326</v>
      </c>
      <c r="O3003" s="19">
        <v>0.2</v>
      </c>
      <c r="P3003" s="16">
        <v>120</v>
      </c>
      <c r="Q3003" s="16">
        <v>170</v>
      </c>
      <c r="R3003" s="16">
        <v>10</v>
      </c>
      <c r="S3003" s="18" t="s">
        <v>190</v>
      </c>
      <c r="T3003" s="18" t="s">
        <v>1763</v>
      </c>
      <c r="U3003" s="17">
        <v>2000</v>
      </c>
      <c r="V3003" s="18" t="s">
        <v>44</v>
      </c>
      <c r="W3003" s="18" t="s">
        <v>184</v>
      </c>
      <c r="X3003" s="16">
        <v>10</v>
      </c>
      <c r="Y3003" s="43" t="str">
        <f>HYPERLINK("https://api-enni.alpina.ru/FilePrivilegesApproval/147","https://api-enni.alpina.ru/FilePrivilegesApproval/147")</f>
        <v>https://api-enni.alpina.ru/FilePrivilegesApproval/147</v>
      </c>
      <c r="Z3003" s="18"/>
      <c r="AS3003" s="1">
        <f>IF($A3003&lt;&gt;0,1,0)</f>
        <v>0</v>
      </c>
      <c r="AT3003" s="1">
        <f>$A3003*$B3003</f>
        <v>0</v>
      </c>
      <c r="AU3003" s="1">
        <f>$A3003*$O3003</f>
        <v>0</v>
      </c>
      <c r="AV3003" s="1">
        <f>IF($R3003=0,0,INT($A3003/$R3003))</f>
        <v>0</v>
      </c>
      <c r="AW3003" s="1">
        <f>$A3003-$AV3003*$R3003</f>
        <v>0</v>
      </c>
    </row>
    <row r="3004" ht="24.95" customHeight="1" outlineLevel="3" s="1" customFormat="1">
      <c r="A3004" s="25"/>
      <c r="B3004" s="26">
        <v>540</v>
      </c>
      <c r="C3004" s="26">
        <v>837</v>
      </c>
      <c r="D3004" s="26">
        <v>20854</v>
      </c>
      <c r="E3004" s="27"/>
      <c r="F3004" s="27" t="s">
        <v>9906</v>
      </c>
      <c r="G3004" s="27" t="s">
        <v>9907</v>
      </c>
      <c r="H3004" s="27" t="s">
        <v>73</v>
      </c>
      <c r="I3004" s="27"/>
      <c r="J3004" s="26">
        <v>2021</v>
      </c>
      <c r="K3004" s="27" t="s">
        <v>9908</v>
      </c>
      <c r="L3004" s="26">
        <v>9785916719567</v>
      </c>
      <c r="M3004" s="27" t="s">
        <v>9909</v>
      </c>
      <c r="N3004" s="26">
        <v>350</v>
      </c>
      <c r="O3004" s="28">
        <v>0.55</v>
      </c>
      <c r="P3004" s="26">
        <v>146</v>
      </c>
      <c r="Q3004" s="26">
        <v>216</v>
      </c>
      <c r="R3004" s="26">
        <v>12</v>
      </c>
      <c r="S3004" s="27" t="s">
        <v>43</v>
      </c>
      <c r="T3004" s="27"/>
      <c r="U3004" s="29">
        <v>3000</v>
      </c>
      <c r="V3004" s="27" t="s">
        <v>77</v>
      </c>
      <c r="W3004" s="27" t="s">
        <v>69</v>
      </c>
      <c r="X3004" s="26">
        <v>10</v>
      </c>
      <c r="Y3004" s="45" t="str">
        <f>HYPERLINK("https://api-enni.alpina.ru/FilePrivilegesApproval/208","https://api-enni.alpina.ru/FilePrivilegesApproval/208")</f>
        <v>https://api-enni.alpina.ru/FilePrivilegesApproval/208</v>
      </c>
      <c r="Z3004" s="27"/>
      <c r="AS3004" s="1">
        <f>IF($A3004&lt;&gt;0,1,0)</f>
        <v>0</v>
      </c>
      <c r="AT3004" s="1">
        <f>$A3004*$B3004</f>
        <v>0</v>
      </c>
      <c r="AU3004" s="1">
        <f>$A3004*$O3004</f>
        <v>0</v>
      </c>
      <c r="AV3004" s="1">
        <f>IF($R3004=0,0,INT($A3004/$R3004))</f>
        <v>0</v>
      </c>
      <c r="AW3004" s="1">
        <f>$A3004-$AV3004*$R3004</f>
        <v>0</v>
      </c>
    </row>
    <row r="3005" ht="24.95" customHeight="1" outlineLevel="3" s="1" customFormat="1">
      <c r="A3005" s="25"/>
      <c r="B3005" s="26">
        <v>490</v>
      </c>
      <c r="C3005" s="26">
        <v>760</v>
      </c>
      <c r="D3005" s="26">
        <v>4569</v>
      </c>
      <c r="E3005" s="27"/>
      <c r="F3005" s="27" t="s">
        <v>9910</v>
      </c>
      <c r="G3005" s="27" t="s">
        <v>9911</v>
      </c>
      <c r="H3005" s="27" t="s">
        <v>73</v>
      </c>
      <c r="I3005" s="27" t="s">
        <v>74</v>
      </c>
      <c r="J3005" s="26">
        <v>2020</v>
      </c>
      <c r="K3005" s="27" t="s">
        <v>9912</v>
      </c>
      <c r="L3005" s="26">
        <v>9785916715583</v>
      </c>
      <c r="M3005" s="27" t="s">
        <v>9913</v>
      </c>
      <c r="N3005" s="26">
        <v>316</v>
      </c>
      <c r="O3005" s="28">
        <v>0.4</v>
      </c>
      <c r="P3005" s="26">
        <v>130</v>
      </c>
      <c r="Q3005" s="26">
        <v>206</v>
      </c>
      <c r="R3005" s="26">
        <v>12</v>
      </c>
      <c r="S3005" s="27" t="s">
        <v>90</v>
      </c>
      <c r="T3005" s="27"/>
      <c r="U3005" s="29">
        <v>1500</v>
      </c>
      <c r="V3005" s="27" t="s">
        <v>77</v>
      </c>
      <c r="W3005" s="27" t="s">
        <v>184</v>
      </c>
      <c r="X3005" s="26">
        <v>10</v>
      </c>
      <c r="Y3005" s="45" t="str">
        <f>HYPERLINK("https://api-enni.alpina.ru/FilePrivilegesApproval/262","https://api-enni.alpina.ru/FilePrivilegesApproval/262")</f>
        <v>https://api-enni.alpina.ru/FilePrivilegesApproval/262</v>
      </c>
      <c r="Z3005" s="27"/>
      <c r="AS3005" s="1">
        <f>IF($A3005&lt;&gt;0,1,0)</f>
        <v>0</v>
      </c>
      <c r="AT3005" s="1">
        <f>$A3005*$B3005</f>
        <v>0</v>
      </c>
      <c r="AU3005" s="1">
        <f>$A3005*$O3005</f>
        <v>0</v>
      </c>
      <c r="AV3005" s="1">
        <f>IF($R3005=0,0,INT($A3005/$R3005))</f>
        <v>0</v>
      </c>
      <c r="AW3005" s="1">
        <f>$A3005-$AV3005*$R3005</f>
        <v>0</v>
      </c>
    </row>
    <row r="3006" ht="24.95" customHeight="1" outlineLevel="3" s="1" customFormat="1">
      <c r="A3006" s="15"/>
      <c r="B3006" s="16">
        <v>890</v>
      </c>
      <c r="C3006" s="17">
        <v>1246</v>
      </c>
      <c r="D3006" s="16">
        <v>34110</v>
      </c>
      <c r="E3006" s="18"/>
      <c r="F3006" s="18" t="s">
        <v>9914</v>
      </c>
      <c r="G3006" s="18" t="s">
        <v>9915</v>
      </c>
      <c r="H3006" s="18" t="s">
        <v>73</v>
      </c>
      <c r="I3006" s="18"/>
      <c r="J3006" s="16">
        <v>2026</v>
      </c>
      <c r="K3006" s="18" t="s">
        <v>9916</v>
      </c>
      <c r="L3006" s="16">
        <v>9785002236336</v>
      </c>
      <c r="M3006" s="18" t="s">
        <v>9917</v>
      </c>
      <c r="N3006" s="16">
        <v>216</v>
      </c>
      <c r="O3006" s="19">
        <v>0.26</v>
      </c>
      <c r="P3006" s="16">
        <v>120</v>
      </c>
      <c r="Q3006" s="16">
        <v>180</v>
      </c>
      <c r="R3006" s="16">
        <v>12</v>
      </c>
      <c r="S3006" s="18" t="s">
        <v>190</v>
      </c>
      <c r="T3006" s="18"/>
      <c r="U3006" s="17">
        <v>1500</v>
      </c>
      <c r="V3006" s="18" t="s">
        <v>44</v>
      </c>
      <c r="W3006" s="18" t="s">
        <v>69</v>
      </c>
      <c r="X3006" s="16">
        <v>10</v>
      </c>
      <c r="Y3006" s="43" t="str">
        <f>HYPERLINK("https://api-enni.alpina.ru/FilePrivilegesApproval/131","https://api-enni.alpina.ru/FilePrivilegesApproval/131")</f>
        <v>https://api-enni.alpina.ru/FilePrivilegesApproval/131</v>
      </c>
      <c r="Z3006" s="18" t="s">
        <v>8875</v>
      </c>
      <c r="AS3006" s="1">
        <f>IF($A3006&lt;&gt;0,1,0)</f>
        <v>0</v>
      </c>
      <c r="AT3006" s="1">
        <f>$A3006*$B3006</f>
        <v>0</v>
      </c>
      <c r="AU3006" s="1">
        <f>$A3006*$O3006</f>
        <v>0</v>
      </c>
      <c r="AV3006" s="1">
        <f>IF($R3006=0,0,INT($A3006/$R3006))</f>
        <v>0</v>
      </c>
      <c r="AW3006" s="1">
        <f>$A3006-$AV3006*$R3006</f>
        <v>0</v>
      </c>
    </row>
    <row r="3007" ht="24.95" customHeight="1" outlineLevel="3" s="1" customFormat="1">
      <c r="A3007" s="15"/>
      <c r="B3007" s="16">
        <v>490</v>
      </c>
      <c r="C3007" s="16">
        <v>760</v>
      </c>
      <c r="D3007" s="16">
        <v>24364</v>
      </c>
      <c r="E3007" s="18"/>
      <c r="F3007" s="18" t="s">
        <v>9918</v>
      </c>
      <c r="G3007" s="18" t="s">
        <v>9919</v>
      </c>
      <c r="H3007" s="18" t="s">
        <v>73</v>
      </c>
      <c r="I3007" s="18"/>
      <c r="J3007" s="16">
        <v>2022</v>
      </c>
      <c r="K3007" s="18" t="s">
        <v>9920</v>
      </c>
      <c r="L3007" s="16">
        <v>9785001397458</v>
      </c>
      <c r="M3007" s="18" t="s">
        <v>9921</v>
      </c>
      <c r="N3007" s="16">
        <v>208</v>
      </c>
      <c r="O3007" s="19">
        <v>0.3</v>
      </c>
      <c r="P3007" s="16">
        <v>130</v>
      </c>
      <c r="Q3007" s="16">
        <v>206</v>
      </c>
      <c r="R3007" s="16">
        <v>20</v>
      </c>
      <c r="S3007" s="18" t="s">
        <v>90</v>
      </c>
      <c r="T3007" s="18"/>
      <c r="U3007" s="17">
        <v>1500</v>
      </c>
      <c r="V3007" s="18" t="s">
        <v>77</v>
      </c>
      <c r="W3007" s="18" t="s">
        <v>69</v>
      </c>
      <c r="X3007" s="16">
        <v>10</v>
      </c>
      <c r="Y3007" s="43" t="str">
        <f>HYPERLINK("https://api-enni.alpina.ru/FilePrivilegesApproval/190","https://api-enni.alpina.ru/FilePrivilegesApproval/190")</f>
        <v>https://api-enni.alpina.ru/FilePrivilegesApproval/190</v>
      </c>
      <c r="Z3007" s="18"/>
      <c r="AS3007" s="1">
        <f>IF($A3007&lt;&gt;0,1,0)</f>
        <v>0</v>
      </c>
      <c r="AT3007" s="1">
        <f>$A3007*$B3007</f>
        <v>0</v>
      </c>
      <c r="AU3007" s="1">
        <f>$A3007*$O3007</f>
        <v>0</v>
      </c>
      <c r="AV3007" s="1">
        <f>IF($R3007=0,0,INT($A3007/$R3007))</f>
        <v>0</v>
      </c>
      <c r="AW3007" s="1">
        <f>$A3007-$AV3007*$R3007</f>
        <v>0</v>
      </c>
    </row>
    <row r="3008" ht="24.95" customHeight="1" outlineLevel="3" s="1" customFormat="1">
      <c r="A3008" s="15"/>
      <c r="B3008" s="16">
        <v>790</v>
      </c>
      <c r="C3008" s="17">
        <v>1146</v>
      </c>
      <c r="D3008" s="16">
        <v>7607</v>
      </c>
      <c r="E3008" s="18"/>
      <c r="F3008" s="18" t="s">
        <v>9922</v>
      </c>
      <c r="G3008" s="18" t="s">
        <v>9923</v>
      </c>
      <c r="H3008" s="18" t="s">
        <v>86</v>
      </c>
      <c r="I3008" s="18" t="s">
        <v>74</v>
      </c>
      <c r="J3008" s="16">
        <v>2026</v>
      </c>
      <c r="K3008" s="18" t="s">
        <v>9924</v>
      </c>
      <c r="L3008" s="16">
        <v>9785961467673</v>
      </c>
      <c r="M3008" s="18" t="s">
        <v>9925</v>
      </c>
      <c r="N3008" s="16">
        <v>256</v>
      </c>
      <c r="O3008" s="19">
        <v>0.4</v>
      </c>
      <c r="P3008" s="16">
        <v>146</v>
      </c>
      <c r="Q3008" s="16">
        <v>216</v>
      </c>
      <c r="R3008" s="16">
        <v>10</v>
      </c>
      <c r="S3008" s="18" t="s">
        <v>43</v>
      </c>
      <c r="T3008" s="18"/>
      <c r="U3008" s="17">
        <v>1000</v>
      </c>
      <c r="V3008" s="18" t="s">
        <v>77</v>
      </c>
      <c r="W3008" s="18" t="s">
        <v>184</v>
      </c>
      <c r="X3008" s="16">
        <v>10</v>
      </c>
      <c r="Y3008" s="43" t="str">
        <f>HYPERLINK("https://api-enni.alpina.ru/FilePrivilegesApproval/2","https://api-enni.alpina.ru/FilePrivilegesApproval/2")</f>
        <v>https://api-enni.alpina.ru/FilePrivilegesApproval/2</v>
      </c>
      <c r="Z3008" s="18"/>
      <c r="AS3008" s="1">
        <f>IF($A3008&lt;&gt;0,1,0)</f>
        <v>0</v>
      </c>
      <c r="AT3008" s="1">
        <f>$A3008*$B3008</f>
        <v>0</v>
      </c>
      <c r="AU3008" s="1">
        <f>$A3008*$O3008</f>
        <v>0</v>
      </c>
      <c r="AV3008" s="1">
        <f>IF($R3008=0,0,INT($A3008/$R3008))</f>
        <v>0</v>
      </c>
      <c r="AW3008" s="1">
        <f>$A3008-$AV3008*$R3008</f>
        <v>0</v>
      </c>
    </row>
    <row r="3009" ht="24.95" customHeight="1" outlineLevel="3" s="1" customFormat="1">
      <c r="A3009" s="15"/>
      <c r="B3009" s="16">
        <v>490</v>
      </c>
      <c r="C3009" s="16">
        <v>760</v>
      </c>
      <c r="D3009" s="16">
        <v>25317</v>
      </c>
      <c r="E3009" s="18"/>
      <c r="F3009" s="18" t="s">
        <v>9926</v>
      </c>
      <c r="G3009" s="18" t="s">
        <v>9927</v>
      </c>
      <c r="H3009" s="18" t="s">
        <v>49</v>
      </c>
      <c r="I3009" s="18"/>
      <c r="J3009" s="16">
        <v>2022</v>
      </c>
      <c r="K3009" s="18" t="s">
        <v>9928</v>
      </c>
      <c r="L3009" s="16">
        <v>9785961477504</v>
      </c>
      <c r="M3009" s="18" t="s">
        <v>9929</v>
      </c>
      <c r="N3009" s="16">
        <v>224</v>
      </c>
      <c r="O3009" s="19">
        <v>0.23</v>
      </c>
      <c r="P3009" s="16">
        <v>125</v>
      </c>
      <c r="Q3009" s="16">
        <v>200</v>
      </c>
      <c r="R3009" s="16">
        <v>20</v>
      </c>
      <c r="S3009" s="18" t="s">
        <v>90</v>
      </c>
      <c r="T3009" s="18"/>
      <c r="U3009" s="17">
        <v>3000</v>
      </c>
      <c r="V3009" s="18" t="s">
        <v>44</v>
      </c>
      <c r="W3009" s="18" t="s">
        <v>184</v>
      </c>
      <c r="X3009" s="16">
        <v>10</v>
      </c>
      <c r="Y3009" s="18" t="s">
        <v>9883</v>
      </c>
      <c r="Z3009" s="18"/>
      <c r="AS3009" s="1">
        <f>IF($A3009&lt;&gt;0,1,0)</f>
        <v>0</v>
      </c>
      <c r="AT3009" s="1">
        <f>$A3009*$B3009</f>
        <v>0</v>
      </c>
      <c r="AU3009" s="1">
        <f>$A3009*$O3009</f>
        <v>0</v>
      </c>
      <c r="AV3009" s="1">
        <f>IF($R3009=0,0,INT($A3009/$R3009))</f>
        <v>0</v>
      </c>
      <c r="AW3009" s="1">
        <f>$A3009-$AV3009*$R3009</f>
        <v>0</v>
      </c>
    </row>
    <row r="3010" ht="24.95" customHeight="1" outlineLevel="3" s="1" customFormat="1">
      <c r="A3010" s="15"/>
      <c r="B3010" s="16">
        <v>690</v>
      </c>
      <c r="C3010" s="17">
        <v>1035</v>
      </c>
      <c r="D3010" s="16">
        <v>5220</v>
      </c>
      <c r="E3010" s="18"/>
      <c r="F3010" s="18" t="s">
        <v>1571</v>
      </c>
      <c r="G3010" s="18" t="s">
        <v>9930</v>
      </c>
      <c r="H3010" s="18" t="s">
        <v>73</v>
      </c>
      <c r="I3010" s="18" t="s">
        <v>74</v>
      </c>
      <c r="J3010" s="16">
        <v>2023</v>
      </c>
      <c r="K3010" s="18" t="s">
        <v>9931</v>
      </c>
      <c r="L3010" s="16">
        <v>9785916718232</v>
      </c>
      <c r="M3010" s="18" t="s">
        <v>9932</v>
      </c>
      <c r="N3010" s="16">
        <v>344</v>
      </c>
      <c r="O3010" s="19">
        <v>0.55</v>
      </c>
      <c r="P3010" s="16">
        <v>150</v>
      </c>
      <c r="Q3010" s="16">
        <v>220</v>
      </c>
      <c r="R3010" s="16">
        <v>6</v>
      </c>
      <c r="S3010" s="18" t="s">
        <v>43</v>
      </c>
      <c r="T3010" s="18"/>
      <c r="U3010" s="17">
        <v>1000</v>
      </c>
      <c r="V3010" s="18" t="s">
        <v>77</v>
      </c>
      <c r="W3010" s="18" t="s">
        <v>184</v>
      </c>
      <c r="X3010" s="16">
        <v>10</v>
      </c>
      <c r="Y3010" s="43" t="str">
        <f>HYPERLINK("https://api-enni.alpina.ru/FilePrivilegesApproval/5","https://api-enni.alpina.ru/FilePrivilegesApproval/5")</f>
        <v>https://api-enni.alpina.ru/FilePrivilegesApproval/5</v>
      </c>
      <c r="Z3010" s="18"/>
      <c r="AS3010" s="1">
        <f>IF($A3010&lt;&gt;0,1,0)</f>
        <v>0</v>
      </c>
      <c r="AT3010" s="1">
        <f>$A3010*$B3010</f>
        <v>0</v>
      </c>
      <c r="AU3010" s="1">
        <f>$A3010*$O3010</f>
        <v>0</v>
      </c>
      <c r="AV3010" s="1">
        <f>IF($R3010=0,0,INT($A3010/$R3010))</f>
        <v>0</v>
      </c>
      <c r="AW3010" s="1">
        <f>$A3010-$AV3010*$R3010</f>
        <v>0</v>
      </c>
    </row>
    <row r="3011" ht="21.95" customHeight="1" outlineLevel="3" s="1" customFormat="1">
      <c r="A3011" s="15"/>
      <c r="B3011" s="16">
        <v>890</v>
      </c>
      <c r="C3011" s="17">
        <v>1246</v>
      </c>
      <c r="D3011" s="16">
        <v>32190</v>
      </c>
      <c r="E3011" s="18"/>
      <c r="F3011" s="18" t="s">
        <v>9816</v>
      </c>
      <c r="G3011" s="18" t="s">
        <v>9933</v>
      </c>
      <c r="H3011" s="18" t="s">
        <v>49</v>
      </c>
      <c r="I3011" s="18"/>
      <c r="J3011" s="16">
        <v>2026</v>
      </c>
      <c r="K3011" s="18" t="s">
        <v>9934</v>
      </c>
      <c r="L3011" s="16">
        <v>9785006301672</v>
      </c>
      <c r="M3011" s="18" t="s">
        <v>9935</v>
      </c>
      <c r="N3011" s="16">
        <v>384</v>
      </c>
      <c r="O3011" s="19">
        <v>0.68</v>
      </c>
      <c r="P3011" s="16">
        <v>150</v>
      </c>
      <c r="Q3011" s="16">
        <v>220</v>
      </c>
      <c r="R3011" s="16">
        <v>7</v>
      </c>
      <c r="S3011" s="18" t="s">
        <v>43</v>
      </c>
      <c r="T3011" s="18"/>
      <c r="U3011" s="17">
        <v>8000</v>
      </c>
      <c r="V3011" s="18" t="s">
        <v>77</v>
      </c>
      <c r="W3011" s="18" t="s">
        <v>184</v>
      </c>
      <c r="X3011" s="16">
        <v>10</v>
      </c>
      <c r="Y3011" s="43" t="str">
        <f>HYPERLINK("","")</f>
      </c>
      <c r="Z3011" s="18"/>
      <c r="AS3011" s="1">
        <f>IF($A3011&lt;&gt;0,1,0)</f>
        <v>0</v>
      </c>
      <c r="AT3011" s="1">
        <f>$A3011*$B3011</f>
        <v>0</v>
      </c>
      <c r="AU3011" s="1">
        <f>$A3011*$O3011</f>
        <v>0</v>
      </c>
      <c r="AV3011" s="1">
        <f>IF($R3011=0,0,INT($A3011/$R3011))</f>
        <v>0</v>
      </c>
      <c r="AW3011" s="1">
        <f>$A3011-$AV3011*$R3011</f>
        <v>0</v>
      </c>
    </row>
    <row r="3012" ht="15" customHeight="1" outlineLevel="1">
      <c r="A3012" s="40" t="s">
        <v>9936</v>
      </c>
      <c r="B3012" s="40"/>
      <c r="C3012" s="40"/>
      <c r="D3012" s="40"/>
      <c r="E3012" s="40"/>
      <c r="F3012" s="40"/>
      <c r="G3012" s="40"/>
      <c r="H3012" s="40"/>
      <c r="I3012" s="40"/>
      <c r="J3012" s="40"/>
      <c r="K3012" s="40"/>
      <c r="L3012" s="40"/>
      <c r="M3012" s="40"/>
      <c r="N3012" s="40"/>
      <c r="O3012" s="40"/>
      <c r="P3012" s="40"/>
      <c r="Q3012" s="40"/>
      <c r="R3012" s="40"/>
      <c r="S3012" s="40"/>
      <c r="T3012" s="40"/>
      <c r="U3012" s="40"/>
      <c r="V3012" s="40"/>
      <c r="W3012" s="40"/>
      <c r="X3012" s="40"/>
      <c r="Y3012" s="40"/>
      <c r="Z3012" s="23"/>
    </row>
    <row r="3013" ht="11.1" customHeight="1" outlineLevel="2">
      <c r="A3013" s="41"/>
      <c r="B3013" s="41"/>
      <c r="C3013" s="41"/>
      <c r="D3013" s="41"/>
      <c r="E3013" s="41"/>
      <c r="F3013" s="41"/>
      <c r="G3013" s="41"/>
      <c r="H3013" s="41"/>
      <c r="I3013" s="41"/>
      <c r="J3013" s="41"/>
      <c r="K3013" s="41"/>
      <c r="L3013" s="41"/>
      <c r="M3013" s="41"/>
      <c r="N3013" s="41"/>
      <c r="O3013" s="41"/>
      <c r="P3013" s="41"/>
      <c r="Q3013" s="41"/>
      <c r="R3013" s="41"/>
      <c r="S3013" s="41"/>
      <c r="T3013" s="41"/>
      <c r="U3013" s="41"/>
      <c r="V3013" s="41"/>
      <c r="W3013" s="41"/>
      <c r="X3013" s="41"/>
      <c r="Y3013" s="41"/>
      <c r="Z3013" s="24"/>
      <c r="AS3013" s="0">
        <f>IF($A3013&lt;&gt;0,1,0)</f>
        <v>0</v>
      </c>
      <c r="AT3013" s="0">
        <f>$A3013*$B3013</f>
        <v>0</v>
      </c>
      <c r="AU3013" s="0">
        <f>$A3013*$O3013</f>
        <v>0</v>
      </c>
      <c r="AV3013" s="0">
        <f>IF($R3013=0,0,INT($A3013/$R3013))</f>
        <v>0</v>
      </c>
      <c r="AW3013" s="0">
        <f>$A3013-$AV3013*$R3013</f>
        <v>0</v>
      </c>
    </row>
    <row r="3014" ht="24.95" customHeight="1" outlineLevel="3" s="1" customFormat="1">
      <c r="A3014" s="25"/>
      <c r="B3014" s="29">
        <v>5990</v>
      </c>
      <c r="C3014" s="29">
        <v>5990</v>
      </c>
      <c r="D3014" s="27" t="s">
        <v>9937</v>
      </c>
      <c r="E3014" s="27"/>
      <c r="F3014" s="27" t="s">
        <v>9938</v>
      </c>
      <c r="G3014" s="27" t="s">
        <v>9939</v>
      </c>
      <c r="H3014" s="27" t="s">
        <v>86</v>
      </c>
      <c r="I3014" s="27" t="s">
        <v>74</v>
      </c>
      <c r="J3014" s="26">
        <v>2015</v>
      </c>
      <c r="K3014" s="27" t="s">
        <v>9940</v>
      </c>
      <c r="L3014" s="26">
        <v>9785961453218</v>
      </c>
      <c r="M3014" s="27" t="s">
        <v>9941</v>
      </c>
      <c r="N3014" s="26">
        <v>336</v>
      </c>
      <c r="O3014" s="28">
        <v>0.57</v>
      </c>
      <c r="P3014" s="26">
        <v>146</v>
      </c>
      <c r="Q3014" s="26">
        <v>217</v>
      </c>
      <c r="R3014" s="26">
        <v>1</v>
      </c>
      <c r="S3014" s="27" t="s">
        <v>43</v>
      </c>
      <c r="T3014" s="27" t="s">
        <v>421</v>
      </c>
      <c r="U3014" s="29">
        <v>2000</v>
      </c>
      <c r="V3014" s="27" t="s">
        <v>77</v>
      </c>
      <c r="W3014" s="27" t="s">
        <v>184</v>
      </c>
      <c r="X3014" s="26">
        <v>22</v>
      </c>
      <c r="Y3014" s="45" t="str">
        <f>HYPERLINK("","")</f>
      </c>
      <c r="Z3014" s="27"/>
      <c r="AS3014" s="1">
        <f>IF($A3014&lt;&gt;0,1,0)</f>
        <v>0</v>
      </c>
      <c r="AT3014" s="1">
        <f>$A3014*$B3014</f>
        <v>0</v>
      </c>
      <c r="AU3014" s="1">
        <f>$A3014*$O3014</f>
        <v>0</v>
      </c>
      <c r="AV3014" s="1">
        <f>IF($R3014=0,0,INT($A3014/$R3014))</f>
        <v>0</v>
      </c>
      <c r="AW3014" s="1">
        <f>$A3014-$AV3014*$R3014</f>
        <v>0</v>
      </c>
    </row>
    <row r="3015" ht="21.95" customHeight="1" outlineLevel="3" s="1" customFormat="1">
      <c r="A3015" s="25"/>
      <c r="B3015" s="29">
        <v>4990</v>
      </c>
      <c r="C3015" s="29">
        <v>4990</v>
      </c>
      <c r="D3015" s="27" t="s">
        <v>9942</v>
      </c>
      <c r="E3015" s="27"/>
      <c r="F3015" s="27" t="s">
        <v>2111</v>
      </c>
      <c r="G3015" s="27" t="s">
        <v>9943</v>
      </c>
      <c r="H3015" s="27" t="s">
        <v>86</v>
      </c>
      <c r="I3015" s="27" t="s">
        <v>74</v>
      </c>
      <c r="J3015" s="26">
        <v>2019</v>
      </c>
      <c r="K3015" s="27" t="s">
        <v>9944</v>
      </c>
      <c r="L3015" s="26">
        <v>9785961413250</v>
      </c>
      <c r="M3015" s="27" t="s">
        <v>9945</v>
      </c>
      <c r="N3015" s="26">
        <v>242</v>
      </c>
      <c r="O3015" s="28">
        <v>0.41</v>
      </c>
      <c r="P3015" s="26">
        <v>146</v>
      </c>
      <c r="Q3015" s="26">
        <v>217</v>
      </c>
      <c r="R3015" s="26">
        <v>1</v>
      </c>
      <c r="S3015" s="27" t="s">
        <v>43</v>
      </c>
      <c r="T3015" s="27" t="s">
        <v>421</v>
      </c>
      <c r="U3015" s="29">
        <v>1002</v>
      </c>
      <c r="V3015" s="27" t="s">
        <v>77</v>
      </c>
      <c r="W3015" s="27" t="s">
        <v>184</v>
      </c>
      <c r="X3015" s="26">
        <v>22</v>
      </c>
      <c r="Y3015" s="45" t="str">
        <f>HYPERLINK("","")</f>
      </c>
      <c r="Z3015" s="27"/>
      <c r="AS3015" s="1">
        <f>IF($A3015&lt;&gt;0,1,0)</f>
        <v>0</v>
      </c>
      <c r="AT3015" s="1">
        <f>$A3015*$B3015</f>
        <v>0</v>
      </c>
      <c r="AU3015" s="1">
        <f>$A3015*$O3015</f>
        <v>0</v>
      </c>
      <c r="AV3015" s="1">
        <f>IF($R3015=0,0,INT($A3015/$R3015))</f>
        <v>0</v>
      </c>
      <c r="AW3015" s="1">
        <f>$A3015-$AV3015*$R3015</f>
        <v>0</v>
      </c>
    </row>
    <row r="3016" ht="21.95" customHeight="1" outlineLevel="3" s="1" customFormat="1">
      <c r="A3016" s="25"/>
      <c r="B3016" s="29">
        <v>4990</v>
      </c>
      <c r="C3016" s="29">
        <v>4990</v>
      </c>
      <c r="D3016" s="27" t="s">
        <v>9946</v>
      </c>
      <c r="E3016" s="27"/>
      <c r="F3016" s="27" t="s">
        <v>9947</v>
      </c>
      <c r="G3016" s="27" t="s">
        <v>9948</v>
      </c>
      <c r="H3016" s="27" t="s">
        <v>9949</v>
      </c>
      <c r="I3016" s="27" t="s">
        <v>74</v>
      </c>
      <c r="J3016" s="26">
        <v>2019</v>
      </c>
      <c r="K3016" s="27" t="s">
        <v>9950</v>
      </c>
      <c r="L3016" s="26">
        <v>9785969304758</v>
      </c>
      <c r="M3016" s="27" t="s">
        <v>9951</v>
      </c>
      <c r="N3016" s="26">
        <v>362</v>
      </c>
      <c r="O3016" s="28">
        <v>0.62</v>
      </c>
      <c r="P3016" s="26">
        <v>146</v>
      </c>
      <c r="Q3016" s="26">
        <v>217</v>
      </c>
      <c r="R3016" s="26">
        <v>1</v>
      </c>
      <c r="S3016" s="27" t="s">
        <v>43</v>
      </c>
      <c r="T3016" s="27" t="s">
        <v>421</v>
      </c>
      <c r="U3016" s="29">
        <v>1000</v>
      </c>
      <c r="V3016" s="27" t="s">
        <v>77</v>
      </c>
      <c r="W3016" s="27" t="s">
        <v>184</v>
      </c>
      <c r="X3016" s="26">
        <v>22</v>
      </c>
      <c r="Y3016" s="45" t="str">
        <f>HYPERLINK("","")</f>
      </c>
      <c r="Z3016" s="27"/>
      <c r="AS3016" s="1">
        <f>IF($A3016&lt;&gt;0,1,0)</f>
        <v>0</v>
      </c>
      <c r="AT3016" s="1">
        <f>$A3016*$B3016</f>
        <v>0</v>
      </c>
      <c r="AU3016" s="1">
        <f>$A3016*$O3016</f>
        <v>0</v>
      </c>
      <c r="AV3016" s="1">
        <f>IF($R3016=0,0,INT($A3016/$R3016))</f>
        <v>0</v>
      </c>
      <c r="AW3016" s="1">
        <f>$A3016-$AV3016*$R3016</f>
        <v>0</v>
      </c>
    </row>
    <row r="3017" ht="24.95" customHeight="1" outlineLevel="3" s="1" customFormat="1">
      <c r="A3017" s="25"/>
      <c r="B3017" s="29">
        <v>5490</v>
      </c>
      <c r="C3017" s="29">
        <v>5490</v>
      </c>
      <c r="D3017" s="27" t="s">
        <v>9952</v>
      </c>
      <c r="E3017" s="27"/>
      <c r="F3017" s="27" t="s">
        <v>9953</v>
      </c>
      <c r="G3017" s="27" t="s">
        <v>9954</v>
      </c>
      <c r="H3017" s="27" t="s">
        <v>86</v>
      </c>
      <c r="I3017" s="27" t="s">
        <v>74</v>
      </c>
      <c r="J3017" s="26">
        <v>2019</v>
      </c>
      <c r="K3017" s="27" t="s">
        <v>9955</v>
      </c>
      <c r="L3017" s="26">
        <v>9785961413908</v>
      </c>
      <c r="M3017" s="27" t="s">
        <v>9956</v>
      </c>
      <c r="N3017" s="26">
        <v>264</v>
      </c>
      <c r="O3017" s="28">
        <v>0.45</v>
      </c>
      <c r="P3017" s="26">
        <v>146</v>
      </c>
      <c r="Q3017" s="26">
        <v>217</v>
      </c>
      <c r="R3017" s="26">
        <v>1</v>
      </c>
      <c r="S3017" s="27" t="s">
        <v>43</v>
      </c>
      <c r="T3017" s="27" t="s">
        <v>421</v>
      </c>
      <c r="U3017" s="29">
        <v>1002</v>
      </c>
      <c r="V3017" s="27" t="s">
        <v>77</v>
      </c>
      <c r="W3017" s="27" t="s">
        <v>184</v>
      </c>
      <c r="X3017" s="26">
        <v>22</v>
      </c>
      <c r="Y3017" s="45" t="str">
        <f>HYPERLINK("","")</f>
      </c>
      <c r="Z3017" s="27"/>
      <c r="AS3017" s="1">
        <f>IF($A3017&lt;&gt;0,1,0)</f>
        <v>0</v>
      </c>
      <c r="AT3017" s="1">
        <f>$A3017*$B3017</f>
        <v>0</v>
      </c>
      <c r="AU3017" s="1">
        <f>$A3017*$O3017</f>
        <v>0</v>
      </c>
      <c r="AV3017" s="1">
        <f>IF($R3017=0,0,INT($A3017/$R3017))</f>
        <v>0</v>
      </c>
      <c r="AW3017" s="1">
        <f>$A3017-$AV3017*$R3017</f>
        <v>0</v>
      </c>
    </row>
    <row r="3018" ht="24.95" customHeight="1" outlineLevel="3" s="1" customFormat="1">
      <c r="A3018" s="25"/>
      <c r="B3018" s="29">
        <v>5990</v>
      </c>
      <c r="C3018" s="29">
        <v>5990</v>
      </c>
      <c r="D3018" s="27" t="s">
        <v>416</v>
      </c>
      <c r="E3018" s="27"/>
      <c r="F3018" s="27" t="s">
        <v>417</v>
      </c>
      <c r="G3018" s="27" t="s">
        <v>418</v>
      </c>
      <c r="H3018" s="27" t="s">
        <v>95</v>
      </c>
      <c r="I3018" s="27" t="s">
        <v>419</v>
      </c>
      <c r="J3018" s="26">
        <v>2022</v>
      </c>
      <c r="K3018" s="27" t="s">
        <v>416</v>
      </c>
      <c r="L3018" s="26">
        <v>9785907394193</v>
      </c>
      <c r="M3018" s="27" t="s">
        <v>420</v>
      </c>
      <c r="N3018" s="26">
        <v>245</v>
      </c>
      <c r="O3018" s="28">
        <v>0.42</v>
      </c>
      <c r="P3018" s="26">
        <v>146</v>
      </c>
      <c r="Q3018" s="26">
        <v>216</v>
      </c>
      <c r="R3018" s="26">
        <v>1</v>
      </c>
      <c r="S3018" s="27" t="s">
        <v>43</v>
      </c>
      <c r="T3018" s="27" t="s">
        <v>421</v>
      </c>
      <c r="U3018" s="29">
        <v>3500</v>
      </c>
      <c r="V3018" s="27" t="s">
        <v>77</v>
      </c>
      <c r="W3018" s="27" t="s">
        <v>91</v>
      </c>
      <c r="X3018" s="26">
        <v>22</v>
      </c>
      <c r="Y3018" s="45" t="str">
        <f>HYPERLINK("","")</f>
      </c>
      <c r="Z3018" s="27"/>
      <c r="AS3018" s="1">
        <f>IF($A3018&lt;&gt;0,1,0)</f>
        <v>0</v>
      </c>
      <c r="AT3018" s="1">
        <f>$A3018*$B3018</f>
        <v>0</v>
      </c>
      <c r="AU3018" s="1">
        <f>$A3018*$O3018</f>
        <v>0</v>
      </c>
      <c r="AV3018" s="1">
        <f>IF($R3018=0,0,INT($A3018/$R3018))</f>
        <v>0</v>
      </c>
      <c r="AW3018" s="1">
        <f>$A3018-$AV3018*$R3018</f>
        <v>0</v>
      </c>
    </row>
    <row r="3019" ht="21.95" customHeight="1" outlineLevel="3" s="1" customFormat="1">
      <c r="A3019" s="25"/>
      <c r="B3019" s="29">
        <v>5990</v>
      </c>
      <c r="C3019" s="29">
        <v>5990</v>
      </c>
      <c r="D3019" s="27" t="s">
        <v>422</v>
      </c>
      <c r="E3019" s="27"/>
      <c r="F3019" s="27" t="s">
        <v>423</v>
      </c>
      <c r="G3019" s="27" t="s">
        <v>424</v>
      </c>
      <c r="H3019" s="27" t="s">
        <v>95</v>
      </c>
      <c r="I3019" s="27" t="s">
        <v>419</v>
      </c>
      <c r="J3019" s="26">
        <v>2022</v>
      </c>
      <c r="K3019" s="27" t="s">
        <v>422</v>
      </c>
      <c r="L3019" s="26">
        <v>9785907534148</v>
      </c>
      <c r="M3019" s="27" t="s">
        <v>425</v>
      </c>
      <c r="N3019" s="26">
        <v>570</v>
      </c>
      <c r="O3019" s="28">
        <v>0.82</v>
      </c>
      <c r="P3019" s="26">
        <v>146</v>
      </c>
      <c r="Q3019" s="26">
        <v>216</v>
      </c>
      <c r="R3019" s="26">
        <v>1</v>
      </c>
      <c r="S3019" s="27" t="s">
        <v>43</v>
      </c>
      <c r="T3019" s="27" t="s">
        <v>421</v>
      </c>
      <c r="U3019" s="29">
        <v>3500</v>
      </c>
      <c r="V3019" s="27" t="s">
        <v>77</v>
      </c>
      <c r="W3019" s="27" t="s">
        <v>91</v>
      </c>
      <c r="X3019" s="26">
        <v>22</v>
      </c>
      <c r="Y3019" s="45" t="str">
        <f>HYPERLINK("","")</f>
      </c>
      <c r="Z3019" s="27"/>
      <c r="AS3019" s="1">
        <f>IF($A3019&lt;&gt;0,1,0)</f>
        <v>0</v>
      </c>
      <c r="AT3019" s="1">
        <f>$A3019*$B3019</f>
        <v>0</v>
      </c>
      <c r="AU3019" s="1">
        <f>$A3019*$O3019</f>
        <v>0</v>
      </c>
      <c r="AV3019" s="1">
        <f>IF($R3019=0,0,INT($A3019/$R3019))</f>
        <v>0</v>
      </c>
      <c r="AW3019" s="1">
        <f>$A3019-$AV3019*$R3019</f>
        <v>0</v>
      </c>
    </row>
    <row r="3020" ht="21.95" customHeight="1" outlineLevel="3" s="1" customFormat="1">
      <c r="A3020" s="25"/>
      <c r="B3020" s="29">
        <v>5990</v>
      </c>
      <c r="C3020" s="29">
        <v>5990</v>
      </c>
      <c r="D3020" s="27" t="s">
        <v>426</v>
      </c>
      <c r="E3020" s="27"/>
      <c r="F3020" s="27" t="s">
        <v>427</v>
      </c>
      <c r="G3020" s="27" t="s">
        <v>428</v>
      </c>
      <c r="H3020" s="27" t="s">
        <v>95</v>
      </c>
      <c r="I3020" s="27" t="s">
        <v>419</v>
      </c>
      <c r="J3020" s="26">
        <v>2022</v>
      </c>
      <c r="K3020" s="27" t="s">
        <v>426</v>
      </c>
      <c r="L3020" s="26">
        <v>9785907534728</v>
      </c>
      <c r="M3020" s="27" t="s">
        <v>429</v>
      </c>
      <c r="N3020" s="26">
        <v>544</v>
      </c>
      <c r="O3020" s="28">
        <v>0.78</v>
      </c>
      <c r="P3020" s="26">
        <v>146</v>
      </c>
      <c r="Q3020" s="26">
        <v>216</v>
      </c>
      <c r="R3020" s="26">
        <v>1</v>
      </c>
      <c r="S3020" s="27" t="s">
        <v>43</v>
      </c>
      <c r="T3020" s="27" t="s">
        <v>421</v>
      </c>
      <c r="U3020" s="29">
        <v>3500</v>
      </c>
      <c r="V3020" s="27" t="s">
        <v>77</v>
      </c>
      <c r="W3020" s="27" t="s">
        <v>91</v>
      </c>
      <c r="X3020" s="26">
        <v>22</v>
      </c>
      <c r="Y3020" s="45" t="str">
        <f>HYPERLINK("","")</f>
      </c>
      <c r="Z3020" s="27"/>
      <c r="AS3020" s="1">
        <f>IF($A3020&lt;&gt;0,1,0)</f>
        <v>0</v>
      </c>
      <c r="AT3020" s="1">
        <f>$A3020*$B3020</f>
        <v>0</v>
      </c>
      <c r="AU3020" s="1">
        <f>$A3020*$O3020</f>
        <v>0</v>
      </c>
      <c r="AV3020" s="1">
        <f>IF($R3020=0,0,INT($A3020/$R3020))</f>
        <v>0</v>
      </c>
      <c r="AW3020" s="1">
        <f>$A3020-$AV3020*$R3020</f>
        <v>0</v>
      </c>
    </row>
    <row r="3021" ht="21.95" customHeight="1" outlineLevel="3" s="1" customFormat="1">
      <c r="A3021" s="25"/>
      <c r="B3021" s="29">
        <v>5990</v>
      </c>
      <c r="C3021" s="29">
        <v>5990</v>
      </c>
      <c r="D3021" s="27" t="s">
        <v>430</v>
      </c>
      <c r="E3021" s="27"/>
      <c r="F3021" s="27" t="s">
        <v>431</v>
      </c>
      <c r="G3021" s="27" t="s">
        <v>432</v>
      </c>
      <c r="H3021" s="27" t="s">
        <v>95</v>
      </c>
      <c r="I3021" s="27" t="s">
        <v>419</v>
      </c>
      <c r="J3021" s="26">
        <v>2023</v>
      </c>
      <c r="K3021" s="27" t="s">
        <v>430</v>
      </c>
      <c r="L3021" s="26">
        <v>9785206002126</v>
      </c>
      <c r="M3021" s="27" t="s">
        <v>433</v>
      </c>
      <c r="N3021" s="26">
        <v>206</v>
      </c>
      <c r="O3021" s="28">
        <v>0.37</v>
      </c>
      <c r="P3021" s="26">
        <v>146</v>
      </c>
      <c r="Q3021" s="26">
        <v>216</v>
      </c>
      <c r="R3021" s="26">
        <v>1</v>
      </c>
      <c r="S3021" s="27" t="s">
        <v>43</v>
      </c>
      <c r="T3021" s="27" t="s">
        <v>421</v>
      </c>
      <c r="U3021" s="29">
        <v>3500</v>
      </c>
      <c r="V3021" s="27" t="s">
        <v>77</v>
      </c>
      <c r="W3021" s="27" t="s">
        <v>91</v>
      </c>
      <c r="X3021" s="26">
        <v>22</v>
      </c>
      <c r="Y3021" s="45" t="str">
        <f>HYPERLINK("","")</f>
      </c>
      <c r="Z3021" s="27"/>
      <c r="AS3021" s="1">
        <f>IF($A3021&lt;&gt;0,1,0)</f>
        <v>0</v>
      </c>
      <c r="AT3021" s="1">
        <f>$A3021*$B3021</f>
        <v>0</v>
      </c>
      <c r="AU3021" s="1">
        <f>$A3021*$O3021</f>
        <v>0</v>
      </c>
      <c r="AV3021" s="1">
        <f>IF($R3021=0,0,INT($A3021/$R3021))</f>
        <v>0</v>
      </c>
      <c r="AW3021" s="1">
        <f>$A3021-$AV3021*$R3021</f>
        <v>0</v>
      </c>
    </row>
    <row r="3022" ht="21.95" customHeight="1" outlineLevel="3" s="1" customFormat="1">
      <c r="A3022" s="25"/>
      <c r="B3022" s="29">
        <v>5990</v>
      </c>
      <c r="C3022" s="29">
        <v>5990</v>
      </c>
      <c r="D3022" s="27" t="s">
        <v>434</v>
      </c>
      <c r="E3022" s="27"/>
      <c r="F3022" s="27" t="s">
        <v>435</v>
      </c>
      <c r="G3022" s="27" t="s">
        <v>436</v>
      </c>
      <c r="H3022" s="27" t="s">
        <v>95</v>
      </c>
      <c r="I3022" s="27" t="s">
        <v>419</v>
      </c>
      <c r="J3022" s="26">
        <v>2023</v>
      </c>
      <c r="K3022" s="27" t="s">
        <v>434</v>
      </c>
      <c r="L3022" s="26">
        <v>9785206002102</v>
      </c>
      <c r="M3022" s="27" t="s">
        <v>437</v>
      </c>
      <c r="N3022" s="26">
        <v>392</v>
      </c>
      <c r="O3022" s="28">
        <v>0.61</v>
      </c>
      <c r="P3022" s="26">
        <v>146</v>
      </c>
      <c r="Q3022" s="26">
        <v>216</v>
      </c>
      <c r="R3022" s="26">
        <v>1</v>
      </c>
      <c r="S3022" s="27" t="s">
        <v>43</v>
      </c>
      <c r="T3022" s="27" t="s">
        <v>421</v>
      </c>
      <c r="U3022" s="29">
        <v>3500</v>
      </c>
      <c r="V3022" s="27" t="s">
        <v>77</v>
      </c>
      <c r="W3022" s="27" t="s">
        <v>69</v>
      </c>
      <c r="X3022" s="26">
        <v>22</v>
      </c>
      <c r="Y3022" s="45" t="str">
        <f>HYPERLINK("","")</f>
      </c>
      <c r="Z3022" s="27"/>
      <c r="AS3022" s="1">
        <f>IF($A3022&lt;&gt;0,1,0)</f>
        <v>0</v>
      </c>
      <c r="AT3022" s="1">
        <f>$A3022*$B3022</f>
        <v>0</v>
      </c>
      <c r="AU3022" s="1">
        <f>$A3022*$O3022</f>
        <v>0</v>
      </c>
      <c r="AV3022" s="1">
        <f>IF($R3022=0,0,INT($A3022/$R3022))</f>
        <v>0</v>
      </c>
      <c r="AW3022" s="1">
        <f>$A3022-$AV3022*$R3022</f>
        <v>0</v>
      </c>
    </row>
    <row r="3023" ht="21.95" customHeight="1" outlineLevel="3" s="1" customFormat="1">
      <c r="A3023" s="25"/>
      <c r="B3023" s="29">
        <v>5990</v>
      </c>
      <c r="C3023" s="29">
        <v>5990</v>
      </c>
      <c r="D3023" s="27" t="s">
        <v>438</v>
      </c>
      <c r="E3023" s="27"/>
      <c r="F3023" s="27" t="s">
        <v>439</v>
      </c>
      <c r="G3023" s="27" t="s">
        <v>440</v>
      </c>
      <c r="H3023" s="27" t="s">
        <v>95</v>
      </c>
      <c r="I3023" s="27" t="s">
        <v>419</v>
      </c>
      <c r="J3023" s="26">
        <v>2023</v>
      </c>
      <c r="K3023" s="27" t="s">
        <v>438</v>
      </c>
      <c r="L3023" s="26">
        <v>9785206002553</v>
      </c>
      <c r="M3023" s="27" t="s">
        <v>441</v>
      </c>
      <c r="N3023" s="26">
        <v>205</v>
      </c>
      <c r="O3023" s="28">
        <v>0.37</v>
      </c>
      <c r="P3023" s="26">
        <v>146</v>
      </c>
      <c r="Q3023" s="26">
        <v>216</v>
      </c>
      <c r="R3023" s="26">
        <v>1</v>
      </c>
      <c r="S3023" s="27" t="s">
        <v>43</v>
      </c>
      <c r="T3023" s="27" t="s">
        <v>421</v>
      </c>
      <c r="U3023" s="29">
        <v>3500</v>
      </c>
      <c r="V3023" s="27" t="s">
        <v>77</v>
      </c>
      <c r="W3023" s="27" t="s">
        <v>91</v>
      </c>
      <c r="X3023" s="26">
        <v>22</v>
      </c>
      <c r="Y3023" s="45" t="str">
        <f>HYPERLINK("","")</f>
      </c>
      <c r="Z3023" s="27"/>
      <c r="AS3023" s="1">
        <f>IF($A3023&lt;&gt;0,1,0)</f>
        <v>0</v>
      </c>
      <c r="AT3023" s="1">
        <f>$A3023*$B3023</f>
        <v>0</v>
      </c>
      <c r="AU3023" s="1">
        <f>$A3023*$O3023</f>
        <v>0</v>
      </c>
      <c r="AV3023" s="1">
        <f>IF($R3023=0,0,INT($A3023/$R3023))</f>
        <v>0</v>
      </c>
      <c r="AW3023" s="1">
        <f>$A3023-$AV3023*$R3023</f>
        <v>0</v>
      </c>
    </row>
    <row r="3024" ht="24.95" customHeight="1" outlineLevel="3" s="1" customFormat="1">
      <c r="A3024" s="25"/>
      <c r="B3024" s="29">
        <v>4990</v>
      </c>
      <c r="C3024" s="29">
        <v>4990</v>
      </c>
      <c r="D3024" s="27" t="s">
        <v>9957</v>
      </c>
      <c r="E3024" s="27"/>
      <c r="F3024" s="27" t="s">
        <v>9958</v>
      </c>
      <c r="G3024" s="27" t="s">
        <v>9959</v>
      </c>
      <c r="H3024" s="27" t="s">
        <v>86</v>
      </c>
      <c r="I3024" s="27" t="s">
        <v>74</v>
      </c>
      <c r="J3024" s="26">
        <v>2019</v>
      </c>
      <c r="K3024" s="27" t="s">
        <v>9960</v>
      </c>
      <c r="L3024" s="26">
        <v>9785961416169</v>
      </c>
      <c r="M3024" s="27" t="s">
        <v>9961</v>
      </c>
      <c r="N3024" s="26">
        <v>330</v>
      </c>
      <c r="O3024" s="28">
        <v>0.56</v>
      </c>
      <c r="P3024" s="26">
        <v>146</v>
      </c>
      <c r="Q3024" s="26">
        <v>217</v>
      </c>
      <c r="R3024" s="26">
        <v>1</v>
      </c>
      <c r="S3024" s="27" t="s">
        <v>43</v>
      </c>
      <c r="T3024" s="27" t="s">
        <v>421</v>
      </c>
      <c r="U3024" s="29">
        <v>1000</v>
      </c>
      <c r="V3024" s="27" t="s">
        <v>77</v>
      </c>
      <c r="W3024" s="27" t="s">
        <v>184</v>
      </c>
      <c r="X3024" s="26">
        <v>22</v>
      </c>
      <c r="Y3024" s="45" t="str">
        <f>HYPERLINK("","")</f>
      </c>
      <c r="Z3024" s="27"/>
      <c r="AS3024" s="1">
        <f>IF($A3024&lt;&gt;0,1,0)</f>
        <v>0</v>
      </c>
      <c r="AT3024" s="1">
        <f>$A3024*$B3024</f>
        <v>0</v>
      </c>
      <c r="AU3024" s="1">
        <f>$A3024*$O3024</f>
        <v>0</v>
      </c>
      <c r="AV3024" s="1">
        <f>IF($R3024=0,0,INT($A3024/$R3024))</f>
        <v>0</v>
      </c>
      <c r="AW3024" s="1">
        <f>$A3024-$AV3024*$R3024</f>
        <v>0</v>
      </c>
    </row>
    <row r="3025" ht="21.95" customHeight="1" outlineLevel="3" s="1" customFormat="1">
      <c r="A3025" s="25"/>
      <c r="B3025" s="29">
        <v>5490</v>
      </c>
      <c r="C3025" s="29">
        <v>5490</v>
      </c>
      <c r="D3025" s="27" t="s">
        <v>9962</v>
      </c>
      <c r="E3025" s="27"/>
      <c r="F3025" s="27" t="s">
        <v>9963</v>
      </c>
      <c r="G3025" s="27" t="s">
        <v>9964</v>
      </c>
      <c r="H3025" s="27" t="s">
        <v>9965</v>
      </c>
      <c r="I3025" s="27" t="s">
        <v>74</v>
      </c>
      <c r="J3025" s="26">
        <v>2016</v>
      </c>
      <c r="K3025" s="27" t="s">
        <v>9966</v>
      </c>
      <c r="L3025" s="26">
        <v>9785000570883</v>
      </c>
      <c r="M3025" s="27" t="s">
        <v>9967</v>
      </c>
      <c r="N3025" s="26">
        <v>464</v>
      </c>
      <c r="O3025" s="28">
        <v>0.84</v>
      </c>
      <c r="P3025" s="26">
        <v>146</v>
      </c>
      <c r="Q3025" s="26">
        <v>217</v>
      </c>
      <c r="R3025" s="26">
        <v>1</v>
      </c>
      <c r="S3025" s="27" t="s">
        <v>43</v>
      </c>
      <c r="T3025" s="27" t="s">
        <v>421</v>
      </c>
      <c r="U3025" s="29">
        <v>2500</v>
      </c>
      <c r="V3025" s="27" t="s">
        <v>77</v>
      </c>
      <c r="W3025" s="27" t="s">
        <v>184</v>
      </c>
      <c r="X3025" s="26">
        <v>22</v>
      </c>
      <c r="Y3025" s="45" t="str">
        <f>HYPERLINK("","")</f>
      </c>
      <c r="Z3025" s="27"/>
      <c r="AS3025" s="1">
        <f>IF($A3025&lt;&gt;0,1,0)</f>
        <v>0</v>
      </c>
      <c r="AT3025" s="1">
        <f>$A3025*$B3025</f>
        <v>0</v>
      </c>
      <c r="AU3025" s="1">
        <f>$A3025*$O3025</f>
        <v>0</v>
      </c>
      <c r="AV3025" s="1">
        <f>IF($R3025=0,0,INT($A3025/$R3025))</f>
        <v>0</v>
      </c>
      <c r="AW3025" s="1">
        <f>$A3025-$AV3025*$R3025</f>
        <v>0</v>
      </c>
    </row>
    <row r="3026" ht="21.95" customHeight="1" outlineLevel="3" s="1" customFormat="1">
      <c r="A3026" s="25"/>
      <c r="B3026" s="29">
        <v>5490</v>
      </c>
      <c r="C3026" s="29">
        <v>5490</v>
      </c>
      <c r="D3026" s="27" t="s">
        <v>9968</v>
      </c>
      <c r="E3026" s="27"/>
      <c r="F3026" s="27" t="s">
        <v>9969</v>
      </c>
      <c r="G3026" s="27" t="s">
        <v>9970</v>
      </c>
      <c r="H3026" s="27" t="s">
        <v>9971</v>
      </c>
      <c r="I3026" s="27" t="s">
        <v>9972</v>
      </c>
      <c r="J3026" s="26">
        <v>2019</v>
      </c>
      <c r="K3026" s="27" t="s">
        <v>9973</v>
      </c>
      <c r="L3026" s="26">
        <v>9785399002699</v>
      </c>
      <c r="M3026" s="27" t="s">
        <v>9974</v>
      </c>
      <c r="N3026" s="26">
        <v>196</v>
      </c>
      <c r="O3026" s="28">
        <v>0.33</v>
      </c>
      <c r="P3026" s="26">
        <v>146</v>
      </c>
      <c r="Q3026" s="26">
        <v>217</v>
      </c>
      <c r="R3026" s="26">
        <v>1</v>
      </c>
      <c r="S3026" s="27" t="s">
        <v>43</v>
      </c>
      <c r="T3026" s="27" t="s">
        <v>421</v>
      </c>
      <c r="U3026" s="29">
        <v>1002</v>
      </c>
      <c r="V3026" s="27" t="s">
        <v>9975</v>
      </c>
      <c r="W3026" s="27" t="s">
        <v>184</v>
      </c>
      <c r="X3026" s="26">
        <v>22</v>
      </c>
      <c r="Y3026" s="45" t="str">
        <f>HYPERLINK("","")</f>
      </c>
      <c r="Z3026" s="27"/>
      <c r="AS3026" s="1">
        <f>IF($A3026&lt;&gt;0,1,0)</f>
        <v>0</v>
      </c>
      <c r="AT3026" s="1">
        <f>$A3026*$B3026</f>
        <v>0</v>
      </c>
      <c r="AU3026" s="1">
        <f>$A3026*$O3026</f>
        <v>0</v>
      </c>
      <c r="AV3026" s="1">
        <f>IF($R3026=0,0,INT($A3026/$R3026))</f>
        <v>0</v>
      </c>
      <c r="AW3026" s="1">
        <f>$A3026-$AV3026*$R3026</f>
        <v>0</v>
      </c>
    </row>
    <row r="3027" ht="21.95" customHeight="1" outlineLevel="3" s="1" customFormat="1">
      <c r="A3027" s="25"/>
      <c r="B3027" s="29">
        <v>4990</v>
      </c>
      <c r="C3027" s="29">
        <v>4990</v>
      </c>
      <c r="D3027" s="27" t="s">
        <v>9976</v>
      </c>
      <c r="E3027" s="27"/>
      <c r="F3027" s="27" t="s">
        <v>1606</v>
      </c>
      <c r="G3027" s="27" t="s">
        <v>9977</v>
      </c>
      <c r="H3027" s="27" t="s">
        <v>86</v>
      </c>
      <c r="I3027" s="27" t="s">
        <v>74</v>
      </c>
      <c r="J3027" s="26">
        <v>2019</v>
      </c>
      <c r="K3027" s="27" t="s">
        <v>9978</v>
      </c>
      <c r="L3027" s="30">
        <v>9785961473124</v>
      </c>
      <c r="M3027" s="27" t="s">
        <v>9979</v>
      </c>
      <c r="N3027" s="26">
        <v>284</v>
      </c>
      <c r="O3027" s="28">
        <v>0.48</v>
      </c>
      <c r="P3027" s="26">
        <v>146</v>
      </c>
      <c r="Q3027" s="26">
        <v>217</v>
      </c>
      <c r="R3027" s="26">
        <v>1</v>
      </c>
      <c r="S3027" s="27" t="s">
        <v>43</v>
      </c>
      <c r="T3027" s="27" t="s">
        <v>421</v>
      </c>
      <c r="U3027" s="29">
        <v>1000</v>
      </c>
      <c r="V3027" s="27" t="s">
        <v>9975</v>
      </c>
      <c r="W3027" s="27" t="s">
        <v>184</v>
      </c>
      <c r="X3027" s="26">
        <v>22</v>
      </c>
      <c r="Y3027" s="45" t="str">
        <f>HYPERLINK("","")</f>
      </c>
      <c r="Z3027" s="27"/>
      <c r="AS3027" s="1">
        <f>IF($A3027&lt;&gt;0,1,0)</f>
        <v>0</v>
      </c>
      <c r="AT3027" s="1">
        <f>$A3027*$B3027</f>
        <v>0</v>
      </c>
      <c r="AU3027" s="1">
        <f>$A3027*$O3027</f>
        <v>0</v>
      </c>
      <c r="AV3027" s="1">
        <f>IF($R3027=0,0,INT($A3027/$R3027))</f>
        <v>0</v>
      </c>
      <c r="AW3027" s="1">
        <f>$A3027-$AV3027*$R3027</f>
        <v>0</v>
      </c>
    </row>
    <row r="3028" ht="24.95" customHeight="1" outlineLevel="3" s="1" customFormat="1">
      <c r="A3028" s="25"/>
      <c r="B3028" s="29">
        <v>3990</v>
      </c>
      <c r="C3028" s="29">
        <v>3990</v>
      </c>
      <c r="D3028" s="27" t="s">
        <v>9980</v>
      </c>
      <c r="E3028" s="27"/>
      <c r="F3028" s="27" t="s">
        <v>9981</v>
      </c>
      <c r="G3028" s="27" t="s">
        <v>9982</v>
      </c>
      <c r="H3028" s="27" t="s">
        <v>86</v>
      </c>
      <c r="I3028" s="27" t="s">
        <v>74</v>
      </c>
      <c r="J3028" s="26">
        <v>2018</v>
      </c>
      <c r="K3028" s="27" t="s">
        <v>9983</v>
      </c>
      <c r="L3028" s="26">
        <v>9785961418897</v>
      </c>
      <c r="M3028" s="27" t="s">
        <v>9984</v>
      </c>
      <c r="N3028" s="26">
        <v>460</v>
      </c>
      <c r="O3028" s="28">
        <v>0.78</v>
      </c>
      <c r="P3028" s="26">
        <v>146</v>
      </c>
      <c r="Q3028" s="26">
        <v>217</v>
      </c>
      <c r="R3028" s="26">
        <v>1</v>
      </c>
      <c r="S3028" s="27" t="s">
        <v>43</v>
      </c>
      <c r="T3028" s="27" t="s">
        <v>421</v>
      </c>
      <c r="U3028" s="29">
        <v>1000</v>
      </c>
      <c r="V3028" s="27" t="s">
        <v>77</v>
      </c>
      <c r="W3028" s="27" t="s">
        <v>184</v>
      </c>
      <c r="X3028" s="26">
        <v>22</v>
      </c>
      <c r="Y3028" s="45" t="str">
        <f>HYPERLINK("","")</f>
      </c>
      <c r="Z3028" s="27"/>
      <c r="AS3028" s="1">
        <f>IF($A3028&lt;&gt;0,1,0)</f>
        <v>0</v>
      </c>
      <c r="AT3028" s="1">
        <f>$A3028*$B3028</f>
        <v>0</v>
      </c>
      <c r="AU3028" s="1">
        <f>$A3028*$O3028</f>
        <v>0</v>
      </c>
      <c r="AV3028" s="1">
        <f>IF($R3028=0,0,INT($A3028/$R3028))</f>
        <v>0</v>
      </c>
      <c r="AW3028" s="1">
        <f>$A3028-$AV3028*$R3028</f>
        <v>0</v>
      </c>
    </row>
    <row r="3029" ht="21.95" customHeight="1" outlineLevel="3" s="1" customFormat="1">
      <c r="A3029" s="25"/>
      <c r="B3029" s="29">
        <v>3990</v>
      </c>
      <c r="C3029" s="29">
        <v>3990</v>
      </c>
      <c r="D3029" s="27" t="s">
        <v>9985</v>
      </c>
      <c r="E3029" s="27"/>
      <c r="F3029" s="27" t="s">
        <v>9986</v>
      </c>
      <c r="G3029" s="27" t="s">
        <v>9987</v>
      </c>
      <c r="H3029" s="27" t="s">
        <v>86</v>
      </c>
      <c r="I3029" s="27" t="s">
        <v>1696</v>
      </c>
      <c r="J3029" s="26">
        <v>2019</v>
      </c>
      <c r="K3029" s="27" t="s">
        <v>9988</v>
      </c>
      <c r="L3029" s="26">
        <v>9785961417838</v>
      </c>
      <c r="M3029" s="27" t="s">
        <v>9989</v>
      </c>
      <c r="N3029" s="26">
        <v>610</v>
      </c>
      <c r="O3029" s="28">
        <v>0.9</v>
      </c>
      <c r="P3029" s="26">
        <v>146</v>
      </c>
      <c r="Q3029" s="26">
        <v>217</v>
      </c>
      <c r="R3029" s="26">
        <v>1</v>
      </c>
      <c r="S3029" s="27" t="s">
        <v>43</v>
      </c>
      <c r="T3029" s="27" t="s">
        <v>421</v>
      </c>
      <c r="U3029" s="29">
        <v>1000</v>
      </c>
      <c r="V3029" s="27" t="s">
        <v>77</v>
      </c>
      <c r="W3029" s="27" t="s">
        <v>184</v>
      </c>
      <c r="X3029" s="26">
        <v>22</v>
      </c>
      <c r="Y3029" s="45" t="str">
        <f>HYPERLINK("","")</f>
      </c>
      <c r="Z3029" s="27"/>
      <c r="AS3029" s="1">
        <f>IF($A3029&lt;&gt;0,1,0)</f>
        <v>0</v>
      </c>
      <c r="AT3029" s="1">
        <f>$A3029*$B3029</f>
        <v>0</v>
      </c>
      <c r="AU3029" s="1">
        <f>$A3029*$O3029</f>
        <v>0</v>
      </c>
      <c r="AV3029" s="1">
        <f>IF($R3029=0,0,INT($A3029/$R3029))</f>
        <v>0</v>
      </c>
      <c r="AW3029" s="1">
        <f>$A3029-$AV3029*$R3029</f>
        <v>0</v>
      </c>
    </row>
    <row r="3030" ht="21.95" customHeight="1" outlineLevel="3" s="1" customFormat="1">
      <c r="A3030" s="25"/>
      <c r="B3030" s="29">
        <v>3990</v>
      </c>
      <c r="C3030" s="29">
        <v>3990</v>
      </c>
      <c r="D3030" s="27" t="s">
        <v>9990</v>
      </c>
      <c r="E3030" s="27"/>
      <c r="F3030" s="27" t="s">
        <v>4965</v>
      </c>
      <c r="G3030" s="27" t="s">
        <v>9991</v>
      </c>
      <c r="H3030" s="27" t="s">
        <v>86</v>
      </c>
      <c r="I3030" s="27" t="s">
        <v>74</v>
      </c>
      <c r="J3030" s="26">
        <v>2018</v>
      </c>
      <c r="K3030" s="27" t="s">
        <v>9992</v>
      </c>
      <c r="L3030" s="26">
        <v>9785961420593</v>
      </c>
      <c r="M3030" s="27" t="s">
        <v>9993</v>
      </c>
      <c r="N3030" s="26">
        <v>632</v>
      </c>
      <c r="O3030" s="28">
        <v>1.1</v>
      </c>
      <c r="P3030" s="26">
        <v>146</v>
      </c>
      <c r="Q3030" s="26">
        <v>217</v>
      </c>
      <c r="R3030" s="26">
        <v>1</v>
      </c>
      <c r="S3030" s="27" t="s">
        <v>43</v>
      </c>
      <c r="T3030" s="27" t="s">
        <v>421</v>
      </c>
      <c r="U3030" s="29">
        <v>1000</v>
      </c>
      <c r="V3030" s="27" t="s">
        <v>77</v>
      </c>
      <c r="W3030" s="27" t="s">
        <v>184</v>
      </c>
      <c r="X3030" s="26">
        <v>22</v>
      </c>
      <c r="Y3030" s="45" t="str">
        <f>HYPERLINK("","")</f>
      </c>
      <c r="Z3030" s="27"/>
      <c r="AS3030" s="1">
        <f>IF($A3030&lt;&gt;0,1,0)</f>
        <v>0</v>
      </c>
      <c r="AT3030" s="1">
        <f>$A3030*$B3030</f>
        <v>0</v>
      </c>
      <c r="AU3030" s="1">
        <f>$A3030*$O3030</f>
        <v>0</v>
      </c>
      <c r="AV3030" s="1">
        <f>IF($R3030=0,0,INT($A3030/$R3030))</f>
        <v>0</v>
      </c>
      <c r="AW3030" s="1">
        <f>$A3030-$AV3030*$R3030</f>
        <v>0</v>
      </c>
    </row>
    <row r="3031" ht="24.95" customHeight="1" outlineLevel="3" s="1" customFormat="1">
      <c r="A3031" s="25"/>
      <c r="B3031" s="29">
        <v>4990</v>
      </c>
      <c r="C3031" s="29">
        <v>4990</v>
      </c>
      <c r="D3031" s="27" t="s">
        <v>9994</v>
      </c>
      <c r="E3031" s="27"/>
      <c r="F3031" s="27" t="s">
        <v>9995</v>
      </c>
      <c r="G3031" s="27" t="s">
        <v>9996</v>
      </c>
      <c r="H3031" s="27" t="s">
        <v>86</v>
      </c>
      <c r="I3031" s="27" t="s">
        <v>74</v>
      </c>
      <c r="J3031" s="26">
        <v>2013</v>
      </c>
      <c r="K3031" s="27" t="s">
        <v>9997</v>
      </c>
      <c r="L3031" s="26">
        <v>9785961445848</v>
      </c>
      <c r="M3031" s="27" t="s">
        <v>9998</v>
      </c>
      <c r="N3031" s="26">
        <v>250</v>
      </c>
      <c r="O3031" s="28">
        <v>0.43</v>
      </c>
      <c r="P3031" s="26">
        <v>146</v>
      </c>
      <c r="Q3031" s="26">
        <v>217</v>
      </c>
      <c r="R3031" s="26">
        <v>1</v>
      </c>
      <c r="S3031" s="27" t="s">
        <v>43</v>
      </c>
      <c r="T3031" s="27" t="s">
        <v>421</v>
      </c>
      <c r="U3031" s="29">
        <v>1000</v>
      </c>
      <c r="V3031" s="27" t="s">
        <v>77</v>
      </c>
      <c r="W3031" s="27" t="s">
        <v>184</v>
      </c>
      <c r="X3031" s="26">
        <v>22</v>
      </c>
      <c r="Y3031" s="45" t="str">
        <f>HYPERLINK("","")</f>
      </c>
      <c r="Z3031" s="27"/>
      <c r="AS3031" s="1">
        <f>IF($A3031&lt;&gt;0,1,0)</f>
        <v>0</v>
      </c>
      <c r="AT3031" s="1">
        <f>$A3031*$B3031</f>
        <v>0</v>
      </c>
      <c r="AU3031" s="1">
        <f>$A3031*$O3031</f>
        <v>0</v>
      </c>
      <c r="AV3031" s="1">
        <f>IF($R3031=0,0,INT($A3031/$R3031))</f>
        <v>0</v>
      </c>
      <c r="AW3031" s="1">
        <f>$A3031-$AV3031*$R3031</f>
        <v>0</v>
      </c>
    </row>
    <row r="3032" ht="21.95" customHeight="1" outlineLevel="3" s="1" customFormat="1">
      <c r="A3032" s="25"/>
      <c r="B3032" s="29">
        <v>3990</v>
      </c>
      <c r="C3032" s="29">
        <v>3990</v>
      </c>
      <c r="D3032" s="27" t="s">
        <v>9999</v>
      </c>
      <c r="E3032" s="27"/>
      <c r="F3032" s="27" t="s">
        <v>10000</v>
      </c>
      <c r="G3032" s="27" t="s">
        <v>10001</v>
      </c>
      <c r="H3032" s="27" t="s">
        <v>86</v>
      </c>
      <c r="I3032" s="27" t="s">
        <v>74</v>
      </c>
      <c r="J3032" s="26">
        <v>2019</v>
      </c>
      <c r="K3032" s="27" t="s">
        <v>10002</v>
      </c>
      <c r="L3032" s="26">
        <v>9785961418729</v>
      </c>
      <c r="M3032" s="27" t="s">
        <v>10003</v>
      </c>
      <c r="N3032" s="26">
        <v>288</v>
      </c>
      <c r="O3032" s="28">
        <v>0.49</v>
      </c>
      <c r="P3032" s="26">
        <v>146</v>
      </c>
      <c r="Q3032" s="26">
        <v>217</v>
      </c>
      <c r="R3032" s="26">
        <v>1</v>
      </c>
      <c r="S3032" s="27" t="s">
        <v>43</v>
      </c>
      <c r="T3032" s="27" t="s">
        <v>421</v>
      </c>
      <c r="U3032" s="29">
        <v>1000</v>
      </c>
      <c r="V3032" s="27" t="s">
        <v>77</v>
      </c>
      <c r="W3032" s="27" t="s">
        <v>91</v>
      </c>
      <c r="X3032" s="26">
        <v>22</v>
      </c>
      <c r="Y3032" s="45" t="str">
        <f>HYPERLINK("","")</f>
      </c>
      <c r="Z3032" s="27"/>
      <c r="AS3032" s="1">
        <f>IF($A3032&lt;&gt;0,1,0)</f>
        <v>0</v>
      </c>
      <c r="AT3032" s="1">
        <f>$A3032*$B3032</f>
        <v>0</v>
      </c>
      <c r="AU3032" s="1">
        <f>$A3032*$O3032</f>
        <v>0</v>
      </c>
      <c r="AV3032" s="1">
        <f>IF($R3032=0,0,INT($A3032/$R3032))</f>
        <v>0</v>
      </c>
      <c r="AW3032" s="1">
        <f>$A3032-$AV3032*$R3032</f>
        <v>0</v>
      </c>
    </row>
    <row r="3033" ht="24.95" customHeight="1" outlineLevel="3" s="1" customFormat="1">
      <c r="A3033" s="15"/>
      <c r="B3033" s="17">
        <v>6990</v>
      </c>
      <c r="C3033" s="17">
        <v>6990</v>
      </c>
      <c r="D3033" s="18" t="s">
        <v>10004</v>
      </c>
      <c r="E3033" s="18"/>
      <c r="F3033" s="18" t="s">
        <v>423</v>
      </c>
      <c r="G3033" s="18" t="s">
        <v>10005</v>
      </c>
      <c r="H3033" s="18" t="s">
        <v>86</v>
      </c>
      <c r="I3033" s="18" t="s">
        <v>74</v>
      </c>
      <c r="J3033" s="16">
        <v>2012</v>
      </c>
      <c r="K3033" s="18" t="s">
        <v>10006</v>
      </c>
      <c r="L3033" s="16">
        <v>9785961419085</v>
      </c>
      <c r="M3033" s="18" t="s">
        <v>10007</v>
      </c>
      <c r="N3033" s="16">
        <v>288</v>
      </c>
      <c r="O3033" s="19">
        <v>0.46</v>
      </c>
      <c r="P3033" s="16">
        <v>146</v>
      </c>
      <c r="Q3033" s="16">
        <v>217</v>
      </c>
      <c r="R3033" s="16">
        <v>1</v>
      </c>
      <c r="S3033" s="18" t="s">
        <v>43</v>
      </c>
      <c r="T3033" s="18" t="s">
        <v>421</v>
      </c>
      <c r="U3033" s="17">
        <v>1050</v>
      </c>
      <c r="V3033" s="18" t="s">
        <v>77</v>
      </c>
      <c r="W3033" s="18" t="s">
        <v>184</v>
      </c>
      <c r="X3033" s="16">
        <v>22</v>
      </c>
      <c r="Y3033" s="43" t="str">
        <f>HYPERLINK("","")</f>
      </c>
      <c r="Z3033" s="18"/>
      <c r="AS3033" s="1">
        <f>IF($A3033&lt;&gt;0,1,0)</f>
        <v>0</v>
      </c>
      <c r="AT3033" s="1">
        <f>$A3033*$B3033</f>
        <v>0</v>
      </c>
      <c r="AU3033" s="1">
        <f>$A3033*$O3033</f>
        <v>0</v>
      </c>
      <c r="AV3033" s="1">
        <f>IF($R3033=0,0,INT($A3033/$R3033))</f>
        <v>0</v>
      </c>
      <c r="AW3033" s="1">
        <f>$A3033-$AV3033*$R3033</f>
        <v>0</v>
      </c>
    </row>
    <row r="3034" ht="21.95" customHeight="1" outlineLevel="3" s="1" customFormat="1">
      <c r="A3034" s="25"/>
      <c r="B3034" s="29">
        <v>5990</v>
      </c>
      <c r="C3034" s="29">
        <v>5990</v>
      </c>
      <c r="D3034" s="27" t="s">
        <v>10008</v>
      </c>
      <c r="E3034" s="27"/>
      <c r="F3034" s="27" t="s">
        <v>1877</v>
      </c>
      <c r="G3034" s="27" t="s">
        <v>10009</v>
      </c>
      <c r="H3034" s="27" t="s">
        <v>86</v>
      </c>
      <c r="I3034" s="27" t="s">
        <v>74</v>
      </c>
      <c r="J3034" s="26">
        <v>2019</v>
      </c>
      <c r="K3034" s="27" t="s">
        <v>10010</v>
      </c>
      <c r="L3034" s="26">
        <v>9785961418866</v>
      </c>
      <c r="M3034" s="27" t="s">
        <v>10011</v>
      </c>
      <c r="N3034" s="26">
        <v>280</v>
      </c>
      <c r="O3034" s="28">
        <v>0.48</v>
      </c>
      <c r="P3034" s="26">
        <v>146</v>
      </c>
      <c r="Q3034" s="26">
        <v>217</v>
      </c>
      <c r="R3034" s="26">
        <v>1</v>
      </c>
      <c r="S3034" s="27" t="s">
        <v>43</v>
      </c>
      <c r="T3034" s="27" t="s">
        <v>421</v>
      </c>
      <c r="U3034" s="29">
        <v>1000</v>
      </c>
      <c r="V3034" s="27" t="s">
        <v>77</v>
      </c>
      <c r="W3034" s="27" t="s">
        <v>184</v>
      </c>
      <c r="X3034" s="26">
        <v>22</v>
      </c>
      <c r="Y3034" s="45" t="str">
        <f>HYPERLINK("","")</f>
      </c>
      <c r="Z3034" s="27"/>
      <c r="AS3034" s="1">
        <f>IF($A3034&lt;&gt;0,1,0)</f>
        <v>0</v>
      </c>
      <c r="AT3034" s="1">
        <f>$A3034*$B3034</f>
        <v>0</v>
      </c>
      <c r="AU3034" s="1">
        <f>$A3034*$O3034</f>
        <v>0</v>
      </c>
      <c r="AV3034" s="1">
        <f>IF($R3034=0,0,INT($A3034/$R3034))</f>
        <v>0</v>
      </c>
      <c r="AW3034" s="1">
        <f>$A3034-$AV3034*$R3034</f>
        <v>0</v>
      </c>
    </row>
    <row r="3035" ht="21.95" customHeight="1" outlineLevel="3" s="1" customFormat="1">
      <c r="A3035" s="25"/>
      <c r="B3035" s="29">
        <v>6490</v>
      </c>
      <c r="C3035" s="29">
        <v>6490</v>
      </c>
      <c r="D3035" s="27" t="s">
        <v>10012</v>
      </c>
      <c r="E3035" s="27"/>
      <c r="F3035" s="27" t="s">
        <v>10013</v>
      </c>
      <c r="G3035" s="27" t="s">
        <v>10014</v>
      </c>
      <c r="H3035" s="27" t="s">
        <v>9949</v>
      </c>
      <c r="I3035" s="27" t="s">
        <v>74</v>
      </c>
      <c r="J3035" s="26">
        <v>2019</v>
      </c>
      <c r="K3035" s="27" t="s">
        <v>10015</v>
      </c>
      <c r="L3035" s="26">
        <v>9785969304765</v>
      </c>
      <c r="M3035" s="27" t="s">
        <v>10016</v>
      </c>
      <c r="N3035" s="26">
        <v>780</v>
      </c>
      <c r="O3035" s="28">
        <v>1.32</v>
      </c>
      <c r="P3035" s="26">
        <v>146</v>
      </c>
      <c r="Q3035" s="26">
        <v>217</v>
      </c>
      <c r="R3035" s="26">
        <v>1</v>
      </c>
      <c r="S3035" s="27" t="s">
        <v>43</v>
      </c>
      <c r="T3035" s="27" t="s">
        <v>421</v>
      </c>
      <c r="U3035" s="29">
        <v>4000</v>
      </c>
      <c r="V3035" s="27" t="s">
        <v>77</v>
      </c>
      <c r="W3035" s="27" t="s">
        <v>184</v>
      </c>
      <c r="X3035" s="26">
        <v>22</v>
      </c>
      <c r="Y3035" s="45" t="str">
        <f>HYPERLINK("","")</f>
      </c>
      <c r="Z3035" s="27"/>
      <c r="AS3035" s="1">
        <f>IF($A3035&lt;&gt;0,1,0)</f>
        <v>0</v>
      </c>
      <c r="AT3035" s="1">
        <f>$A3035*$B3035</f>
        <v>0</v>
      </c>
      <c r="AU3035" s="1">
        <f>$A3035*$O3035</f>
        <v>0</v>
      </c>
      <c r="AV3035" s="1">
        <f>IF($R3035=0,0,INT($A3035/$R3035))</f>
        <v>0</v>
      </c>
      <c r="AW3035" s="1">
        <f>$A3035-$AV3035*$R3035</f>
        <v>0</v>
      </c>
    </row>
    <row r="3036" ht="21.95" customHeight="1" outlineLevel="3" s="1" customFormat="1">
      <c r="A3036" s="15"/>
      <c r="B3036" s="17">
        <v>5490</v>
      </c>
      <c r="C3036" s="17">
        <v>5490</v>
      </c>
      <c r="D3036" s="18" t="s">
        <v>10017</v>
      </c>
      <c r="E3036" s="18"/>
      <c r="F3036" s="18" t="s">
        <v>10018</v>
      </c>
      <c r="G3036" s="18" t="s">
        <v>10019</v>
      </c>
      <c r="H3036" s="18" t="s">
        <v>86</v>
      </c>
      <c r="I3036" s="18"/>
      <c r="J3036" s="16">
        <v>2019</v>
      </c>
      <c r="K3036" s="18" t="s">
        <v>10020</v>
      </c>
      <c r="L3036" s="16">
        <v>9785961422160</v>
      </c>
      <c r="M3036" s="18" t="s">
        <v>10021</v>
      </c>
      <c r="N3036" s="16">
        <v>286</v>
      </c>
      <c r="O3036" s="19">
        <v>0.49</v>
      </c>
      <c r="P3036" s="16">
        <v>146</v>
      </c>
      <c r="Q3036" s="16">
        <v>217</v>
      </c>
      <c r="R3036" s="16">
        <v>1</v>
      </c>
      <c r="S3036" s="18" t="s">
        <v>43</v>
      </c>
      <c r="T3036" s="18" t="s">
        <v>421</v>
      </c>
      <c r="U3036" s="17">
        <v>1000</v>
      </c>
      <c r="V3036" s="18" t="s">
        <v>77</v>
      </c>
      <c r="W3036" s="18" t="s">
        <v>184</v>
      </c>
      <c r="X3036" s="16">
        <v>22</v>
      </c>
      <c r="Y3036" s="43" t="str">
        <f>HYPERLINK("","")</f>
      </c>
      <c r="Z3036" s="18"/>
      <c r="AS3036" s="1">
        <f>IF($A3036&lt;&gt;0,1,0)</f>
        <v>0</v>
      </c>
      <c r="AT3036" s="1">
        <f>$A3036*$B3036</f>
        <v>0</v>
      </c>
      <c r="AU3036" s="1">
        <f>$A3036*$O3036</f>
        <v>0</v>
      </c>
      <c r="AV3036" s="1">
        <f>IF($R3036=0,0,INT($A3036/$R3036))</f>
        <v>0</v>
      </c>
      <c r="AW3036" s="1">
        <f>$A3036-$AV3036*$R3036</f>
        <v>0</v>
      </c>
    </row>
    <row r="3037" ht="21.95" customHeight="1" outlineLevel="3" s="1" customFormat="1">
      <c r="A3037" s="25"/>
      <c r="B3037" s="29">
        <v>5490</v>
      </c>
      <c r="C3037" s="29">
        <v>5490</v>
      </c>
      <c r="D3037" s="27" t="s">
        <v>10022</v>
      </c>
      <c r="E3037" s="27"/>
      <c r="F3037" s="27" t="s">
        <v>964</v>
      </c>
      <c r="G3037" s="27" t="s">
        <v>10023</v>
      </c>
      <c r="H3037" s="27" t="s">
        <v>86</v>
      </c>
      <c r="I3037" s="27" t="s">
        <v>74</v>
      </c>
      <c r="J3037" s="26">
        <v>2018</v>
      </c>
      <c r="K3037" s="27" t="s">
        <v>10024</v>
      </c>
      <c r="L3037" s="30">
        <v>9785961473117</v>
      </c>
      <c r="M3037" s="27" t="s">
        <v>10025</v>
      </c>
      <c r="N3037" s="26">
        <v>271</v>
      </c>
      <c r="O3037" s="28">
        <v>0.46</v>
      </c>
      <c r="P3037" s="26">
        <v>146</v>
      </c>
      <c r="Q3037" s="26">
        <v>217</v>
      </c>
      <c r="R3037" s="26">
        <v>1</v>
      </c>
      <c r="S3037" s="27" t="s">
        <v>43</v>
      </c>
      <c r="T3037" s="27" t="s">
        <v>421</v>
      </c>
      <c r="U3037" s="29">
        <v>1000</v>
      </c>
      <c r="V3037" s="27" t="s">
        <v>77</v>
      </c>
      <c r="W3037" s="27" t="s">
        <v>184</v>
      </c>
      <c r="X3037" s="26">
        <v>22</v>
      </c>
      <c r="Y3037" s="45" t="str">
        <f>HYPERLINK("","")</f>
      </c>
      <c r="Z3037" s="27"/>
      <c r="AS3037" s="1">
        <f>IF($A3037&lt;&gt;0,1,0)</f>
        <v>0</v>
      </c>
      <c r="AT3037" s="1">
        <f>$A3037*$B3037</f>
        <v>0</v>
      </c>
      <c r="AU3037" s="1">
        <f>$A3037*$O3037</f>
        <v>0</v>
      </c>
      <c r="AV3037" s="1">
        <f>IF($R3037=0,0,INT($A3037/$R3037))</f>
        <v>0</v>
      </c>
      <c r="AW3037" s="1">
        <f>$A3037-$AV3037*$R3037</f>
        <v>0</v>
      </c>
    </row>
    <row r="3038" ht="21.95" customHeight="1" outlineLevel="3" s="1" customFormat="1">
      <c r="A3038" s="25"/>
      <c r="B3038" s="29">
        <v>4490</v>
      </c>
      <c r="C3038" s="29">
        <v>4490</v>
      </c>
      <c r="D3038" s="27" t="s">
        <v>10026</v>
      </c>
      <c r="E3038" s="27"/>
      <c r="F3038" s="27" t="s">
        <v>1649</v>
      </c>
      <c r="G3038" s="27" t="s">
        <v>10027</v>
      </c>
      <c r="H3038" s="27" t="s">
        <v>9965</v>
      </c>
      <c r="I3038" s="27" t="s">
        <v>74</v>
      </c>
      <c r="J3038" s="26">
        <v>2019</v>
      </c>
      <c r="K3038" s="27" t="s">
        <v>10028</v>
      </c>
      <c r="L3038" s="26">
        <v>9785001461111</v>
      </c>
      <c r="M3038" s="27" t="s">
        <v>10029</v>
      </c>
      <c r="N3038" s="26">
        <v>240</v>
      </c>
      <c r="O3038" s="28">
        <v>0.41</v>
      </c>
      <c r="P3038" s="26">
        <v>146</v>
      </c>
      <c r="Q3038" s="26">
        <v>217</v>
      </c>
      <c r="R3038" s="26">
        <v>1</v>
      </c>
      <c r="S3038" s="27" t="s">
        <v>43</v>
      </c>
      <c r="T3038" s="27" t="s">
        <v>421</v>
      </c>
      <c r="U3038" s="29">
        <v>1000</v>
      </c>
      <c r="V3038" s="27" t="s">
        <v>9975</v>
      </c>
      <c r="W3038" s="27" t="s">
        <v>184</v>
      </c>
      <c r="X3038" s="26">
        <v>22</v>
      </c>
      <c r="Y3038" s="45" t="str">
        <f>HYPERLINK("","")</f>
      </c>
      <c r="Z3038" s="27"/>
      <c r="AS3038" s="1">
        <f>IF($A3038&lt;&gt;0,1,0)</f>
        <v>0</v>
      </c>
      <c r="AT3038" s="1">
        <f>$A3038*$B3038</f>
        <v>0</v>
      </c>
      <c r="AU3038" s="1">
        <f>$A3038*$O3038</f>
        <v>0</v>
      </c>
      <c r="AV3038" s="1">
        <f>IF($R3038=0,0,INT($A3038/$R3038))</f>
        <v>0</v>
      </c>
      <c r="AW3038" s="1">
        <f>$A3038-$AV3038*$R3038</f>
        <v>0</v>
      </c>
    </row>
    <row r="3039" ht="21.95" customHeight="1" outlineLevel="3" s="1" customFormat="1">
      <c r="A3039" s="25"/>
      <c r="B3039" s="29">
        <v>5990</v>
      </c>
      <c r="C3039" s="29">
        <v>5990</v>
      </c>
      <c r="D3039" s="27" t="s">
        <v>10030</v>
      </c>
      <c r="E3039" s="27"/>
      <c r="F3039" s="27" t="s">
        <v>10031</v>
      </c>
      <c r="G3039" s="27" t="s">
        <v>10032</v>
      </c>
      <c r="H3039" s="27" t="s">
        <v>86</v>
      </c>
      <c r="I3039" s="27" t="s">
        <v>74</v>
      </c>
      <c r="J3039" s="26">
        <v>2013</v>
      </c>
      <c r="K3039" s="27" t="s">
        <v>10033</v>
      </c>
      <c r="L3039" s="26">
        <v>9785961443905</v>
      </c>
      <c r="M3039" s="27" t="s">
        <v>10034</v>
      </c>
      <c r="N3039" s="26">
        <v>384</v>
      </c>
      <c r="O3039" s="28">
        <v>0.6</v>
      </c>
      <c r="P3039" s="26">
        <v>146</v>
      </c>
      <c r="Q3039" s="26">
        <v>217</v>
      </c>
      <c r="R3039" s="26">
        <v>1</v>
      </c>
      <c r="S3039" s="27" t="s">
        <v>43</v>
      </c>
      <c r="T3039" s="27" t="s">
        <v>421</v>
      </c>
      <c r="U3039" s="29">
        <v>6500</v>
      </c>
      <c r="V3039" s="27" t="s">
        <v>77</v>
      </c>
      <c r="W3039" s="27" t="s">
        <v>184</v>
      </c>
      <c r="X3039" s="26">
        <v>22</v>
      </c>
      <c r="Y3039" s="45" t="str">
        <f>HYPERLINK("","")</f>
      </c>
      <c r="Z3039" s="27"/>
      <c r="AS3039" s="1">
        <f>IF($A3039&lt;&gt;0,1,0)</f>
        <v>0</v>
      </c>
      <c r="AT3039" s="1">
        <f>$A3039*$B3039</f>
        <v>0</v>
      </c>
      <c r="AU3039" s="1">
        <f>$A3039*$O3039</f>
        <v>0</v>
      </c>
      <c r="AV3039" s="1">
        <f>IF($R3039=0,0,INT($A3039/$R3039))</f>
        <v>0</v>
      </c>
      <c r="AW3039" s="1">
        <f>$A3039-$AV3039*$R3039</f>
        <v>0</v>
      </c>
    </row>
    <row r="3040" ht="21.95" customHeight="1" outlineLevel="3" s="1" customFormat="1">
      <c r="A3040" s="25"/>
      <c r="B3040" s="29">
        <v>5990</v>
      </c>
      <c r="C3040" s="29">
        <v>5990</v>
      </c>
      <c r="D3040" s="27" t="s">
        <v>10035</v>
      </c>
      <c r="E3040" s="27"/>
      <c r="F3040" s="27" t="s">
        <v>817</v>
      </c>
      <c r="G3040" s="27" t="s">
        <v>10036</v>
      </c>
      <c r="H3040" s="27" t="s">
        <v>86</v>
      </c>
      <c r="I3040" s="27" t="s">
        <v>74</v>
      </c>
      <c r="J3040" s="26">
        <v>2019</v>
      </c>
      <c r="K3040" s="27" t="s">
        <v>10037</v>
      </c>
      <c r="L3040" s="26">
        <v>9785961472950</v>
      </c>
      <c r="M3040" s="27" t="s">
        <v>10038</v>
      </c>
      <c r="N3040" s="26">
        <v>424</v>
      </c>
      <c r="O3040" s="28">
        <v>0.6</v>
      </c>
      <c r="P3040" s="26">
        <v>146</v>
      </c>
      <c r="Q3040" s="26">
        <v>217</v>
      </c>
      <c r="R3040" s="26">
        <v>1</v>
      </c>
      <c r="S3040" s="27" t="s">
        <v>43</v>
      </c>
      <c r="T3040" s="27" t="s">
        <v>421</v>
      </c>
      <c r="U3040" s="29">
        <v>1000</v>
      </c>
      <c r="V3040" s="27" t="s">
        <v>77</v>
      </c>
      <c r="W3040" s="27" t="s">
        <v>184</v>
      </c>
      <c r="X3040" s="26">
        <v>22</v>
      </c>
      <c r="Y3040" s="45" t="str">
        <f>HYPERLINK("","")</f>
      </c>
      <c r="Z3040" s="27"/>
      <c r="AS3040" s="1">
        <f>IF($A3040&lt;&gt;0,1,0)</f>
        <v>0</v>
      </c>
      <c r="AT3040" s="1">
        <f>$A3040*$B3040</f>
        <v>0</v>
      </c>
      <c r="AU3040" s="1">
        <f>$A3040*$O3040</f>
        <v>0</v>
      </c>
      <c r="AV3040" s="1">
        <f>IF($R3040=0,0,INT($A3040/$R3040))</f>
        <v>0</v>
      </c>
      <c r="AW3040" s="1">
        <f>$A3040-$AV3040*$R3040</f>
        <v>0</v>
      </c>
    </row>
    <row r="3041" ht="24.95" customHeight="1" outlineLevel="3" s="1" customFormat="1">
      <c r="A3041" s="25"/>
      <c r="B3041" s="29">
        <v>4990</v>
      </c>
      <c r="C3041" s="29">
        <v>4990</v>
      </c>
      <c r="D3041" s="27" t="s">
        <v>10039</v>
      </c>
      <c r="E3041" s="27"/>
      <c r="F3041" s="27" t="s">
        <v>10040</v>
      </c>
      <c r="G3041" s="27" t="s">
        <v>10041</v>
      </c>
      <c r="H3041" s="27" t="s">
        <v>86</v>
      </c>
      <c r="I3041" s="27" t="s">
        <v>74</v>
      </c>
      <c r="J3041" s="26">
        <v>2019</v>
      </c>
      <c r="K3041" s="27" t="s">
        <v>10042</v>
      </c>
      <c r="L3041" s="26">
        <v>9785961446265</v>
      </c>
      <c r="M3041" s="27" t="s">
        <v>10043</v>
      </c>
      <c r="N3041" s="26">
        <v>288</v>
      </c>
      <c r="O3041" s="28">
        <v>0.49</v>
      </c>
      <c r="P3041" s="26">
        <v>146</v>
      </c>
      <c r="Q3041" s="26">
        <v>217</v>
      </c>
      <c r="R3041" s="26">
        <v>1</v>
      </c>
      <c r="S3041" s="27" t="s">
        <v>43</v>
      </c>
      <c r="T3041" s="27" t="s">
        <v>421</v>
      </c>
      <c r="U3041" s="29">
        <v>1002</v>
      </c>
      <c r="V3041" s="27" t="s">
        <v>9975</v>
      </c>
      <c r="W3041" s="27" t="s">
        <v>184</v>
      </c>
      <c r="X3041" s="26">
        <v>22</v>
      </c>
      <c r="Y3041" s="45" t="str">
        <f>HYPERLINK("","")</f>
      </c>
      <c r="Z3041" s="27"/>
      <c r="AS3041" s="1">
        <f>IF($A3041&lt;&gt;0,1,0)</f>
        <v>0</v>
      </c>
      <c r="AT3041" s="1">
        <f>$A3041*$B3041</f>
        <v>0</v>
      </c>
      <c r="AU3041" s="1">
        <f>$A3041*$O3041</f>
        <v>0</v>
      </c>
      <c r="AV3041" s="1">
        <f>IF($R3041=0,0,INT($A3041/$R3041))</f>
        <v>0</v>
      </c>
      <c r="AW3041" s="1">
        <f>$A3041-$AV3041*$R3041</f>
        <v>0</v>
      </c>
    </row>
    <row r="3042" ht="24.95" customHeight="1" outlineLevel="3" s="1" customFormat="1">
      <c r="A3042" s="25"/>
      <c r="B3042" s="29">
        <v>3490</v>
      </c>
      <c r="C3042" s="29">
        <v>3490</v>
      </c>
      <c r="D3042" s="27" t="s">
        <v>10044</v>
      </c>
      <c r="E3042" s="27"/>
      <c r="F3042" s="27" t="s">
        <v>10045</v>
      </c>
      <c r="G3042" s="27" t="s">
        <v>10046</v>
      </c>
      <c r="H3042" s="27" t="s">
        <v>86</v>
      </c>
      <c r="I3042" s="27" t="s">
        <v>74</v>
      </c>
      <c r="J3042" s="26">
        <v>2014</v>
      </c>
      <c r="K3042" s="27" t="s">
        <v>10047</v>
      </c>
      <c r="L3042" s="30">
        <v>9785961473100</v>
      </c>
      <c r="M3042" s="27" t="s">
        <v>10048</v>
      </c>
      <c r="N3042" s="26">
        <v>409</v>
      </c>
      <c r="O3042" s="28">
        <v>0.69</v>
      </c>
      <c r="P3042" s="26">
        <v>28</v>
      </c>
      <c r="Q3042" s="26">
        <v>217</v>
      </c>
      <c r="R3042" s="26">
        <v>1</v>
      </c>
      <c r="S3042" s="27" t="s">
        <v>43</v>
      </c>
      <c r="T3042" s="27" t="s">
        <v>421</v>
      </c>
      <c r="U3042" s="29">
        <v>6500</v>
      </c>
      <c r="V3042" s="27" t="s">
        <v>77</v>
      </c>
      <c r="W3042" s="27" t="s">
        <v>184</v>
      </c>
      <c r="X3042" s="26">
        <v>22</v>
      </c>
      <c r="Y3042" s="45" t="str">
        <f>HYPERLINK("","")</f>
      </c>
      <c r="Z3042" s="27"/>
      <c r="AS3042" s="1">
        <f>IF($A3042&lt;&gt;0,1,0)</f>
        <v>0</v>
      </c>
      <c r="AT3042" s="1">
        <f>$A3042*$B3042</f>
        <v>0</v>
      </c>
      <c r="AU3042" s="1">
        <f>$A3042*$O3042</f>
        <v>0</v>
      </c>
      <c r="AV3042" s="1">
        <f>IF($R3042=0,0,INT($A3042/$R3042))</f>
        <v>0</v>
      </c>
      <c r="AW3042" s="1">
        <f>$A3042-$AV3042*$R3042</f>
        <v>0</v>
      </c>
    </row>
    <row r="3043" ht="21.95" customHeight="1" outlineLevel="3" s="1" customFormat="1">
      <c r="A3043" s="25"/>
      <c r="B3043" s="29">
        <v>3990</v>
      </c>
      <c r="C3043" s="29">
        <v>3990</v>
      </c>
      <c r="D3043" s="27" t="s">
        <v>10049</v>
      </c>
      <c r="E3043" s="27"/>
      <c r="F3043" s="27" t="s">
        <v>10050</v>
      </c>
      <c r="G3043" s="27" t="s">
        <v>10051</v>
      </c>
      <c r="H3043" s="27" t="s">
        <v>9965</v>
      </c>
      <c r="I3043" s="27" t="s">
        <v>74</v>
      </c>
      <c r="J3043" s="26">
        <v>2018</v>
      </c>
      <c r="K3043" s="27" t="s">
        <v>10052</v>
      </c>
      <c r="L3043" s="26">
        <v>9785001178767</v>
      </c>
      <c r="M3043" s="27" t="s">
        <v>10053</v>
      </c>
      <c r="N3043" s="26">
        <v>190</v>
      </c>
      <c r="O3043" s="28">
        <v>0.32</v>
      </c>
      <c r="P3043" s="26">
        <v>146</v>
      </c>
      <c r="Q3043" s="26">
        <v>217</v>
      </c>
      <c r="R3043" s="26">
        <v>1</v>
      </c>
      <c r="S3043" s="27" t="s">
        <v>43</v>
      </c>
      <c r="T3043" s="27" t="s">
        <v>421</v>
      </c>
      <c r="U3043" s="29">
        <v>1021</v>
      </c>
      <c r="V3043" s="27" t="s">
        <v>77</v>
      </c>
      <c r="W3043" s="27" t="s">
        <v>184</v>
      </c>
      <c r="X3043" s="26">
        <v>22</v>
      </c>
      <c r="Y3043" s="45" t="str">
        <f>HYPERLINK("","")</f>
      </c>
      <c r="Z3043" s="27"/>
      <c r="AS3043" s="1">
        <f>IF($A3043&lt;&gt;0,1,0)</f>
        <v>0</v>
      </c>
      <c r="AT3043" s="1">
        <f>$A3043*$B3043</f>
        <v>0</v>
      </c>
      <c r="AU3043" s="1">
        <f>$A3043*$O3043</f>
        <v>0</v>
      </c>
      <c r="AV3043" s="1">
        <f>IF($R3043=0,0,INT($A3043/$R3043))</f>
        <v>0</v>
      </c>
      <c r="AW3043" s="1">
        <f>$A3043-$AV3043*$R3043</f>
        <v>0</v>
      </c>
    </row>
    <row r="3044" ht="21.95" customHeight="1" outlineLevel="3" s="1" customFormat="1">
      <c r="A3044" s="25"/>
      <c r="B3044" s="29">
        <v>4490</v>
      </c>
      <c r="C3044" s="29">
        <v>4490</v>
      </c>
      <c r="D3044" s="27" t="s">
        <v>10054</v>
      </c>
      <c r="E3044" s="27"/>
      <c r="F3044" s="27" t="s">
        <v>10055</v>
      </c>
      <c r="G3044" s="27" t="s">
        <v>10056</v>
      </c>
      <c r="H3044" s="27" t="s">
        <v>9965</v>
      </c>
      <c r="I3044" s="27" t="s">
        <v>74</v>
      </c>
      <c r="J3044" s="26">
        <v>2019</v>
      </c>
      <c r="K3044" s="27" t="s">
        <v>10057</v>
      </c>
      <c r="L3044" s="26">
        <v>9785001463320</v>
      </c>
      <c r="M3044" s="27" t="s">
        <v>10058</v>
      </c>
      <c r="N3044" s="26">
        <v>272</v>
      </c>
      <c r="O3044" s="28">
        <v>0.46</v>
      </c>
      <c r="P3044" s="26">
        <v>146</v>
      </c>
      <c r="Q3044" s="26">
        <v>217</v>
      </c>
      <c r="R3044" s="26">
        <v>1</v>
      </c>
      <c r="S3044" s="27" t="s">
        <v>43</v>
      </c>
      <c r="T3044" s="27" t="s">
        <v>421</v>
      </c>
      <c r="U3044" s="29">
        <v>1021</v>
      </c>
      <c r="V3044" s="27" t="s">
        <v>9975</v>
      </c>
      <c r="W3044" s="27" t="s">
        <v>184</v>
      </c>
      <c r="X3044" s="26">
        <v>22</v>
      </c>
      <c r="Y3044" s="45" t="str">
        <f>HYPERLINK("","")</f>
      </c>
      <c r="Z3044" s="27"/>
      <c r="AS3044" s="1">
        <f>IF($A3044&lt;&gt;0,1,0)</f>
        <v>0</v>
      </c>
      <c r="AT3044" s="1">
        <f>$A3044*$B3044</f>
        <v>0</v>
      </c>
      <c r="AU3044" s="1">
        <f>$A3044*$O3044</f>
        <v>0</v>
      </c>
      <c r="AV3044" s="1">
        <f>IF($R3044=0,0,INT($A3044/$R3044))</f>
        <v>0</v>
      </c>
      <c r="AW3044" s="1">
        <f>$A3044-$AV3044*$R3044</f>
        <v>0</v>
      </c>
    </row>
    <row r="3045" ht="24.95" customHeight="1" outlineLevel="3" s="1" customFormat="1">
      <c r="A3045" s="25"/>
      <c r="B3045" s="29">
        <v>5490</v>
      </c>
      <c r="C3045" s="29">
        <v>5490</v>
      </c>
      <c r="D3045" s="27" t="s">
        <v>10059</v>
      </c>
      <c r="E3045" s="27"/>
      <c r="F3045" s="27" t="s">
        <v>10060</v>
      </c>
      <c r="G3045" s="27" t="s">
        <v>10061</v>
      </c>
      <c r="H3045" s="27" t="s">
        <v>86</v>
      </c>
      <c r="I3045" s="27" t="s">
        <v>74</v>
      </c>
      <c r="J3045" s="26">
        <v>2014</v>
      </c>
      <c r="K3045" s="27" t="s">
        <v>10062</v>
      </c>
      <c r="L3045" s="26">
        <v>9785961449907</v>
      </c>
      <c r="M3045" s="27" t="s">
        <v>10063</v>
      </c>
      <c r="N3045" s="26">
        <v>540</v>
      </c>
      <c r="O3045" s="28">
        <v>0.91</v>
      </c>
      <c r="P3045" s="26">
        <v>146</v>
      </c>
      <c r="Q3045" s="26">
        <v>217</v>
      </c>
      <c r="R3045" s="26">
        <v>1</v>
      </c>
      <c r="S3045" s="27" t="s">
        <v>43</v>
      </c>
      <c r="T3045" s="27" t="s">
        <v>421</v>
      </c>
      <c r="U3045" s="29">
        <v>6500</v>
      </c>
      <c r="V3045" s="27" t="s">
        <v>77</v>
      </c>
      <c r="W3045" s="27" t="s">
        <v>184</v>
      </c>
      <c r="X3045" s="26">
        <v>22</v>
      </c>
      <c r="Y3045" s="45" t="str">
        <f>HYPERLINK("","")</f>
      </c>
      <c r="Z3045" s="27"/>
      <c r="AS3045" s="1">
        <f>IF($A3045&lt;&gt;0,1,0)</f>
        <v>0</v>
      </c>
      <c r="AT3045" s="1">
        <f>$A3045*$B3045</f>
        <v>0</v>
      </c>
      <c r="AU3045" s="1">
        <f>$A3045*$O3045</f>
        <v>0</v>
      </c>
      <c r="AV3045" s="1">
        <f>IF($R3045=0,0,INT($A3045/$R3045))</f>
        <v>0</v>
      </c>
      <c r="AW3045" s="1">
        <f>$A3045-$AV3045*$R3045</f>
        <v>0</v>
      </c>
    </row>
    <row r="3046" ht="21.95" customHeight="1" outlineLevel="3" s="1" customFormat="1">
      <c r="A3046" s="25"/>
      <c r="B3046" s="29">
        <v>4490</v>
      </c>
      <c r="C3046" s="29">
        <v>4490</v>
      </c>
      <c r="D3046" s="27" t="s">
        <v>10064</v>
      </c>
      <c r="E3046" s="27"/>
      <c r="F3046" s="27" t="s">
        <v>10000</v>
      </c>
      <c r="G3046" s="27" t="s">
        <v>10065</v>
      </c>
      <c r="H3046" s="27" t="s">
        <v>9949</v>
      </c>
      <c r="I3046" s="27" t="s">
        <v>74</v>
      </c>
      <c r="J3046" s="26">
        <v>2014</v>
      </c>
      <c r="K3046" s="27" t="s">
        <v>10066</v>
      </c>
      <c r="L3046" s="26">
        <v>9785969302945</v>
      </c>
      <c r="M3046" s="27" t="s">
        <v>10067</v>
      </c>
      <c r="N3046" s="26">
        <v>474</v>
      </c>
      <c r="O3046" s="28">
        <v>0.81</v>
      </c>
      <c r="P3046" s="26">
        <v>141</v>
      </c>
      <c r="Q3046" s="26">
        <v>217</v>
      </c>
      <c r="R3046" s="26">
        <v>1</v>
      </c>
      <c r="S3046" s="27" t="s">
        <v>43</v>
      </c>
      <c r="T3046" s="27" t="s">
        <v>421</v>
      </c>
      <c r="U3046" s="29">
        <v>6500</v>
      </c>
      <c r="V3046" s="27" t="s">
        <v>77</v>
      </c>
      <c r="W3046" s="27" t="s">
        <v>184</v>
      </c>
      <c r="X3046" s="26">
        <v>22</v>
      </c>
      <c r="Y3046" s="45" t="str">
        <f>HYPERLINK("","")</f>
      </c>
      <c r="Z3046" s="27"/>
      <c r="AS3046" s="1">
        <f>IF($A3046&lt;&gt;0,1,0)</f>
        <v>0</v>
      </c>
      <c r="AT3046" s="1">
        <f>$A3046*$B3046</f>
        <v>0</v>
      </c>
      <c r="AU3046" s="1">
        <f>$A3046*$O3046</f>
        <v>0</v>
      </c>
      <c r="AV3046" s="1">
        <f>IF($R3046=0,0,INT($A3046/$R3046))</f>
        <v>0</v>
      </c>
      <c r="AW3046" s="1">
        <f>$A3046-$AV3046*$R3046</f>
        <v>0</v>
      </c>
    </row>
    <row r="3047" ht="21.95" customHeight="1" outlineLevel="3" s="1" customFormat="1">
      <c r="A3047" s="25"/>
      <c r="B3047" s="29">
        <v>3990</v>
      </c>
      <c r="C3047" s="29">
        <v>3990</v>
      </c>
      <c r="D3047" s="27" t="s">
        <v>10068</v>
      </c>
      <c r="E3047" s="27"/>
      <c r="F3047" s="27" t="s">
        <v>10069</v>
      </c>
      <c r="G3047" s="27" t="s">
        <v>10070</v>
      </c>
      <c r="H3047" s="27" t="s">
        <v>9949</v>
      </c>
      <c r="I3047" s="27" t="s">
        <v>74</v>
      </c>
      <c r="J3047" s="26">
        <v>2019</v>
      </c>
      <c r="K3047" s="27" t="s">
        <v>10071</v>
      </c>
      <c r="L3047" s="26">
        <v>9785969302952</v>
      </c>
      <c r="M3047" s="27" t="s">
        <v>10072</v>
      </c>
      <c r="N3047" s="26">
        <v>192</v>
      </c>
      <c r="O3047" s="28">
        <v>0.33</v>
      </c>
      <c r="P3047" s="26">
        <v>146</v>
      </c>
      <c r="Q3047" s="26">
        <v>217</v>
      </c>
      <c r="R3047" s="26">
        <v>1</v>
      </c>
      <c r="S3047" s="27" t="s">
        <v>43</v>
      </c>
      <c r="T3047" s="27" t="s">
        <v>421</v>
      </c>
      <c r="U3047" s="29">
        <v>1000</v>
      </c>
      <c r="V3047" s="27" t="s">
        <v>77</v>
      </c>
      <c r="W3047" s="27" t="s">
        <v>184</v>
      </c>
      <c r="X3047" s="26">
        <v>22</v>
      </c>
      <c r="Y3047" s="45" t="str">
        <f>HYPERLINK("","")</f>
      </c>
      <c r="Z3047" s="27"/>
      <c r="AS3047" s="1">
        <f>IF($A3047&lt;&gt;0,1,0)</f>
        <v>0</v>
      </c>
      <c r="AT3047" s="1">
        <f>$A3047*$B3047</f>
        <v>0</v>
      </c>
      <c r="AU3047" s="1">
        <f>$A3047*$O3047</f>
        <v>0</v>
      </c>
      <c r="AV3047" s="1">
        <f>IF($R3047=0,0,INT($A3047/$R3047))</f>
        <v>0</v>
      </c>
      <c r="AW3047" s="1">
        <f>$A3047-$AV3047*$R3047</f>
        <v>0</v>
      </c>
    </row>
    <row r="3048" ht="24.95" customHeight="1" outlineLevel="3" s="1" customFormat="1">
      <c r="A3048" s="25"/>
      <c r="B3048" s="29">
        <v>5990</v>
      </c>
      <c r="C3048" s="29">
        <v>5990</v>
      </c>
      <c r="D3048" s="27" t="s">
        <v>10073</v>
      </c>
      <c r="E3048" s="27"/>
      <c r="F3048" s="27" t="s">
        <v>10074</v>
      </c>
      <c r="G3048" s="27" t="s">
        <v>10075</v>
      </c>
      <c r="H3048" s="27" t="s">
        <v>10076</v>
      </c>
      <c r="I3048" s="27" t="s">
        <v>74</v>
      </c>
      <c r="J3048" s="26">
        <v>2015</v>
      </c>
      <c r="K3048" s="27" t="s">
        <v>10077</v>
      </c>
      <c r="L3048" s="26">
        <v>9785170931958</v>
      </c>
      <c r="M3048" s="27" t="s">
        <v>10078</v>
      </c>
      <c r="N3048" s="26">
        <v>575</v>
      </c>
      <c r="O3048" s="28">
        <v>0.98</v>
      </c>
      <c r="P3048" s="26">
        <v>146</v>
      </c>
      <c r="Q3048" s="26">
        <v>217</v>
      </c>
      <c r="R3048" s="26">
        <v>1</v>
      </c>
      <c r="S3048" s="27" t="s">
        <v>43</v>
      </c>
      <c r="T3048" s="27" t="s">
        <v>421</v>
      </c>
      <c r="U3048" s="29">
        <v>6500</v>
      </c>
      <c r="V3048" s="27" t="s">
        <v>77</v>
      </c>
      <c r="W3048" s="27" t="s">
        <v>184</v>
      </c>
      <c r="X3048" s="26">
        <v>22</v>
      </c>
      <c r="Y3048" s="45" t="str">
        <f>HYPERLINK("","")</f>
      </c>
      <c r="Z3048" s="27"/>
      <c r="AS3048" s="1">
        <f>IF($A3048&lt;&gt;0,1,0)</f>
        <v>0</v>
      </c>
      <c r="AT3048" s="1">
        <f>$A3048*$B3048</f>
        <v>0</v>
      </c>
      <c r="AU3048" s="1">
        <f>$A3048*$O3048</f>
        <v>0</v>
      </c>
      <c r="AV3048" s="1">
        <f>IF($R3048=0,0,INT($A3048/$R3048))</f>
        <v>0</v>
      </c>
      <c r="AW3048" s="1">
        <f>$A3048-$AV3048*$R3048</f>
        <v>0</v>
      </c>
    </row>
    <row r="3049" ht="21.95" customHeight="1" outlineLevel="3" s="1" customFormat="1">
      <c r="A3049" s="25"/>
      <c r="B3049" s="29">
        <v>5990</v>
      </c>
      <c r="C3049" s="29">
        <v>5990</v>
      </c>
      <c r="D3049" s="27" t="s">
        <v>10079</v>
      </c>
      <c r="E3049" s="27"/>
      <c r="F3049" s="27" t="s">
        <v>557</v>
      </c>
      <c r="G3049" s="27" t="s">
        <v>10080</v>
      </c>
      <c r="H3049" s="27" t="s">
        <v>10081</v>
      </c>
      <c r="I3049" s="27" t="s">
        <v>74</v>
      </c>
      <c r="J3049" s="26">
        <v>2015</v>
      </c>
      <c r="K3049" s="27" t="s">
        <v>10082</v>
      </c>
      <c r="L3049" s="30">
        <v>9785001394815</v>
      </c>
      <c r="M3049" s="27" t="s">
        <v>10083</v>
      </c>
      <c r="N3049" s="26">
        <v>457</v>
      </c>
      <c r="O3049" s="28">
        <v>0.77</v>
      </c>
      <c r="P3049" s="26">
        <v>165</v>
      </c>
      <c r="Q3049" s="26">
        <v>217</v>
      </c>
      <c r="R3049" s="26">
        <v>1</v>
      </c>
      <c r="S3049" s="27" t="s">
        <v>43</v>
      </c>
      <c r="T3049" s="27" t="s">
        <v>421</v>
      </c>
      <c r="U3049" s="29">
        <v>6500</v>
      </c>
      <c r="V3049" s="27" t="s">
        <v>77</v>
      </c>
      <c r="W3049" s="27" t="s">
        <v>184</v>
      </c>
      <c r="X3049" s="26">
        <v>22</v>
      </c>
      <c r="Y3049" s="45" t="str">
        <f>HYPERLINK("","")</f>
      </c>
      <c r="Z3049" s="27"/>
      <c r="AS3049" s="1">
        <f>IF($A3049&lt;&gt;0,1,0)</f>
        <v>0</v>
      </c>
      <c r="AT3049" s="1">
        <f>$A3049*$B3049</f>
        <v>0</v>
      </c>
      <c r="AU3049" s="1">
        <f>$A3049*$O3049</f>
        <v>0</v>
      </c>
      <c r="AV3049" s="1">
        <f>IF($R3049=0,0,INT($A3049/$R3049))</f>
        <v>0</v>
      </c>
      <c r="AW3049" s="1">
        <f>$A3049-$AV3049*$R3049</f>
        <v>0</v>
      </c>
    </row>
    <row r="3050" ht="24.95" customHeight="1" outlineLevel="3" s="1" customFormat="1">
      <c r="A3050" s="25"/>
      <c r="B3050" s="29">
        <v>4490</v>
      </c>
      <c r="C3050" s="29">
        <v>4490</v>
      </c>
      <c r="D3050" s="27" t="s">
        <v>10084</v>
      </c>
      <c r="E3050" s="27"/>
      <c r="F3050" s="27" t="s">
        <v>10085</v>
      </c>
      <c r="G3050" s="27" t="s">
        <v>10086</v>
      </c>
      <c r="H3050" s="27" t="s">
        <v>10087</v>
      </c>
      <c r="I3050" s="27" t="s">
        <v>74</v>
      </c>
      <c r="J3050" s="26">
        <v>2015</v>
      </c>
      <c r="K3050" s="27" t="s">
        <v>10088</v>
      </c>
      <c r="L3050" s="26">
        <v>9785699810369</v>
      </c>
      <c r="M3050" s="27" t="s">
        <v>10089</v>
      </c>
      <c r="N3050" s="26">
        <v>320</v>
      </c>
      <c r="O3050" s="28">
        <v>0.54</v>
      </c>
      <c r="P3050" s="26">
        <v>146</v>
      </c>
      <c r="Q3050" s="26">
        <v>217</v>
      </c>
      <c r="R3050" s="26">
        <v>1</v>
      </c>
      <c r="S3050" s="27" t="s">
        <v>43</v>
      </c>
      <c r="T3050" s="27" t="s">
        <v>421</v>
      </c>
      <c r="U3050" s="29">
        <v>6500</v>
      </c>
      <c r="V3050" s="27" t="s">
        <v>77</v>
      </c>
      <c r="W3050" s="27" t="s">
        <v>184</v>
      </c>
      <c r="X3050" s="26">
        <v>22</v>
      </c>
      <c r="Y3050" s="45" t="str">
        <f>HYPERLINK("","")</f>
      </c>
      <c r="Z3050" s="27"/>
      <c r="AS3050" s="1">
        <f>IF($A3050&lt;&gt;0,1,0)</f>
        <v>0</v>
      </c>
      <c r="AT3050" s="1">
        <f>$A3050*$B3050</f>
        <v>0</v>
      </c>
      <c r="AU3050" s="1">
        <f>$A3050*$O3050</f>
        <v>0</v>
      </c>
      <c r="AV3050" s="1">
        <f>IF($R3050=0,0,INT($A3050/$R3050))</f>
        <v>0</v>
      </c>
      <c r="AW3050" s="1">
        <f>$A3050-$AV3050*$R3050</f>
        <v>0</v>
      </c>
    </row>
    <row r="3051" ht="24.95" customHeight="1" outlineLevel="3" s="1" customFormat="1">
      <c r="A3051" s="15"/>
      <c r="B3051" s="17">
        <v>4490</v>
      </c>
      <c r="C3051" s="17">
        <v>4490</v>
      </c>
      <c r="D3051" s="18" t="s">
        <v>10090</v>
      </c>
      <c r="E3051" s="18"/>
      <c r="F3051" s="18" t="s">
        <v>10091</v>
      </c>
      <c r="G3051" s="18" t="s">
        <v>10092</v>
      </c>
      <c r="H3051" s="18" t="s">
        <v>9965</v>
      </c>
      <c r="I3051" s="18" t="s">
        <v>74</v>
      </c>
      <c r="J3051" s="16">
        <v>2019</v>
      </c>
      <c r="K3051" s="18" t="s">
        <v>10093</v>
      </c>
      <c r="L3051" s="16">
        <v>9785001463375</v>
      </c>
      <c r="M3051" s="18" t="s">
        <v>10094</v>
      </c>
      <c r="N3051" s="16">
        <v>272</v>
      </c>
      <c r="O3051" s="19">
        <v>0.46</v>
      </c>
      <c r="P3051" s="16">
        <v>146</v>
      </c>
      <c r="Q3051" s="16">
        <v>217</v>
      </c>
      <c r="R3051" s="16">
        <v>1</v>
      </c>
      <c r="S3051" s="18" t="s">
        <v>43</v>
      </c>
      <c r="T3051" s="18" t="s">
        <v>421</v>
      </c>
      <c r="U3051" s="17">
        <v>1021</v>
      </c>
      <c r="V3051" s="18" t="s">
        <v>9975</v>
      </c>
      <c r="W3051" s="18" t="s">
        <v>184</v>
      </c>
      <c r="X3051" s="16">
        <v>22</v>
      </c>
      <c r="Y3051" s="43" t="str">
        <f>HYPERLINK("","")</f>
      </c>
      <c r="Z3051" s="18"/>
      <c r="AS3051" s="1">
        <f>IF($A3051&lt;&gt;0,1,0)</f>
        <v>0</v>
      </c>
      <c r="AT3051" s="1">
        <f>$A3051*$B3051</f>
        <v>0</v>
      </c>
      <c r="AU3051" s="1">
        <f>$A3051*$O3051</f>
        <v>0</v>
      </c>
      <c r="AV3051" s="1">
        <f>IF($R3051=0,0,INT($A3051/$R3051))</f>
        <v>0</v>
      </c>
      <c r="AW3051" s="1">
        <f>$A3051-$AV3051*$R3051</f>
        <v>0</v>
      </c>
    </row>
    <row r="3052" ht="24.95" customHeight="1" outlineLevel="3" s="1" customFormat="1">
      <c r="A3052" s="25"/>
      <c r="B3052" s="29">
        <v>4490</v>
      </c>
      <c r="C3052" s="29">
        <v>4490</v>
      </c>
      <c r="D3052" s="27" t="s">
        <v>10095</v>
      </c>
      <c r="E3052" s="27"/>
      <c r="F3052" s="27" t="s">
        <v>10096</v>
      </c>
      <c r="G3052" s="27" t="s">
        <v>10097</v>
      </c>
      <c r="H3052" s="27" t="s">
        <v>9949</v>
      </c>
      <c r="I3052" s="27" t="s">
        <v>74</v>
      </c>
      <c r="J3052" s="26">
        <v>2019</v>
      </c>
      <c r="K3052" s="27" t="s">
        <v>10098</v>
      </c>
      <c r="L3052" s="26">
        <v>9785969303331</v>
      </c>
      <c r="M3052" s="27" t="s">
        <v>10099</v>
      </c>
      <c r="N3052" s="26">
        <v>384</v>
      </c>
      <c r="O3052" s="28">
        <v>0.65</v>
      </c>
      <c r="P3052" s="26">
        <v>146</v>
      </c>
      <c r="Q3052" s="26">
        <v>217</v>
      </c>
      <c r="R3052" s="26">
        <v>1</v>
      </c>
      <c r="S3052" s="27" t="s">
        <v>43</v>
      </c>
      <c r="T3052" s="27" t="s">
        <v>421</v>
      </c>
      <c r="U3052" s="29">
        <v>6500</v>
      </c>
      <c r="V3052" s="27" t="s">
        <v>77</v>
      </c>
      <c r="W3052" s="27" t="s">
        <v>184</v>
      </c>
      <c r="X3052" s="26">
        <v>22</v>
      </c>
      <c r="Y3052" s="45" t="str">
        <f>HYPERLINK("","")</f>
      </c>
      <c r="Z3052" s="27"/>
      <c r="AS3052" s="1">
        <f>IF($A3052&lt;&gt;0,1,0)</f>
        <v>0</v>
      </c>
      <c r="AT3052" s="1">
        <f>$A3052*$B3052</f>
        <v>0</v>
      </c>
      <c r="AU3052" s="1">
        <f>$A3052*$O3052</f>
        <v>0</v>
      </c>
      <c r="AV3052" s="1">
        <f>IF($R3052=0,0,INT($A3052/$R3052))</f>
        <v>0</v>
      </c>
      <c r="AW3052" s="1">
        <f>$A3052-$AV3052*$R3052</f>
        <v>0</v>
      </c>
    </row>
    <row r="3053" ht="21.95" customHeight="1" outlineLevel="3" s="1" customFormat="1">
      <c r="A3053" s="25"/>
      <c r="B3053" s="29">
        <v>5490</v>
      </c>
      <c r="C3053" s="29">
        <v>5490</v>
      </c>
      <c r="D3053" s="27" t="s">
        <v>10100</v>
      </c>
      <c r="E3053" s="27"/>
      <c r="F3053" s="27" t="s">
        <v>10101</v>
      </c>
      <c r="G3053" s="27" t="s">
        <v>10102</v>
      </c>
      <c r="H3053" s="27" t="s">
        <v>86</v>
      </c>
      <c r="I3053" s="27" t="s">
        <v>74</v>
      </c>
      <c r="J3053" s="26">
        <v>2019</v>
      </c>
      <c r="K3053" s="27" t="s">
        <v>10103</v>
      </c>
      <c r="L3053" s="26">
        <v>9785961453645</v>
      </c>
      <c r="M3053" s="27" t="s">
        <v>10104</v>
      </c>
      <c r="N3053" s="26">
        <v>344</v>
      </c>
      <c r="O3053" s="28">
        <v>0.58</v>
      </c>
      <c r="P3053" s="26">
        <v>146</v>
      </c>
      <c r="Q3053" s="26">
        <v>217</v>
      </c>
      <c r="R3053" s="26">
        <v>1</v>
      </c>
      <c r="S3053" s="27" t="s">
        <v>43</v>
      </c>
      <c r="T3053" s="27" t="s">
        <v>421</v>
      </c>
      <c r="U3053" s="29">
        <v>6500</v>
      </c>
      <c r="V3053" s="27" t="s">
        <v>77</v>
      </c>
      <c r="W3053" s="27" t="s">
        <v>69</v>
      </c>
      <c r="X3053" s="26">
        <v>22</v>
      </c>
      <c r="Y3053" s="45" t="str">
        <f>HYPERLINK("","")</f>
      </c>
      <c r="Z3053" s="27"/>
      <c r="AS3053" s="1">
        <f>IF($A3053&lt;&gt;0,1,0)</f>
        <v>0</v>
      </c>
      <c r="AT3053" s="1">
        <f>$A3053*$B3053</f>
        <v>0</v>
      </c>
      <c r="AU3053" s="1">
        <f>$A3053*$O3053</f>
        <v>0</v>
      </c>
      <c r="AV3053" s="1">
        <f>IF($R3053=0,0,INT($A3053/$R3053))</f>
        <v>0</v>
      </c>
      <c r="AW3053" s="1">
        <f>$A3053-$AV3053*$R3053</f>
        <v>0</v>
      </c>
    </row>
    <row r="3054" ht="24.95" customHeight="1" outlineLevel="3" s="1" customFormat="1">
      <c r="A3054" s="25"/>
      <c r="B3054" s="29">
        <v>5990</v>
      </c>
      <c r="C3054" s="29">
        <v>5990</v>
      </c>
      <c r="D3054" s="27" t="s">
        <v>10105</v>
      </c>
      <c r="E3054" s="27"/>
      <c r="F3054" s="27" t="s">
        <v>10106</v>
      </c>
      <c r="G3054" s="27" t="s">
        <v>10107</v>
      </c>
      <c r="H3054" s="27" t="s">
        <v>9949</v>
      </c>
      <c r="I3054" s="27" t="s">
        <v>419</v>
      </c>
      <c r="J3054" s="26">
        <v>2020</v>
      </c>
      <c r="K3054" s="27" t="s">
        <v>10108</v>
      </c>
      <c r="L3054" s="26">
        <v>9785969303391</v>
      </c>
      <c r="M3054" s="27" t="s">
        <v>10109</v>
      </c>
      <c r="N3054" s="26">
        <v>288</v>
      </c>
      <c r="O3054" s="28">
        <v>0.49</v>
      </c>
      <c r="P3054" s="26">
        <v>146</v>
      </c>
      <c r="Q3054" s="26">
        <v>217</v>
      </c>
      <c r="R3054" s="26">
        <v>1</v>
      </c>
      <c r="S3054" s="27" t="s">
        <v>43</v>
      </c>
      <c r="T3054" s="27" t="s">
        <v>421</v>
      </c>
      <c r="U3054" s="29">
        <v>1000</v>
      </c>
      <c r="V3054" s="27" t="s">
        <v>77</v>
      </c>
      <c r="W3054" s="27" t="s">
        <v>69</v>
      </c>
      <c r="X3054" s="26">
        <v>22</v>
      </c>
      <c r="Y3054" s="45" t="str">
        <f>HYPERLINK("","")</f>
      </c>
      <c r="Z3054" s="27"/>
      <c r="AS3054" s="1">
        <f>IF($A3054&lt;&gt;0,1,0)</f>
        <v>0</v>
      </c>
      <c r="AT3054" s="1">
        <f>$A3054*$B3054</f>
        <v>0</v>
      </c>
      <c r="AU3054" s="1">
        <f>$A3054*$O3054</f>
        <v>0</v>
      </c>
      <c r="AV3054" s="1">
        <f>IF($R3054=0,0,INT($A3054/$R3054))</f>
        <v>0</v>
      </c>
      <c r="AW3054" s="1">
        <f>$A3054-$AV3054*$R3054</f>
        <v>0</v>
      </c>
    </row>
    <row r="3055" ht="21.95" customHeight="1" outlineLevel="3" s="1" customFormat="1">
      <c r="A3055" s="25"/>
      <c r="B3055" s="29">
        <v>4990</v>
      </c>
      <c r="C3055" s="29">
        <v>4990</v>
      </c>
      <c r="D3055" s="27" t="s">
        <v>10110</v>
      </c>
      <c r="E3055" s="27"/>
      <c r="F3055" s="27" t="s">
        <v>10111</v>
      </c>
      <c r="G3055" s="27" t="s">
        <v>10112</v>
      </c>
      <c r="H3055" s="27" t="s">
        <v>10087</v>
      </c>
      <c r="I3055" s="27" t="s">
        <v>74</v>
      </c>
      <c r="J3055" s="26">
        <v>2016</v>
      </c>
      <c r="K3055" s="27" t="s">
        <v>10113</v>
      </c>
      <c r="L3055" s="26">
        <v>9785699858071</v>
      </c>
      <c r="M3055" s="27" t="s">
        <v>10114</v>
      </c>
      <c r="N3055" s="26">
        <v>400</v>
      </c>
      <c r="O3055" s="28">
        <v>0.68</v>
      </c>
      <c r="P3055" s="26">
        <v>146</v>
      </c>
      <c r="Q3055" s="26">
        <v>217</v>
      </c>
      <c r="R3055" s="26">
        <v>1</v>
      </c>
      <c r="S3055" s="27" t="s">
        <v>43</v>
      </c>
      <c r="T3055" s="27" t="s">
        <v>421</v>
      </c>
      <c r="U3055" s="29">
        <v>1000</v>
      </c>
      <c r="V3055" s="27" t="s">
        <v>77</v>
      </c>
      <c r="W3055" s="27" t="s">
        <v>184</v>
      </c>
      <c r="X3055" s="26">
        <v>22</v>
      </c>
      <c r="Y3055" s="45" t="str">
        <f>HYPERLINK("","")</f>
      </c>
      <c r="Z3055" s="27"/>
      <c r="AS3055" s="1">
        <f>IF($A3055&lt;&gt;0,1,0)</f>
        <v>0</v>
      </c>
      <c r="AT3055" s="1">
        <f>$A3055*$B3055</f>
        <v>0</v>
      </c>
      <c r="AU3055" s="1">
        <f>$A3055*$O3055</f>
        <v>0</v>
      </c>
      <c r="AV3055" s="1">
        <f>IF($R3055=0,0,INT($A3055/$R3055))</f>
        <v>0</v>
      </c>
      <c r="AW3055" s="1">
        <f>$A3055-$AV3055*$R3055</f>
        <v>0</v>
      </c>
    </row>
    <row r="3056" ht="21.95" customHeight="1" outlineLevel="3" s="1" customFormat="1">
      <c r="A3056" s="25"/>
      <c r="B3056" s="29">
        <v>5990</v>
      </c>
      <c r="C3056" s="29">
        <v>5990</v>
      </c>
      <c r="D3056" s="27" t="s">
        <v>10115</v>
      </c>
      <c r="E3056" s="27"/>
      <c r="F3056" s="27" t="s">
        <v>10116</v>
      </c>
      <c r="G3056" s="27" t="s">
        <v>10117</v>
      </c>
      <c r="H3056" s="27" t="s">
        <v>9949</v>
      </c>
      <c r="I3056" s="27" t="s">
        <v>74</v>
      </c>
      <c r="J3056" s="26">
        <v>2015</v>
      </c>
      <c r="K3056" s="27" t="s">
        <v>10118</v>
      </c>
      <c r="L3056" s="26">
        <v>9785969303362</v>
      </c>
      <c r="M3056" s="27" t="s">
        <v>10119</v>
      </c>
      <c r="N3056" s="26">
        <v>192</v>
      </c>
      <c r="O3056" s="28">
        <v>0.33</v>
      </c>
      <c r="P3056" s="26">
        <v>146</v>
      </c>
      <c r="Q3056" s="26">
        <v>217</v>
      </c>
      <c r="R3056" s="26">
        <v>1</v>
      </c>
      <c r="S3056" s="27" t="s">
        <v>43</v>
      </c>
      <c r="T3056" s="27" t="s">
        <v>421</v>
      </c>
      <c r="U3056" s="29">
        <v>3000</v>
      </c>
      <c r="V3056" s="27" t="s">
        <v>77</v>
      </c>
      <c r="W3056" s="27" t="s">
        <v>184</v>
      </c>
      <c r="X3056" s="26">
        <v>22</v>
      </c>
      <c r="Y3056" s="45" t="str">
        <f>HYPERLINK("","")</f>
      </c>
      <c r="Z3056" s="27"/>
      <c r="AS3056" s="1">
        <f>IF($A3056&lt;&gt;0,1,0)</f>
        <v>0</v>
      </c>
      <c r="AT3056" s="1">
        <f>$A3056*$B3056</f>
        <v>0</v>
      </c>
      <c r="AU3056" s="1">
        <f>$A3056*$O3056</f>
        <v>0</v>
      </c>
      <c r="AV3056" s="1">
        <f>IF($R3056=0,0,INT($A3056/$R3056))</f>
        <v>0</v>
      </c>
      <c r="AW3056" s="1">
        <f>$A3056-$AV3056*$R3056</f>
        <v>0</v>
      </c>
    </row>
    <row r="3057" ht="21.95" customHeight="1" outlineLevel="3" s="1" customFormat="1">
      <c r="A3057" s="25"/>
      <c r="B3057" s="29">
        <v>4490</v>
      </c>
      <c r="C3057" s="29">
        <v>4490</v>
      </c>
      <c r="D3057" s="27" t="s">
        <v>10120</v>
      </c>
      <c r="E3057" s="27"/>
      <c r="F3057" s="27" t="s">
        <v>10121</v>
      </c>
      <c r="G3057" s="27" t="s">
        <v>10122</v>
      </c>
      <c r="H3057" s="27" t="s">
        <v>9965</v>
      </c>
      <c r="I3057" s="27" t="s">
        <v>74</v>
      </c>
      <c r="J3057" s="26">
        <v>2019</v>
      </c>
      <c r="K3057" s="27" t="s">
        <v>10123</v>
      </c>
      <c r="L3057" s="26">
        <v>9785001463351</v>
      </c>
      <c r="M3057" s="27" t="s">
        <v>10124</v>
      </c>
      <c r="N3057" s="26">
        <v>288</v>
      </c>
      <c r="O3057" s="28">
        <v>0.49</v>
      </c>
      <c r="P3057" s="26">
        <v>146</v>
      </c>
      <c r="Q3057" s="26">
        <v>217</v>
      </c>
      <c r="R3057" s="26">
        <v>1</v>
      </c>
      <c r="S3057" s="27" t="s">
        <v>43</v>
      </c>
      <c r="T3057" s="27" t="s">
        <v>421</v>
      </c>
      <c r="U3057" s="29">
        <v>1021</v>
      </c>
      <c r="V3057" s="27" t="s">
        <v>9975</v>
      </c>
      <c r="W3057" s="27" t="s">
        <v>184</v>
      </c>
      <c r="X3057" s="26">
        <v>22</v>
      </c>
      <c r="Y3057" s="45" t="str">
        <f>HYPERLINK("","")</f>
      </c>
      <c r="Z3057" s="27"/>
      <c r="AS3057" s="1">
        <f>IF($A3057&lt;&gt;0,1,0)</f>
        <v>0</v>
      </c>
      <c r="AT3057" s="1">
        <f>$A3057*$B3057</f>
        <v>0</v>
      </c>
      <c r="AU3057" s="1">
        <f>$A3057*$O3057</f>
        <v>0</v>
      </c>
      <c r="AV3057" s="1">
        <f>IF($R3057=0,0,INT($A3057/$R3057))</f>
        <v>0</v>
      </c>
      <c r="AW3057" s="1">
        <f>$A3057-$AV3057*$R3057</f>
        <v>0</v>
      </c>
    </row>
    <row r="3058" ht="24.95" customHeight="1" outlineLevel="3" s="1" customFormat="1">
      <c r="A3058" s="25"/>
      <c r="B3058" s="29">
        <v>3990</v>
      </c>
      <c r="C3058" s="29">
        <v>3990</v>
      </c>
      <c r="D3058" s="27" t="s">
        <v>10125</v>
      </c>
      <c r="E3058" s="27"/>
      <c r="F3058" s="27" t="s">
        <v>10126</v>
      </c>
      <c r="G3058" s="27" t="s">
        <v>10127</v>
      </c>
      <c r="H3058" s="27" t="s">
        <v>9949</v>
      </c>
      <c r="I3058" s="27" t="s">
        <v>74</v>
      </c>
      <c r="J3058" s="26">
        <v>2019</v>
      </c>
      <c r="K3058" s="27" t="s">
        <v>10128</v>
      </c>
      <c r="L3058" s="26">
        <v>9785969303492</v>
      </c>
      <c r="M3058" s="27" t="s">
        <v>10129</v>
      </c>
      <c r="N3058" s="26">
        <v>288</v>
      </c>
      <c r="O3058" s="28">
        <v>0.49</v>
      </c>
      <c r="P3058" s="26">
        <v>146</v>
      </c>
      <c r="Q3058" s="26">
        <v>217</v>
      </c>
      <c r="R3058" s="26">
        <v>1</v>
      </c>
      <c r="S3058" s="27" t="s">
        <v>43</v>
      </c>
      <c r="T3058" s="27" t="s">
        <v>421</v>
      </c>
      <c r="U3058" s="29">
        <v>1000</v>
      </c>
      <c r="V3058" s="27" t="s">
        <v>9975</v>
      </c>
      <c r="W3058" s="27" t="s">
        <v>184</v>
      </c>
      <c r="X3058" s="26">
        <v>22</v>
      </c>
      <c r="Y3058" s="45" t="str">
        <f>HYPERLINK("","")</f>
      </c>
      <c r="Z3058" s="27"/>
      <c r="AS3058" s="1">
        <f>IF($A3058&lt;&gt;0,1,0)</f>
        <v>0</v>
      </c>
      <c r="AT3058" s="1">
        <f>$A3058*$B3058</f>
        <v>0</v>
      </c>
      <c r="AU3058" s="1">
        <f>$A3058*$O3058</f>
        <v>0</v>
      </c>
      <c r="AV3058" s="1">
        <f>IF($R3058=0,0,INT($A3058/$R3058))</f>
        <v>0</v>
      </c>
      <c r="AW3058" s="1">
        <f>$A3058-$AV3058*$R3058</f>
        <v>0</v>
      </c>
    </row>
    <row r="3059" ht="21.95" customHeight="1" outlineLevel="3" s="1" customFormat="1">
      <c r="A3059" s="25"/>
      <c r="B3059" s="29">
        <v>5990</v>
      </c>
      <c r="C3059" s="29">
        <v>5990</v>
      </c>
      <c r="D3059" s="27" t="s">
        <v>10130</v>
      </c>
      <c r="E3059" s="27"/>
      <c r="F3059" s="27" t="s">
        <v>10131</v>
      </c>
      <c r="G3059" s="27" t="s">
        <v>10132</v>
      </c>
      <c r="H3059" s="27" t="s">
        <v>10087</v>
      </c>
      <c r="I3059" s="27" t="s">
        <v>74</v>
      </c>
      <c r="J3059" s="26">
        <v>2018</v>
      </c>
      <c r="K3059" s="27" t="s">
        <v>10133</v>
      </c>
      <c r="L3059" s="26">
        <v>9785699893935</v>
      </c>
      <c r="M3059" s="27" t="s">
        <v>10134</v>
      </c>
      <c r="N3059" s="26">
        <v>208</v>
      </c>
      <c r="O3059" s="28">
        <v>0.35</v>
      </c>
      <c r="P3059" s="26">
        <v>146</v>
      </c>
      <c r="Q3059" s="26">
        <v>217</v>
      </c>
      <c r="R3059" s="26">
        <v>1</v>
      </c>
      <c r="S3059" s="27" t="s">
        <v>43</v>
      </c>
      <c r="T3059" s="27" t="s">
        <v>421</v>
      </c>
      <c r="U3059" s="29">
        <v>1000</v>
      </c>
      <c r="V3059" s="27" t="s">
        <v>77</v>
      </c>
      <c r="W3059" s="27" t="s">
        <v>91</v>
      </c>
      <c r="X3059" s="26">
        <v>22</v>
      </c>
      <c r="Y3059" s="45" t="str">
        <f>HYPERLINK("","")</f>
      </c>
      <c r="Z3059" s="27"/>
      <c r="AS3059" s="1">
        <f>IF($A3059&lt;&gt;0,1,0)</f>
        <v>0</v>
      </c>
      <c r="AT3059" s="1">
        <f>$A3059*$B3059</f>
        <v>0</v>
      </c>
      <c r="AU3059" s="1">
        <f>$A3059*$O3059</f>
        <v>0</v>
      </c>
      <c r="AV3059" s="1">
        <f>IF($R3059=0,0,INT($A3059/$R3059))</f>
        <v>0</v>
      </c>
      <c r="AW3059" s="1">
        <f>$A3059-$AV3059*$R3059</f>
        <v>0</v>
      </c>
    </row>
    <row r="3060" ht="21.95" customHeight="1" outlineLevel="3" s="1" customFormat="1">
      <c r="A3060" s="25"/>
      <c r="B3060" s="29">
        <v>4490</v>
      </c>
      <c r="C3060" s="29">
        <v>4490</v>
      </c>
      <c r="D3060" s="27" t="s">
        <v>10135</v>
      </c>
      <c r="E3060" s="27"/>
      <c r="F3060" s="27" t="s">
        <v>423</v>
      </c>
      <c r="G3060" s="27" t="s">
        <v>10136</v>
      </c>
      <c r="H3060" s="27" t="s">
        <v>9949</v>
      </c>
      <c r="I3060" s="27" t="s">
        <v>74</v>
      </c>
      <c r="J3060" s="26">
        <v>2019</v>
      </c>
      <c r="K3060" s="27" t="s">
        <v>10137</v>
      </c>
      <c r="L3060" s="26">
        <v>9785969303560</v>
      </c>
      <c r="M3060" s="27" t="s">
        <v>10138</v>
      </c>
      <c r="N3060" s="26">
        <v>512</v>
      </c>
      <c r="O3060" s="28">
        <v>0.87</v>
      </c>
      <c r="P3060" s="26">
        <v>146</v>
      </c>
      <c r="Q3060" s="26">
        <v>217</v>
      </c>
      <c r="R3060" s="26">
        <v>1</v>
      </c>
      <c r="S3060" s="27" t="s">
        <v>43</v>
      </c>
      <c r="T3060" s="27" t="s">
        <v>421</v>
      </c>
      <c r="U3060" s="29">
        <v>1000</v>
      </c>
      <c r="V3060" s="27" t="s">
        <v>9975</v>
      </c>
      <c r="W3060" s="27" t="s">
        <v>184</v>
      </c>
      <c r="X3060" s="26">
        <v>22</v>
      </c>
      <c r="Y3060" s="45" t="str">
        <f>HYPERLINK("","")</f>
      </c>
      <c r="Z3060" s="27"/>
      <c r="AS3060" s="1">
        <f>IF($A3060&lt;&gt;0,1,0)</f>
        <v>0</v>
      </c>
      <c r="AT3060" s="1">
        <f>$A3060*$B3060</f>
        <v>0</v>
      </c>
      <c r="AU3060" s="1">
        <f>$A3060*$O3060</f>
        <v>0</v>
      </c>
      <c r="AV3060" s="1">
        <f>IF($R3060=0,0,INT($A3060/$R3060))</f>
        <v>0</v>
      </c>
      <c r="AW3060" s="1">
        <f>$A3060-$AV3060*$R3060</f>
        <v>0</v>
      </c>
    </row>
    <row r="3061" ht="21.95" customHeight="1" outlineLevel="3" s="1" customFormat="1">
      <c r="A3061" s="25"/>
      <c r="B3061" s="29">
        <v>3490</v>
      </c>
      <c r="C3061" s="29">
        <v>3490</v>
      </c>
      <c r="D3061" s="27" t="s">
        <v>10139</v>
      </c>
      <c r="E3061" s="27"/>
      <c r="F3061" s="27" t="s">
        <v>10140</v>
      </c>
      <c r="G3061" s="27" t="s">
        <v>10141</v>
      </c>
      <c r="H3061" s="27" t="s">
        <v>9949</v>
      </c>
      <c r="I3061" s="27" t="s">
        <v>74</v>
      </c>
      <c r="J3061" s="26">
        <v>2016</v>
      </c>
      <c r="K3061" s="27" t="s">
        <v>10142</v>
      </c>
      <c r="L3061" s="26">
        <v>9785969303508</v>
      </c>
      <c r="M3061" s="27" t="s">
        <v>10143</v>
      </c>
      <c r="N3061" s="26">
        <v>208</v>
      </c>
      <c r="O3061" s="28">
        <v>0.35</v>
      </c>
      <c r="P3061" s="26">
        <v>146</v>
      </c>
      <c r="Q3061" s="26">
        <v>217</v>
      </c>
      <c r="R3061" s="26">
        <v>1</v>
      </c>
      <c r="S3061" s="27" t="s">
        <v>43</v>
      </c>
      <c r="T3061" s="27" t="s">
        <v>421</v>
      </c>
      <c r="U3061" s="29">
        <v>6500</v>
      </c>
      <c r="V3061" s="27" t="s">
        <v>77</v>
      </c>
      <c r="W3061" s="27" t="s">
        <v>184</v>
      </c>
      <c r="X3061" s="26">
        <v>22</v>
      </c>
      <c r="Y3061" s="45" t="str">
        <f>HYPERLINK("","")</f>
      </c>
      <c r="Z3061" s="27"/>
      <c r="AS3061" s="1">
        <f>IF($A3061&lt;&gt;0,1,0)</f>
        <v>0</v>
      </c>
      <c r="AT3061" s="1">
        <f>$A3061*$B3061</f>
        <v>0</v>
      </c>
      <c r="AU3061" s="1">
        <f>$A3061*$O3061</f>
        <v>0</v>
      </c>
      <c r="AV3061" s="1">
        <f>IF($R3061=0,0,INT($A3061/$R3061))</f>
        <v>0</v>
      </c>
      <c r="AW3061" s="1">
        <f>$A3061-$AV3061*$R3061</f>
        <v>0</v>
      </c>
    </row>
    <row r="3062" ht="24.95" customHeight="1" outlineLevel="3" s="1" customFormat="1">
      <c r="A3062" s="25"/>
      <c r="B3062" s="29">
        <v>4990</v>
      </c>
      <c r="C3062" s="29">
        <v>4990</v>
      </c>
      <c r="D3062" s="27" t="s">
        <v>10144</v>
      </c>
      <c r="E3062" s="27"/>
      <c r="F3062" s="27" t="s">
        <v>10145</v>
      </c>
      <c r="G3062" s="27" t="s">
        <v>10146</v>
      </c>
      <c r="H3062" s="27" t="s">
        <v>9965</v>
      </c>
      <c r="I3062" s="27" t="s">
        <v>74</v>
      </c>
      <c r="J3062" s="26">
        <v>2019</v>
      </c>
      <c r="K3062" s="27" t="s">
        <v>10147</v>
      </c>
      <c r="L3062" s="26">
        <v>9785001461142</v>
      </c>
      <c r="M3062" s="27" t="s">
        <v>10148</v>
      </c>
      <c r="N3062" s="26">
        <v>352</v>
      </c>
      <c r="O3062" s="28">
        <v>0.58</v>
      </c>
      <c r="P3062" s="26">
        <v>146</v>
      </c>
      <c r="Q3062" s="26">
        <v>217</v>
      </c>
      <c r="R3062" s="26">
        <v>1</v>
      </c>
      <c r="S3062" s="27" t="s">
        <v>43</v>
      </c>
      <c r="T3062" s="27" t="s">
        <v>421</v>
      </c>
      <c r="U3062" s="29">
        <v>1000</v>
      </c>
      <c r="V3062" s="27" t="s">
        <v>77</v>
      </c>
      <c r="W3062" s="27" t="s">
        <v>184</v>
      </c>
      <c r="X3062" s="26">
        <v>22</v>
      </c>
      <c r="Y3062" s="45" t="str">
        <f>HYPERLINK("","")</f>
      </c>
      <c r="Z3062" s="27"/>
      <c r="AS3062" s="1">
        <f>IF($A3062&lt;&gt;0,1,0)</f>
        <v>0</v>
      </c>
      <c r="AT3062" s="1">
        <f>$A3062*$B3062</f>
        <v>0</v>
      </c>
      <c r="AU3062" s="1">
        <f>$A3062*$O3062</f>
        <v>0</v>
      </c>
      <c r="AV3062" s="1">
        <f>IF($R3062=0,0,INT($A3062/$R3062))</f>
        <v>0</v>
      </c>
      <c r="AW3062" s="1">
        <f>$A3062-$AV3062*$R3062</f>
        <v>0</v>
      </c>
    </row>
    <row r="3063" ht="21.95" customHeight="1" outlineLevel="3" s="1" customFormat="1">
      <c r="A3063" s="25"/>
      <c r="B3063" s="29">
        <v>5990</v>
      </c>
      <c r="C3063" s="29">
        <v>5990</v>
      </c>
      <c r="D3063" s="27" t="s">
        <v>10149</v>
      </c>
      <c r="E3063" s="27"/>
      <c r="F3063" s="27" t="s">
        <v>10150</v>
      </c>
      <c r="G3063" s="27" t="s">
        <v>10151</v>
      </c>
      <c r="H3063" s="27" t="s">
        <v>9949</v>
      </c>
      <c r="I3063" s="27" t="s">
        <v>74</v>
      </c>
      <c r="J3063" s="26">
        <v>2019</v>
      </c>
      <c r="K3063" s="27" t="s">
        <v>10152</v>
      </c>
      <c r="L3063" s="26">
        <v>9785969302969</v>
      </c>
      <c r="M3063" s="27" t="s">
        <v>10153</v>
      </c>
      <c r="N3063" s="26">
        <v>286</v>
      </c>
      <c r="O3063" s="28">
        <v>0.66</v>
      </c>
      <c r="P3063" s="26">
        <v>146</v>
      </c>
      <c r="Q3063" s="26">
        <v>217</v>
      </c>
      <c r="R3063" s="26">
        <v>1</v>
      </c>
      <c r="S3063" s="27" t="s">
        <v>43</v>
      </c>
      <c r="T3063" s="27" t="s">
        <v>421</v>
      </c>
      <c r="U3063" s="29">
        <v>1000</v>
      </c>
      <c r="V3063" s="27" t="s">
        <v>77</v>
      </c>
      <c r="W3063" s="27" t="s">
        <v>184</v>
      </c>
      <c r="X3063" s="26">
        <v>22</v>
      </c>
      <c r="Y3063" s="45" t="str">
        <f>HYPERLINK("","")</f>
      </c>
      <c r="Z3063" s="27"/>
      <c r="AS3063" s="1">
        <f>IF($A3063&lt;&gt;0,1,0)</f>
        <v>0</v>
      </c>
      <c r="AT3063" s="1">
        <f>$A3063*$B3063</f>
        <v>0</v>
      </c>
      <c r="AU3063" s="1">
        <f>$A3063*$O3063</f>
        <v>0</v>
      </c>
      <c r="AV3063" s="1">
        <f>IF($R3063=0,0,INT($A3063/$R3063))</f>
        <v>0</v>
      </c>
      <c r="AW3063" s="1">
        <f>$A3063-$AV3063*$R3063</f>
        <v>0</v>
      </c>
    </row>
    <row r="3064" ht="24.95" customHeight="1" outlineLevel="3" s="1" customFormat="1">
      <c r="A3064" s="25"/>
      <c r="B3064" s="29">
        <v>4490</v>
      </c>
      <c r="C3064" s="29">
        <v>4490</v>
      </c>
      <c r="D3064" s="27" t="s">
        <v>10154</v>
      </c>
      <c r="E3064" s="27"/>
      <c r="F3064" s="27" t="s">
        <v>10155</v>
      </c>
      <c r="G3064" s="27" t="s">
        <v>10156</v>
      </c>
      <c r="H3064" s="27" t="s">
        <v>9949</v>
      </c>
      <c r="I3064" s="27" t="s">
        <v>74</v>
      </c>
      <c r="J3064" s="26">
        <v>2019</v>
      </c>
      <c r="K3064" s="27" t="s">
        <v>10157</v>
      </c>
      <c r="L3064" s="26">
        <v>9785990905207</v>
      </c>
      <c r="M3064" s="27" t="s">
        <v>10158</v>
      </c>
      <c r="N3064" s="26">
        <v>528</v>
      </c>
      <c r="O3064" s="28">
        <v>0.77</v>
      </c>
      <c r="P3064" s="26">
        <v>146</v>
      </c>
      <c r="Q3064" s="26">
        <v>216</v>
      </c>
      <c r="R3064" s="26">
        <v>1</v>
      </c>
      <c r="S3064" s="27" t="s">
        <v>43</v>
      </c>
      <c r="T3064" s="27" t="s">
        <v>421</v>
      </c>
      <c r="U3064" s="29">
        <v>1000</v>
      </c>
      <c r="V3064" s="27" t="s">
        <v>77</v>
      </c>
      <c r="W3064" s="27" t="s">
        <v>184</v>
      </c>
      <c r="X3064" s="26">
        <v>22</v>
      </c>
      <c r="Y3064" s="45" t="str">
        <f>HYPERLINK("","")</f>
      </c>
      <c r="Z3064" s="27"/>
      <c r="AS3064" s="1">
        <f>IF($A3064&lt;&gt;0,1,0)</f>
        <v>0</v>
      </c>
      <c r="AT3064" s="1">
        <f>$A3064*$B3064</f>
        <v>0</v>
      </c>
      <c r="AU3064" s="1">
        <f>$A3064*$O3064</f>
        <v>0</v>
      </c>
      <c r="AV3064" s="1">
        <f>IF($R3064=0,0,INT($A3064/$R3064))</f>
        <v>0</v>
      </c>
      <c r="AW3064" s="1">
        <f>$A3064-$AV3064*$R3064</f>
        <v>0</v>
      </c>
    </row>
    <row r="3065" ht="21.95" customHeight="1" outlineLevel="3" s="1" customFormat="1">
      <c r="A3065" s="25"/>
      <c r="B3065" s="29">
        <v>5990</v>
      </c>
      <c r="C3065" s="29">
        <v>5990</v>
      </c>
      <c r="D3065" s="27" t="s">
        <v>10159</v>
      </c>
      <c r="E3065" s="27"/>
      <c r="F3065" s="27" t="s">
        <v>10160</v>
      </c>
      <c r="G3065" s="27" t="s">
        <v>10161</v>
      </c>
      <c r="H3065" s="27" t="s">
        <v>10076</v>
      </c>
      <c r="I3065" s="27" t="s">
        <v>74</v>
      </c>
      <c r="J3065" s="26">
        <v>2018</v>
      </c>
      <c r="K3065" s="27" t="s">
        <v>10162</v>
      </c>
      <c r="L3065" s="26">
        <v>9785179825845</v>
      </c>
      <c r="M3065" s="27" t="s">
        <v>10163</v>
      </c>
      <c r="N3065" s="26">
        <v>286</v>
      </c>
      <c r="O3065" s="28">
        <v>0.49</v>
      </c>
      <c r="P3065" s="26">
        <v>146</v>
      </c>
      <c r="Q3065" s="26">
        <v>217</v>
      </c>
      <c r="R3065" s="26">
        <v>1</v>
      </c>
      <c r="S3065" s="27" t="s">
        <v>43</v>
      </c>
      <c r="T3065" s="27" t="s">
        <v>421</v>
      </c>
      <c r="U3065" s="29">
        <v>1000</v>
      </c>
      <c r="V3065" s="27" t="s">
        <v>77</v>
      </c>
      <c r="W3065" s="27" t="s">
        <v>184</v>
      </c>
      <c r="X3065" s="26">
        <v>22</v>
      </c>
      <c r="Y3065" s="45" t="str">
        <f>HYPERLINK("","")</f>
      </c>
      <c r="Z3065" s="27"/>
      <c r="AS3065" s="1">
        <f>IF($A3065&lt;&gt;0,1,0)</f>
        <v>0</v>
      </c>
      <c r="AT3065" s="1">
        <f>$A3065*$B3065</f>
        <v>0</v>
      </c>
      <c r="AU3065" s="1">
        <f>$A3065*$O3065</f>
        <v>0</v>
      </c>
      <c r="AV3065" s="1">
        <f>IF($R3065=0,0,INT($A3065/$R3065))</f>
        <v>0</v>
      </c>
      <c r="AW3065" s="1">
        <f>$A3065-$AV3065*$R3065</f>
        <v>0</v>
      </c>
    </row>
    <row r="3066" ht="21.95" customHeight="1" outlineLevel="3" s="1" customFormat="1">
      <c r="A3066" s="25"/>
      <c r="B3066" s="29">
        <v>4990</v>
      </c>
      <c r="C3066" s="29">
        <v>4990</v>
      </c>
      <c r="D3066" s="27" t="s">
        <v>10164</v>
      </c>
      <c r="E3066" s="27"/>
      <c r="F3066" s="27" t="s">
        <v>10165</v>
      </c>
      <c r="G3066" s="27" t="s">
        <v>10166</v>
      </c>
      <c r="H3066" s="27" t="s">
        <v>9965</v>
      </c>
      <c r="I3066" s="27" t="s">
        <v>74</v>
      </c>
      <c r="J3066" s="26">
        <v>2019</v>
      </c>
      <c r="K3066" s="27" t="s">
        <v>10167</v>
      </c>
      <c r="L3066" s="26">
        <v>9785001463405</v>
      </c>
      <c r="M3066" s="27" t="s">
        <v>10168</v>
      </c>
      <c r="N3066" s="26">
        <v>464</v>
      </c>
      <c r="O3066" s="28">
        <v>0.79</v>
      </c>
      <c r="P3066" s="26">
        <v>146</v>
      </c>
      <c r="Q3066" s="26">
        <v>217</v>
      </c>
      <c r="R3066" s="26">
        <v>1</v>
      </c>
      <c r="S3066" s="27" t="s">
        <v>43</v>
      </c>
      <c r="T3066" s="27" t="s">
        <v>421</v>
      </c>
      <c r="U3066" s="29">
        <v>1021</v>
      </c>
      <c r="V3066" s="27" t="s">
        <v>9975</v>
      </c>
      <c r="W3066" s="27" t="s">
        <v>184</v>
      </c>
      <c r="X3066" s="26">
        <v>22</v>
      </c>
      <c r="Y3066" s="45" t="str">
        <f>HYPERLINK("","")</f>
      </c>
      <c r="Z3066" s="27"/>
      <c r="AS3066" s="1">
        <f>IF($A3066&lt;&gt;0,1,0)</f>
        <v>0</v>
      </c>
      <c r="AT3066" s="1">
        <f>$A3066*$B3066</f>
        <v>0</v>
      </c>
      <c r="AU3066" s="1">
        <f>$A3066*$O3066</f>
        <v>0</v>
      </c>
      <c r="AV3066" s="1">
        <f>IF($R3066=0,0,INT($A3066/$R3066))</f>
        <v>0</v>
      </c>
      <c r="AW3066" s="1">
        <f>$A3066-$AV3066*$R3066</f>
        <v>0</v>
      </c>
    </row>
    <row r="3067" ht="21.95" customHeight="1" outlineLevel="3" s="1" customFormat="1">
      <c r="A3067" s="25"/>
      <c r="B3067" s="29">
        <v>5990</v>
      </c>
      <c r="C3067" s="29">
        <v>5990</v>
      </c>
      <c r="D3067" s="27" t="s">
        <v>10169</v>
      </c>
      <c r="E3067" s="27"/>
      <c r="F3067" s="27" t="s">
        <v>10170</v>
      </c>
      <c r="G3067" s="27" t="s">
        <v>10171</v>
      </c>
      <c r="H3067" s="27" t="s">
        <v>9949</v>
      </c>
      <c r="I3067" s="27" t="s">
        <v>74</v>
      </c>
      <c r="J3067" s="26">
        <v>2017</v>
      </c>
      <c r="K3067" s="27" t="s">
        <v>10172</v>
      </c>
      <c r="L3067" s="26">
        <v>9785969303805</v>
      </c>
      <c r="M3067" s="27" t="s">
        <v>10173</v>
      </c>
      <c r="N3067" s="26">
        <v>386</v>
      </c>
      <c r="O3067" s="28">
        <v>0.68</v>
      </c>
      <c r="P3067" s="26">
        <v>146</v>
      </c>
      <c r="Q3067" s="26">
        <v>217</v>
      </c>
      <c r="R3067" s="26">
        <v>1</v>
      </c>
      <c r="S3067" s="27" t="s">
        <v>43</v>
      </c>
      <c r="T3067" s="27" t="s">
        <v>421</v>
      </c>
      <c r="U3067" s="29">
        <v>6500</v>
      </c>
      <c r="V3067" s="27" t="s">
        <v>77</v>
      </c>
      <c r="W3067" s="27" t="s">
        <v>184</v>
      </c>
      <c r="X3067" s="26">
        <v>22</v>
      </c>
      <c r="Y3067" s="45" t="str">
        <f>HYPERLINK("","")</f>
      </c>
      <c r="Z3067" s="27"/>
      <c r="AS3067" s="1">
        <f>IF($A3067&lt;&gt;0,1,0)</f>
        <v>0</v>
      </c>
      <c r="AT3067" s="1">
        <f>$A3067*$B3067</f>
        <v>0</v>
      </c>
      <c r="AU3067" s="1">
        <f>$A3067*$O3067</f>
        <v>0</v>
      </c>
      <c r="AV3067" s="1">
        <f>IF($R3067=0,0,INT($A3067/$R3067))</f>
        <v>0</v>
      </c>
      <c r="AW3067" s="1">
        <f>$A3067-$AV3067*$R3067</f>
        <v>0</v>
      </c>
    </row>
    <row r="3068" ht="24.95" customHeight="1" outlineLevel="3" s="1" customFormat="1">
      <c r="A3068" s="25"/>
      <c r="B3068" s="29">
        <v>4490</v>
      </c>
      <c r="C3068" s="29">
        <v>4490</v>
      </c>
      <c r="D3068" s="27" t="s">
        <v>10174</v>
      </c>
      <c r="E3068" s="27"/>
      <c r="F3068" s="27" t="s">
        <v>10175</v>
      </c>
      <c r="G3068" s="27" t="s">
        <v>10176</v>
      </c>
      <c r="H3068" s="27" t="s">
        <v>9949</v>
      </c>
      <c r="I3068" s="27" t="s">
        <v>74</v>
      </c>
      <c r="J3068" s="26">
        <v>2017</v>
      </c>
      <c r="K3068" s="27" t="s">
        <v>10177</v>
      </c>
      <c r="L3068" s="26">
        <v>9785990905276</v>
      </c>
      <c r="M3068" s="27" t="s">
        <v>10178</v>
      </c>
      <c r="N3068" s="26">
        <v>432</v>
      </c>
      <c r="O3068" s="28">
        <v>0.73</v>
      </c>
      <c r="P3068" s="26">
        <v>146</v>
      </c>
      <c r="Q3068" s="26">
        <v>217</v>
      </c>
      <c r="R3068" s="26">
        <v>1</v>
      </c>
      <c r="S3068" s="27" t="s">
        <v>43</v>
      </c>
      <c r="T3068" s="27" t="s">
        <v>421</v>
      </c>
      <c r="U3068" s="29">
        <v>6500</v>
      </c>
      <c r="V3068" s="27" t="s">
        <v>77</v>
      </c>
      <c r="W3068" s="27" t="s">
        <v>184</v>
      </c>
      <c r="X3068" s="26">
        <v>22</v>
      </c>
      <c r="Y3068" s="45" t="str">
        <f>HYPERLINK("","")</f>
      </c>
      <c r="Z3068" s="27"/>
      <c r="AS3068" s="1">
        <f>IF($A3068&lt;&gt;0,1,0)</f>
        <v>0</v>
      </c>
      <c r="AT3068" s="1">
        <f>$A3068*$B3068</f>
        <v>0</v>
      </c>
      <c r="AU3068" s="1">
        <f>$A3068*$O3068</f>
        <v>0</v>
      </c>
      <c r="AV3068" s="1">
        <f>IF($R3068=0,0,INT($A3068/$R3068))</f>
        <v>0</v>
      </c>
      <c r="AW3068" s="1">
        <f>$A3068-$AV3068*$R3068</f>
        <v>0</v>
      </c>
    </row>
    <row r="3069" ht="21.95" customHeight="1" outlineLevel="3" s="1" customFormat="1">
      <c r="A3069" s="25"/>
      <c r="B3069" s="29">
        <v>3990</v>
      </c>
      <c r="C3069" s="29">
        <v>3990</v>
      </c>
      <c r="D3069" s="27" t="s">
        <v>10179</v>
      </c>
      <c r="E3069" s="27"/>
      <c r="F3069" s="27" t="s">
        <v>10180</v>
      </c>
      <c r="G3069" s="27" t="s">
        <v>10181</v>
      </c>
      <c r="H3069" s="27" t="s">
        <v>10087</v>
      </c>
      <c r="I3069" s="27" t="s">
        <v>74</v>
      </c>
      <c r="J3069" s="26">
        <v>2018</v>
      </c>
      <c r="K3069" s="27" t="s">
        <v>10182</v>
      </c>
      <c r="L3069" s="26">
        <v>9785699920815</v>
      </c>
      <c r="M3069" s="27" t="s">
        <v>10183</v>
      </c>
      <c r="N3069" s="26">
        <v>432</v>
      </c>
      <c r="O3069" s="28">
        <v>0.73</v>
      </c>
      <c r="P3069" s="26">
        <v>146</v>
      </c>
      <c r="Q3069" s="26">
        <v>217</v>
      </c>
      <c r="R3069" s="26">
        <v>1</v>
      </c>
      <c r="S3069" s="27" t="s">
        <v>43</v>
      </c>
      <c r="T3069" s="27" t="s">
        <v>421</v>
      </c>
      <c r="U3069" s="29">
        <v>1000</v>
      </c>
      <c r="V3069" s="27" t="s">
        <v>77</v>
      </c>
      <c r="W3069" s="27" t="s">
        <v>184</v>
      </c>
      <c r="X3069" s="26">
        <v>22</v>
      </c>
      <c r="Y3069" s="45" t="str">
        <f>HYPERLINK("","")</f>
      </c>
      <c r="Z3069" s="27"/>
      <c r="AS3069" s="1">
        <f>IF($A3069&lt;&gt;0,1,0)</f>
        <v>0</v>
      </c>
      <c r="AT3069" s="1">
        <f>$A3069*$B3069</f>
        <v>0</v>
      </c>
      <c r="AU3069" s="1">
        <f>$A3069*$O3069</f>
        <v>0</v>
      </c>
      <c r="AV3069" s="1">
        <f>IF($R3069=0,0,INT($A3069/$R3069))</f>
        <v>0</v>
      </c>
      <c r="AW3069" s="1">
        <f>$A3069-$AV3069*$R3069</f>
        <v>0</v>
      </c>
    </row>
    <row r="3070" ht="24.95" customHeight="1" outlineLevel="3" s="1" customFormat="1">
      <c r="A3070" s="25"/>
      <c r="B3070" s="29">
        <v>5990</v>
      </c>
      <c r="C3070" s="29">
        <v>5990</v>
      </c>
      <c r="D3070" s="27" t="s">
        <v>10184</v>
      </c>
      <c r="E3070" s="27"/>
      <c r="F3070" s="27" t="s">
        <v>10185</v>
      </c>
      <c r="G3070" s="27" t="s">
        <v>10186</v>
      </c>
      <c r="H3070" s="27" t="s">
        <v>10087</v>
      </c>
      <c r="I3070" s="27" t="s">
        <v>74</v>
      </c>
      <c r="J3070" s="26">
        <v>2018</v>
      </c>
      <c r="K3070" s="27" t="s">
        <v>10187</v>
      </c>
      <c r="L3070" s="26">
        <v>9785040955664</v>
      </c>
      <c r="M3070" s="27" t="s">
        <v>10188</v>
      </c>
      <c r="N3070" s="26">
        <v>320</v>
      </c>
      <c r="O3070" s="28">
        <v>0.54</v>
      </c>
      <c r="P3070" s="26">
        <v>146</v>
      </c>
      <c r="Q3070" s="26">
        <v>217</v>
      </c>
      <c r="R3070" s="26">
        <v>1</v>
      </c>
      <c r="S3070" s="27" t="s">
        <v>43</v>
      </c>
      <c r="T3070" s="27" t="s">
        <v>421</v>
      </c>
      <c r="U3070" s="29">
        <v>1000</v>
      </c>
      <c r="V3070" s="27" t="s">
        <v>77</v>
      </c>
      <c r="W3070" s="27" t="s">
        <v>184</v>
      </c>
      <c r="X3070" s="26">
        <v>22</v>
      </c>
      <c r="Y3070" s="45" t="str">
        <f>HYPERLINK("","")</f>
      </c>
      <c r="Z3070" s="27"/>
      <c r="AS3070" s="1">
        <f>IF($A3070&lt;&gt;0,1,0)</f>
        <v>0</v>
      </c>
      <c r="AT3070" s="1">
        <f>$A3070*$B3070</f>
        <v>0</v>
      </c>
      <c r="AU3070" s="1">
        <f>$A3070*$O3070</f>
        <v>0</v>
      </c>
      <c r="AV3070" s="1">
        <f>IF($R3070=0,0,INT($A3070/$R3070))</f>
        <v>0</v>
      </c>
      <c r="AW3070" s="1">
        <f>$A3070-$AV3070*$R3070</f>
        <v>0</v>
      </c>
    </row>
    <row r="3071" ht="21.95" customHeight="1" outlineLevel="3" s="1" customFormat="1">
      <c r="A3071" s="25"/>
      <c r="B3071" s="29">
        <v>3490</v>
      </c>
      <c r="C3071" s="29">
        <v>3490</v>
      </c>
      <c r="D3071" s="27" t="s">
        <v>10189</v>
      </c>
      <c r="E3071" s="27"/>
      <c r="F3071" s="27" t="s">
        <v>10190</v>
      </c>
      <c r="G3071" s="27" t="s">
        <v>10191</v>
      </c>
      <c r="H3071" s="27" t="s">
        <v>10076</v>
      </c>
      <c r="I3071" s="27" t="s">
        <v>74</v>
      </c>
      <c r="J3071" s="26">
        <v>2018</v>
      </c>
      <c r="K3071" s="27" t="s">
        <v>10192</v>
      </c>
      <c r="L3071" s="26">
        <v>9785170942121</v>
      </c>
      <c r="M3071" s="27" t="s">
        <v>10193</v>
      </c>
      <c r="N3071" s="26">
        <v>382</v>
      </c>
      <c r="O3071" s="28">
        <v>0.65</v>
      </c>
      <c r="P3071" s="26">
        <v>146</v>
      </c>
      <c r="Q3071" s="26">
        <v>217</v>
      </c>
      <c r="R3071" s="26">
        <v>1</v>
      </c>
      <c r="S3071" s="27" t="s">
        <v>43</v>
      </c>
      <c r="T3071" s="27" t="s">
        <v>421</v>
      </c>
      <c r="U3071" s="29">
        <v>6500</v>
      </c>
      <c r="V3071" s="27" t="s">
        <v>77</v>
      </c>
      <c r="W3071" s="27" t="s">
        <v>184</v>
      </c>
      <c r="X3071" s="26">
        <v>22</v>
      </c>
      <c r="Y3071" s="45" t="str">
        <f>HYPERLINK("","")</f>
      </c>
      <c r="Z3071" s="27"/>
      <c r="AS3071" s="1">
        <f>IF($A3071&lt;&gt;0,1,0)</f>
        <v>0</v>
      </c>
      <c r="AT3071" s="1">
        <f>$A3071*$B3071</f>
        <v>0</v>
      </c>
      <c r="AU3071" s="1">
        <f>$A3071*$O3071</f>
        <v>0</v>
      </c>
      <c r="AV3071" s="1">
        <f>IF($R3071=0,0,INT($A3071/$R3071))</f>
        <v>0</v>
      </c>
      <c r="AW3071" s="1">
        <f>$A3071-$AV3071*$R3071</f>
        <v>0</v>
      </c>
    </row>
    <row r="3072" ht="24.95" customHeight="1" outlineLevel="3" s="1" customFormat="1">
      <c r="A3072" s="25"/>
      <c r="B3072" s="29">
        <v>6990</v>
      </c>
      <c r="C3072" s="29">
        <v>6990</v>
      </c>
      <c r="D3072" s="27" t="s">
        <v>10194</v>
      </c>
      <c r="E3072" s="27"/>
      <c r="F3072" s="27" t="s">
        <v>10195</v>
      </c>
      <c r="G3072" s="27" t="s">
        <v>10196</v>
      </c>
      <c r="H3072" s="27" t="s">
        <v>9949</v>
      </c>
      <c r="I3072" s="27" t="s">
        <v>74</v>
      </c>
      <c r="J3072" s="26">
        <v>2018</v>
      </c>
      <c r="K3072" s="27" t="s">
        <v>10197</v>
      </c>
      <c r="L3072" s="26">
        <v>9785969304079</v>
      </c>
      <c r="M3072" s="27" t="s">
        <v>10198</v>
      </c>
      <c r="N3072" s="26">
        <v>936</v>
      </c>
      <c r="O3072" s="28">
        <v>1.04</v>
      </c>
      <c r="P3072" s="26">
        <v>146</v>
      </c>
      <c r="Q3072" s="26">
        <v>217</v>
      </c>
      <c r="R3072" s="26">
        <v>1</v>
      </c>
      <c r="S3072" s="27" t="s">
        <v>43</v>
      </c>
      <c r="T3072" s="27" t="s">
        <v>421</v>
      </c>
      <c r="U3072" s="29">
        <v>2000</v>
      </c>
      <c r="V3072" s="27" t="s">
        <v>77</v>
      </c>
      <c r="W3072" s="27" t="s">
        <v>184</v>
      </c>
      <c r="X3072" s="26">
        <v>22</v>
      </c>
      <c r="Y3072" s="45" t="str">
        <f>HYPERLINK("","")</f>
      </c>
      <c r="Z3072" s="27"/>
      <c r="AS3072" s="1">
        <f>IF($A3072&lt;&gt;0,1,0)</f>
        <v>0</v>
      </c>
      <c r="AT3072" s="1">
        <f>$A3072*$B3072</f>
        <v>0</v>
      </c>
      <c r="AU3072" s="1">
        <f>$A3072*$O3072</f>
        <v>0</v>
      </c>
      <c r="AV3072" s="1">
        <f>IF($R3072=0,0,INT($A3072/$R3072))</f>
        <v>0</v>
      </c>
      <c r="AW3072" s="1">
        <f>$A3072-$AV3072*$R3072</f>
        <v>0</v>
      </c>
    </row>
    <row r="3073" ht="24.95" customHeight="1" outlineLevel="3" s="1" customFormat="1">
      <c r="A3073" s="25"/>
      <c r="B3073" s="29">
        <v>5490</v>
      </c>
      <c r="C3073" s="29">
        <v>5490</v>
      </c>
      <c r="D3073" s="27" t="s">
        <v>10199</v>
      </c>
      <c r="E3073" s="27"/>
      <c r="F3073" s="27" t="s">
        <v>10200</v>
      </c>
      <c r="G3073" s="27" t="s">
        <v>10201</v>
      </c>
      <c r="H3073" s="27" t="s">
        <v>9949</v>
      </c>
      <c r="I3073" s="27" t="s">
        <v>74</v>
      </c>
      <c r="J3073" s="26">
        <v>2019</v>
      </c>
      <c r="K3073" s="27" t="s">
        <v>10202</v>
      </c>
      <c r="L3073" s="26">
        <v>9785604001059</v>
      </c>
      <c r="M3073" s="27" t="s">
        <v>10203</v>
      </c>
      <c r="N3073" s="26">
        <v>192</v>
      </c>
      <c r="O3073" s="28">
        <v>0.33</v>
      </c>
      <c r="P3073" s="26">
        <v>146</v>
      </c>
      <c r="Q3073" s="26">
        <v>217</v>
      </c>
      <c r="R3073" s="26">
        <v>1</v>
      </c>
      <c r="S3073" s="27" t="s">
        <v>43</v>
      </c>
      <c r="T3073" s="27" t="s">
        <v>421</v>
      </c>
      <c r="U3073" s="29">
        <v>4500</v>
      </c>
      <c r="V3073" s="27" t="s">
        <v>77</v>
      </c>
      <c r="W3073" s="27" t="s">
        <v>184</v>
      </c>
      <c r="X3073" s="26">
        <v>22</v>
      </c>
      <c r="Y3073" s="45" t="str">
        <f>HYPERLINK("","")</f>
      </c>
      <c r="Z3073" s="27"/>
      <c r="AS3073" s="1">
        <f>IF($A3073&lt;&gt;0,1,0)</f>
        <v>0</v>
      </c>
      <c r="AT3073" s="1">
        <f>$A3073*$B3073</f>
        <v>0</v>
      </c>
      <c r="AU3073" s="1">
        <f>$A3073*$O3073</f>
        <v>0</v>
      </c>
      <c r="AV3073" s="1">
        <f>IF($R3073=0,0,INT($A3073/$R3073))</f>
        <v>0</v>
      </c>
      <c r="AW3073" s="1">
        <f>$A3073-$AV3073*$R3073</f>
        <v>0</v>
      </c>
    </row>
    <row r="3074" ht="21.95" customHeight="1" outlineLevel="3" s="1" customFormat="1">
      <c r="A3074" s="25"/>
      <c r="B3074" s="29">
        <v>3490</v>
      </c>
      <c r="C3074" s="29">
        <v>3490</v>
      </c>
      <c r="D3074" s="27" t="s">
        <v>10204</v>
      </c>
      <c r="E3074" s="27"/>
      <c r="F3074" s="27" t="s">
        <v>10205</v>
      </c>
      <c r="G3074" s="27" t="s">
        <v>10206</v>
      </c>
      <c r="H3074" s="27" t="s">
        <v>10207</v>
      </c>
      <c r="I3074" s="27" t="s">
        <v>74</v>
      </c>
      <c r="J3074" s="26">
        <v>2019</v>
      </c>
      <c r="K3074" s="27" t="s">
        <v>10208</v>
      </c>
      <c r="L3074" s="26">
        <v>9785001311034</v>
      </c>
      <c r="M3074" s="27" t="s">
        <v>10209</v>
      </c>
      <c r="N3074" s="26">
        <v>416</v>
      </c>
      <c r="O3074" s="28">
        <v>0.7</v>
      </c>
      <c r="P3074" s="26">
        <v>116</v>
      </c>
      <c r="Q3074" s="26">
        <v>217</v>
      </c>
      <c r="R3074" s="26">
        <v>1</v>
      </c>
      <c r="S3074" s="27" t="s">
        <v>43</v>
      </c>
      <c r="T3074" s="27" t="s">
        <v>421</v>
      </c>
      <c r="U3074" s="29">
        <v>4520</v>
      </c>
      <c r="V3074" s="27" t="s">
        <v>77</v>
      </c>
      <c r="W3074" s="27" t="s">
        <v>184</v>
      </c>
      <c r="X3074" s="26">
        <v>22</v>
      </c>
      <c r="Y3074" s="45" t="str">
        <f>HYPERLINK("","")</f>
      </c>
      <c r="Z3074" s="27"/>
      <c r="AS3074" s="1">
        <f>IF($A3074&lt;&gt;0,1,0)</f>
        <v>0</v>
      </c>
      <c r="AT3074" s="1">
        <f>$A3074*$B3074</f>
        <v>0</v>
      </c>
      <c r="AU3074" s="1">
        <f>$A3074*$O3074</f>
        <v>0</v>
      </c>
      <c r="AV3074" s="1">
        <f>IF($R3074=0,0,INT($A3074/$R3074))</f>
        <v>0</v>
      </c>
      <c r="AW3074" s="1">
        <f>$A3074-$AV3074*$R3074</f>
        <v>0</v>
      </c>
    </row>
    <row r="3075" ht="21.95" customHeight="1" outlineLevel="3" s="1" customFormat="1">
      <c r="A3075" s="25"/>
      <c r="B3075" s="29">
        <v>3990</v>
      </c>
      <c r="C3075" s="29">
        <v>3990</v>
      </c>
      <c r="D3075" s="27" t="s">
        <v>10210</v>
      </c>
      <c r="E3075" s="27"/>
      <c r="F3075" s="27" t="s">
        <v>10211</v>
      </c>
      <c r="G3075" s="27" t="s">
        <v>10212</v>
      </c>
      <c r="H3075" s="27" t="s">
        <v>10087</v>
      </c>
      <c r="I3075" s="27" t="s">
        <v>74</v>
      </c>
      <c r="J3075" s="26">
        <v>2019</v>
      </c>
      <c r="K3075" s="27" t="s">
        <v>10213</v>
      </c>
      <c r="L3075" s="26">
        <v>9785040991228</v>
      </c>
      <c r="M3075" s="27" t="s">
        <v>10214</v>
      </c>
      <c r="N3075" s="26">
        <v>112</v>
      </c>
      <c r="O3075" s="28">
        <v>0.2</v>
      </c>
      <c r="P3075" s="26">
        <v>146</v>
      </c>
      <c r="Q3075" s="26">
        <v>217</v>
      </c>
      <c r="R3075" s="26">
        <v>1</v>
      </c>
      <c r="S3075" s="27" t="s">
        <v>43</v>
      </c>
      <c r="T3075" s="27" t="s">
        <v>421</v>
      </c>
      <c r="U3075" s="29">
        <v>4500</v>
      </c>
      <c r="V3075" s="27" t="s">
        <v>77</v>
      </c>
      <c r="W3075" s="27" t="s">
        <v>91</v>
      </c>
      <c r="X3075" s="26">
        <v>22</v>
      </c>
      <c r="Y3075" s="45" t="str">
        <f>HYPERLINK("","")</f>
      </c>
      <c r="Z3075" s="27"/>
      <c r="AS3075" s="1">
        <f>IF($A3075&lt;&gt;0,1,0)</f>
        <v>0</v>
      </c>
      <c r="AT3075" s="1">
        <f>$A3075*$B3075</f>
        <v>0</v>
      </c>
      <c r="AU3075" s="1">
        <f>$A3075*$O3075</f>
        <v>0</v>
      </c>
      <c r="AV3075" s="1">
        <f>IF($R3075=0,0,INT($A3075/$R3075))</f>
        <v>0</v>
      </c>
      <c r="AW3075" s="1">
        <f>$A3075-$AV3075*$R3075</f>
        <v>0</v>
      </c>
    </row>
    <row r="3076" ht="24.95" customHeight="1" outlineLevel="3" s="1" customFormat="1">
      <c r="A3076" s="25"/>
      <c r="B3076" s="29">
        <v>4990</v>
      </c>
      <c r="C3076" s="29">
        <v>4990</v>
      </c>
      <c r="D3076" s="27" t="s">
        <v>10215</v>
      </c>
      <c r="E3076" s="27"/>
      <c r="F3076" s="27" t="s">
        <v>5106</v>
      </c>
      <c r="G3076" s="27" t="s">
        <v>10216</v>
      </c>
      <c r="H3076" s="27" t="s">
        <v>86</v>
      </c>
      <c r="I3076" s="27" t="s">
        <v>74</v>
      </c>
      <c r="J3076" s="26">
        <v>2019</v>
      </c>
      <c r="K3076" s="27" t="s">
        <v>10217</v>
      </c>
      <c r="L3076" s="26">
        <v>9785961430578</v>
      </c>
      <c r="M3076" s="27" t="s">
        <v>10218</v>
      </c>
      <c r="N3076" s="26">
        <v>293</v>
      </c>
      <c r="O3076" s="28">
        <v>0.5</v>
      </c>
      <c r="P3076" s="26">
        <v>146</v>
      </c>
      <c r="Q3076" s="26">
        <v>217</v>
      </c>
      <c r="R3076" s="26">
        <v>1</v>
      </c>
      <c r="S3076" s="27" t="s">
        <v>43</v>
      </c>
      <c r="T3076" s="27" t="s">
        <v>421</v>
      </c>
      <c r="U3076" s="29">
        <v>4500</v>
      </c>
      <c r="V3076" s="27" t="s">
        <v>9975</v>
      </c>
      <c r="W3076" s="27" t="s">
        <v>184</v>
      </c>
      <c r="X3076" s="26">
        <v>22</v>
      </c>
      <c r="Y3076" s="45" t="str">
        <f>HYPERLINK("","")</f>
      </c>
      <c r="Z3076" s="27"/>
      <c r="AS3076" s="1">
        <f>IF($A3076&lt;&gt;0,1,0)</f>
        <v>0</v>
      </c>
      <c r="AT3076" s="1">
        <f>$A3076*$B3076</f>
        <v>0</v>
      </c>
      <c r="AU3076" s="1">
        <f>$A3076*$O3076</f>
        <v>0</v>
      </c>
      <c r="AV3076" s="1">
        <f>IF($R3076=0,0,INT($A3076/$R3076))</f>
        <v>0</v>
      </c>
      <c r="AW3076" s="1">
        <f>$A3076-$AV3076*$R3076</f>
        <v>0</v>
      </c>
    </row>
    <row r="3077" ht="24.95" customHeight="1" outlineLevel="3" s="1" customFormat="1">
      <c r="A3077" s="25"/>
      <c r="B3077" s="29">
        <v>4490</v>
      </c>
      <c r="C3077" s="29">
        <v>4490</v>
      </c>
      <c r="D3077" s="27" t="s">
        <v>10219</v>
      </c>
      <c r="E3077" s="27"/>
      <c r="F3077" s="27" t="s">
        <v>10220</v>
      </c>
      <c r="G3077" s="27" t="s">
        <v>10221</v>
      </c>
      <c r="H3077" s="27" t="s">
        <v>10222</v>
      </c>
      <c r="I3077" s="27" t="s">
        <v>10223</v>
      </c>
      <c r="J3077" s="26">
        <v>2019</v>
      </c>
      <c r="K3077" s="27" t="s">
        <v>10224</v>
      </c>
      <c r="L3077" s="26">
        <v>9785604288283</v>
      </c>
      <c r="M3077" s="27" t="s">
        <v>10225</v>
      </c>
      <c r="N3077" s="26">
        <v>316</v>
      </c>
      <c r="O3077" s="28">
        <v>0.54</v>
      </c>
      <c r="P3077" s="26">
        <v>146</v>
      </c>
      <c r="Q3077" s="26">
        <v>217</v>
      </c>
      <c r="R3077" s="26">
        <v>1</v>
      </c>
      <c r="S3077" s="27" t="s">
        <v>43</v>
      </c>
      <c r="T3077" s="27" t="s">
        <v>421</v>
      </c>
      <c r="U3077" s="29">
        <v>4500</v>
      </c>
      <c r="V3077" s="27" t="s">
        <v>9975</v>
      </c>
      <c r="W3077" s="27" t="s">
        <v>184</v>
      </c>
      <c r="X3077" s="26">
        <v>22</v>
      </c>
      <c r="Y3077" s="45" t="str">
        <f>HYPERLINK("","")</f>
      </c>
      <c r="Z3077" s="27"/>
      <c r="AS3077" s="1">
        <f>IF($A3077&lt;&gt;0,1,0)</f>
        <v>0</v>
      </c>
      <c r="AT3077" s="1">
        <f>$A3077*$B3077</f>
        <v>0</v>
      </c>
      <c r="AU3077" s="1">
        <f>$A3077*$O3077</f>
        <v>0</v>
      </c>
      <c r="AV3077" s="1">
        <f>IF($R3077=0,0,INT($A3077/$R3077))</f>
        <v>0</v>
      </c>
      <c r="AW3077" s="1">
        <f>$A3077-$AV3077*$R3077</f>
        <v>0</v>
      </c>
    </row>
    <row r="3078" ht="24.95" customHeight="1" outlineLevel="3" s="1" customFormat="1">
      <c r="A3078" s="25"/>
      <c r="B3078" s="29">
        <v>5990</v>
      </c>
      <c r="C3078" s="29">
        <v>5990</v>
      </c>
      <c r="D3078" s="27" t="s">
        <v>10226</v>
      </c>
      <c r="E3078" s="27"/>
      <c r="F3078" s="27" t="s">
        <v>10227</v>
      </c>
      <c r="G3078" s="27" t="s">
        <v>10228</v>
      </c>
      <c r="H3078" s="27" t="s">
        <v>86</v>
      </c>
      <c r="I3078" s="27" t="s">
        <v>74</v>
      </c>
      <c r="J3078" s="26">
        <v>2019</v>
      </c>
      <c r="K3078" s="27" t="s">
        <v>10229</v>
      </c>
      <c r="L3078" s="26">
        <v>9785961430530</v>
      </c>
      <c r="M3078" s="27" t="s">
        <v>10230</v>
      </c>
      <c r="N3078" s="26">
        <v>218</v>
      </c>
      <c r="O3078" s="28">
        <v>0.37</v>
      </c>
      <c r="P3078" s="26">
        <v>146</v>
      </c>
      <c r="Q3078" s="26">
        <v>217</v>
      </c>
      <c r="R3078" s="26">
        <v>1</v>
      </c>
      <c r="S3078" s="27" t="s">
        <v>43</v>
      </c>
      <c r="T3078" s="27" t="s">
        <v>421</v>
      </c>
      <c r="U3078" s="29">
        <v>4500</v>
      </c>
      <c r="V3078" s="27" t="s">
        <v>9975</v>
      </c>
      <c r="W3078" s="27" t="s">
        <v>184</v>
      </c>
      <c r="X3078" s="26">
        <v>22</v>
      </c>
      <c r="Y3078" s="45" t="str">
        <f>HYPERLINK("","")</f>
      </c>
      <c r="Z3078" s="27"/>
      <c r="AS3078" s="1">
        <f>IF($A3078&lt;&gt;0,1,0)</f>
        <v>0</v>
      </c>
      <c r="AT3078" s="1">
        <f>$A3078*$B3078</f>
        <v>0</v>
      </c>
      <c r="AU3078" s="1">
        <f>$A3078*$O3078</f>
        <v>0</v>
      </c>
      <c r="AV3078" s="1">
        <f>IF($R3078=0,0,INT($A3078/$R3078))</f>
        <v>0</v>
      </c>
      <c r="AW3078" s="1">
        <f>$A3078-$AV3078*$R3078</f>
        <v>0</v>
      </c>
    </row>
    <row r="3079" ht="21.95" customHeight="1" outlineLevel="3" s="1" customFormat="1">
      <c r="A3079" s="25"/>
      <c r="B3079" s="29">
        <v>4490</v>
      </c>
      <c r="C3079" s="29">
        <v>4490</v>
      </c>
      <c r="D3079" s="27" t="s">
        <v>10231</v>
      </c>
      <c r="E3079" s="27"/>
      <c r="F3079" s="27" t="s">
        <v>10211</v>
      </c>
      <c r="G3079" s="27" t="s">
        <v>10232</v>
      </c>
      <c r="H3079" s="27" t="s">
        <v>10087</v>
      </c>
      <c r="I3079" s="27" t="s">
        <v>74</v>
      </c>
      <c r="J3079" s="26">
        <v>2020</v>
      </c>
      <c r="K3079" s="27" t="s">
        <v>10233</v>
      </c>
      <c r="L3079" s="26">
        <v>9785041112127</v>
      </c>
      <c r="M3079" s="27" t="s">
        <v>10234</v>
      </c>
      <c r="N3079" s="26">
        <v>224</v>
      </c>
      <c r="O3079" s="28">
        <v>0.38</v>
      </c>
      <c r="P3079" s="26">
        <v>146</v>
      </c>
      <c r="Q3079" s="26">
        <v>217</v>
      </c>
      <c r="R3079" s="26">
        <v>1</v>
      </c>
      <c r="S3079" s="27" t="s">
        <v>43</v>
      </c>
      <c r="T3079" s="27" t="s">
        <v>421</v>
      </c>
      <c r="U3079" s="29">
        <v>3500</v>
      </c>
      <c r="V3079" s="27" t="s">
        <v>9975</v>
      </c>
      <c r="W3079" s="27" t="s">
        <v>184</v>
      </c>
      <c r="X3079" s="26">
        <v>22</v>
      </c>
      <c r="Y3079" s="45" t="str">
        <f>HYPERLINK("","")</f>
      </c>
      <c r="Z3079" s="27"/>
      <c r="AS3079" s="1">
        <f>IF($A3079&lt;&gt;0,1,0)</f>
        <v>0</v>
      </c>
      <c r="AT3079" s="1">
        <f>$A3079*$B3079</f>
        <v>0</v>
      </c>
      <c r="AU3079" s="1">
        <f>$A3079*$O3079</f>
        <v>0</v>
      </c>
      <c r="AV3079" s="1">
        <f>IF($R3079=0,0,INT($A3079/$R3079))</f>
        <v>0</v>
      </c>
      <c r="AW3079" s="1">
        <f>$A3079-$AV3079*$R3079</f>
        <v>0</v>
      </c>
    </row>
    <row r="3080" ht="21.95" customHeight="1" outlineLevel="3" s="1" customFormat="1">
      <c r="A3080" s="25"/>
      <c r="B3080" s="29">
        <v>4490</v>
      </c>
      <c r="C3080" s="29">
        <v>4490</v>
      </c>
      <c r="D3080" s="27" t="s">
        <v>10235</v>
      </c>
      <c r="E3080" s="27"/>
      <c r="F3080" s="27" t="s">
        <v>10236</v>
      </c>
      <c r="G3080" s="27" t="s">
        <v>10237</v>
      </c>
      <c r="H3080" s="27" t="s">
        <v>9965</v>
      </c>
      <c r="I3080" s="27" t="s">
        <v>74</v>
      </c>
      <c r="J3080" s="26">
        <v>2020</v>
      </c>
      <c r="K3080" s="27" t="s">
        <v>10238</v>
      </c>
      <c r="L3080" s="26">
        <v>9785001691785</v>
      </c>
      <c r="M3080" s="27" t="s">
        <v>10239</v>
      </c>
      <c r="N3080" s="26">
        <v>224</v>
      </c>
      <c r="O3080" s="28">
        <v>0.38</v>
      </c>
      <c r="P3080" s="26">
        <v>146</v>
      </c>
      <c r="Q3080" s="26">
        <v>217</v>
      </c>
      <c r="R3080" s="26">
        <v>1</v>
      </c>
      <c r="S3080" s="27" t="s">
        <v>43</v>
      </c>
      <c r="T3080" s="27" t="s">
        <v>421</v>
      </c>
      <c r="U3080" s="29">
        <v>2521</v>
      </c>
      <c r="V3080" s="27" t="s">
        <v>9975</v>
      </c>
      <c r="W3080" s="27" t="s">
        <v>184</v>
      </c>
      <c r="X3080" s="26">
        <v>22</v>
      </c>
      <c r="Y3080" s="45" t="str">
        <f>HYPERLINK("","")</f>
      </c>
      <c r="Z3080" s="27"/>
      <c r="AS3080" s="1">
        <f>IF($A3080&lt;&gt;0,1,0)</f>
        <v>0</v>
      </c>
      <c r="AT3080" s="1">
        <f>$A3080*$B3080</f>
        <v>0</v>
      </c>
      <c r="AU3080" s="1">
        <f>$A3080*$O3080</f>
        <v>0</v>
      </c>
      <c r="AV3080" s="1">
        <f>IF($R3080=0,0,INT($A3080/$R3080))</f>
        <v>0</v>
      </c>
      <c r="AW3080" s="1">
        <f>$A3080-$AV3080*$R3080</f>
        <v>0</v>
      </c>
    </row>
    <row r="3081" ht="24.95" customHeight="1" outlineLevel="3" s="1" customFormat="1">
      <c r="A3081" s="25"/>
      <c r="B3081" s="29">
        <v>4990</v>
      </c>
      <c r="C3081" s="29">
        <v>4990</v>
      </c>
      <c r="D3081" s="27" t="s">
        <v>10240</v>
      </c>
      <c r="E3081" s="27"/>
      <c r="F3081" s="27" t="s">
        <v>10241</v>
      </c>
      <c r="G3081" s="27" t="s">
        <v>10242</v>
      </c>
      <c r="H3081" s="27" t="s">
        <v>10222</v>
      </c>
      <c r="I3081" s="27" t="s">
        <v>419</v>
      </c>
      <c r="J3081" s="26">
        <v>2020</v>
      </c>
      <c r="K3081" s="27" t="s">
        <v>10243</v>
      </c>
      <c r="L3081" s="26">
        <v>9785907274884</v>
      </c>
      <c r="M3081" s="27" t="s">
        <v>10244</v>
      </c>
      <c r="N3081" s="26">
        <v>168</v>
      </c>
      <c r="O3081" s="28">
        <v>0.28</v>
      </c>
      <c r="P3081" s="26">
        <v>146</v>
      </c>
      <c r="Q3081" s="26">
        <v>217</v>
      </c>
      <c r="R3081" s="26">
        <v>1</v>
      </c>
      <c r="S3081" s="27" t="s">
        <v>43</v>
      </c>
      <c r="T3081" s="27" t="s">
        <v>421</v>
      </c>
      <c r="U3081" s="29">
        <v>3500</v>
      </c>
      <c r="V3081" s="27" t="s">
        <v>77</v>
      </c>
      <c r="W3081" s="27" t="s">
        <v>91</v>
      </c>
      <c r="X3081" s="26">
        <v>22</v>
      </c>
      <c r="Y3081" s="45" t="str">
        <f>HYPERLINK("","")</f>
      </c>
      <c r="Z3081" s="27"/>
      <c r="AS3081" s="1">
        <f>IF($A3081&lt;&gt;0,1,0)</f>
        <v>0</v>
      </c>
      <c r="AT3081" s="1">
        <f>$A3081*$B3081</f>
        <v>0</v>
      </c>
      <c r="AU3081" s="1">
        <f>$A3081*$O3081</f>
        <v>0</v>
      </c>
      <c r="AV3081" s="1">
        <f>IF($R3081=0,0,INT($A3081/$R3081))</f>
        <v>0</v>
      </c>
      <c r="AW3081" s="1">
        <f>$A3081-$AV3081*$R3081</f>
        <v>0</v>
      </c>
    </row>
    <row r="3082" ht="24.95" customHeight="1" outlineLevel="3" s="1" customFormat="1">
      <c r="A3082" s="25"/>
      <c r="B3082" s="29">
        <v>4490</v>
      </c>
      <c r="C3082" s="29">
        <v>4490</v>
      </c>
      <c r="D3082" s="27" t="s">
        <v>10245</v>
      </c>
      <c r="E3082" s="27"/>
      <c r="F3082" s="27" t="s">
        <v>4868</v>
      </c>
      <c r="G3082" s="27" t="s">
        <v>10246</v>
      </c>
      <c r="H3082" s="27" t="s">
        <v>10247</v>
      </c>
      <c r="I3082" s="27" t="s">
        <v>419</v>
      </c>
      <c r="J3082" s="26">
        <v>2021</v>
      </c>
      <c r="K3082" s="27" t="s">
        <v>10248</v>
      </c>
      <c r="L3082" s="26">
        <v>9785907394674</v>
      </c>
      <c r="M3082" s="27" t="s">
        <v>10249</v>
      </c>
      <c r="N3082" s="26">
        <v>184</v>
      </c>
      <c r="O3082" s="28">
        <v>0.33</v>
      </c>
      <c r="P3082" s="26">
        <v>146</v>
      </c>
      <c r="Q3082" s="26">
        <v>216</v>
      </c>
      <c r="R3082" s="26">
        <v>1</v>
      </c>
      <c r="S3082" s="27" t="s">
        <v>43</v>
      </c>
      <c r="T3082" s="27" t="s">
        <v>421</v>
      </c>
      <c r="U3082" s="29">
        <v>3500</v>
      </c>
      <c r="V3082" s="27" t="s">
        <v>77</v>
      </c>
      <c r="W3082" s="27" t="s">
        <v>91</v>
      </c>
      <c r="X3082" s="26">
        <v>22</v>
      </c>
      <c r="Y3082" s="45" t="str">
        <f>HYPERLINK("","")</f>
      </c>
      <c r="Z3082" s="27"/>
      <c r="AS3082" s="1">
        <f>IF($A3082&lt;&gt;0,1,0)</f>
        <v>0</v>
      </c>
      <c r="AT3082" s="1">
        <f>$A3082*$B3082</f>
        <v>0</v>
      </c>
      <c r="AU3082" s="1">
        <f>$A3082*$O3082</f>
        <v>0</v>
      </c>
      <c r="AV3082" s="1">
        <f>IF($R3082=0,0,INT($A3082/$R3082))</f>
        <v>0</v>
      </c>
      <c r="AW3082" s="1">
        <f>$A3082-$AV3082*$R3082</f>
        <v>0</v>
      </c>
    </row>
    <row r="3083" ht="24.95" customHeight="1" outlineLevel="3" s="1" customFormat="1">
      <c r="A3083" s="25"/>
      <c r="B3083" s="29">
        <v>4990</v>
      </c>
      <c r="C3083" s="29">
        <v>4990</v>
      </c>
      <c r="D3083" s="27" t="s">
        <v>10250</v>
      </c>
      <c r="E3083" s="27"/>
      <c r="F3083" s="27" t="s">
        <v>10251</v>
      </c>
      <c r="G3083" s="27" t="s">
        <v>10252</v>
      </c>
      <c r="H3083" s="27" t="s">
        <v>10253</v>
      </c>
      <c r="I3083" s="27"/>
      <c r="J3083" s="26">
        <v>2021</v>
      </c>
      <c r="K3083" s="27" t="s">
        <v>10254</v>
      </c>
      <c r="L3083" s="26">
        <v>9785041591090</v>
      </c>
      <c r="M3083" s="27" t="s">
        <v>10255</v>
      </c>
      <c r="N3083" s="26">
        <v>224</v>
      </c>
      <c r="O3083" s="28">
        <v>0.38</v>
      </c>
      <c r="P3083" s="26">
        <v>146</v>
      </c>
      <c r="Q3083" s="26">
        <v>217</v>
      </c>
      <c r="R3083" s="26">
        <v>1</v>
      </c>
      <c r="S3083" s="27" t="s">
        <v>43</v>
      </c>
      <c r="T3083" s="27" t="s">
        <v>421</v>
      </c>
      <c r="U3083" s="29">
        <v>3500</v>
      </c>
      <c r="V3083" s="27" t="s">
        <v>9975</v>
      </c>
      <c r="W3083" s="27" t="s">
        <v>69</v>
      </c>
      <c r="X3083" s="26">
        <v>22</v>
      </c>
      <c r="Y3083" s="45" t="str">
        <f>HYPERLINK("","")</f>
      </c>
      <c r="Z3083" s="27"/>
      <c r="AS3083" s="1">
        <f>IF($A3083&lt;&gt;0,1,0)</f>
        <v>0</v>
      </c>
      <c r="AT3083" s="1">
        <f>$A3083*$B3083</f>
        <v>0</v>
      </c>
      <c r="AU3083" s="1">
        <f>$A3083*$O3083</f>
        <v>0</v>
      </c>
      <c r="AV3083" s="1">
        <f>IF($R3083=0,0,INT($A3083/$R3083))</f>
        <v>0</v>
      </c>
      <c r="AW3083" s="1">
        <f>$A3083-$AV3083*$R3083</f>
        <v>0</v>
      </c>
    </row>
    <row r="3084" ht="24.95" customHeight="1" outlineLevel="3" s="1" customFormat="1">
      <c r="A3084" s="25"/>
      <c r="B3084" s="29">
        <v>3990</v>
      </c>
      <c r="C3084" s="29">
        <v>3990</v>
      </c>
      <c r="D3084" s="27" t="s">
        <v>10256</v>
      </c>
      <c r="E3084" s="27"/>
      <c r="F3084" s="27" t="s">
        <v>10257</v>
      </c>
      <c r="G3084" s="27" t="s">
        <v>10258</v>
      </c>
      <c r="H3084" s="27" t="s">
        <v>10222</v>
      </c>
      <c r="I3084" s="27" t="s">
        <v>74</v>
      </c>
      <c r="J3084" s="26">
        <v>2021</v>
      </c>
      <c r="K3084" s="27" t="s">
        <v>10259</v>
      </c>
      <c r="L3084" s="26">
        <v>9785907470088</v>
      </c>
      <c r="M3084" s="27" t="s">
        <v>10260</v>
      </c>
      <c r="N3084" s="26">
        <v>440</v>
      </c>
      <c r="O3084" s="28">
        <v>0.82</v>
      </c>
      <c r="P3084" s="26">
        <v>168</v>
      </c>
      <c r="Q3084" s="26">
        <v>241</v>
      </c>
      <c r="R3084" s="26">
        <v>1</v>
      </c>
      <c r="S3084" s="27" t="s">
        <v>123</v>
      </c>
      <c r="T3084" s="27" t="s">
        <v>10261</v>
      </c>
      <c r="U3084" s="29">
        <v>5005</v>
      </c>
      <c r="V3084" s="27" t="s">
        <v>77</v>
      </c>
      <c r="W3084" s="27" t="s">
        <v>91</v>
      </c>
      <c r="X3084" s="26">
        <v>22</v>
      </c>
      <c r="Y3084" s="45" t="str">
        <f>HYPERLINK("","")</f>
      </c>
      <c r="Z3084" s="27"/>
      <c r="AS3084" s="1">
        <f>IF($A3084&lt;&gt;0,1,0)</f>
        <v>0</v>
      </c>
      <c r="AT3084" s="1">
        <f>$A3084*$B3084</f>
        <v>0</v>
      </c>
      <c r="AU3084" s="1">
        <f>$A3084*$O3084</f>
        <v>0</v>
      </c>
      <c r="AV3084" s="1">
        <f>IF($R3084=0,0,INT($A3084/$R3084))</f>
        <v>0</v>
      </c>
      <c r="AW3084" s="1">
        <f>$A3084-$AV3084*$R3084</f>
        <v>0</v>
      </c>
    </row>
    <row r="3085" ht="24.95" customHeight="1" outlineLevel="3" s="1" customFormat="1">
      <c r="A3085" s="25"/>
      <c r="B3085" s="29">
        <v>5990</v>
      </c>
      <c r="C3085" s="29">
        <v>5990</v>
      </c>
      <c r="D3085" s="27" t="s">
        <v>10262</v>
      </c>
      <c r="E3085" s="27"/>
      <c r="F3085" s="27" t="s">
        <v>10263</v>
      </c>
      <c r="G3085" s="27" t="s">
        <v>10264</v>
      </c>
      <c r="H3085" s="27" t="s">
        <v>10222</v>
      </c>
      <c r="I3085" s="27" t="s">
        <v>419</v>
      </c>
      <c r="J3085" s="26">
        <v>2021</v>
      </c>
      <c r="K3085" s="27" t="s">
        <v>10265</v>
      </c>
      <c r="L3085" s="26">
        <v>9785907394230</v>
      </c>
      <c r="M3085" s="27" t="s">
        <v>10266</v>
      </c>
      <c r="N3085" s="26">
        <v>328</v>
      </c>
      <c r="O3085" s="28">
        <v>0.65</v>
      </c>
      <c r="P3085" s="26">
        <v>168</v>
      </c>
      <c r="Q3085" s="26">
        <v>241</v>
      </c>
      <c r="R3085" s="26">
        <v>1</v>
      </c>
      <c r="S3085" s="27" t="s">
        <v>123</v>
      </c>
      <c r="T3085" s="27" t="s">
        <v>10261</v>
      </c>
      <c r="U3085" s="29">
        <v>5021</v>
      </c>
      <c r="V3085" s="27" t="s">
        <v>77</v>
      </c>
      <c r="W3085" s="27" t="s">
        <v>91</v>
      </c>
      <c r="X3085" s="26">
        <v>22</v>
      </c>
      <c r="Y3085" s="45" t="str">
        <f>HYPERLINK("","")</f>
      </c>
      <c r="Z3085" s="27"/>
      <c r="AS3085" s="1">
        <f>IF($A3085&lt;&gt;0,1,0)</f>
        <v>0</v>
      </c>
      <c r="AT3085" s="1">
        <f>$A3085*$B3085</f>
        <v>0</v>
      </c>
      <c r="AU3085" s="1">
        <f>$A3085*$O3085</f>
        <v>0</v>
      </c>
      <c r="AV3085" s="1">
        <f>IF($R3085=0,0,INT($A3085/$R3085))</f>
        <v>0</v>
      </c>
      <c r="AW3085" s="1">
        <f>$A3085-$AV3085*$R3085</f>
        <v>0</v>
      </c>
    </row>
    <row r="3086" ht="24.95" customHeight="1" outlineLevel="3" s="1" customFormat="1">
      <c r="A3086" s="25"/>
      <c r="B3086" s="29">
        <v>5990</v>
      </c>
      <c r="C3086" s="29">
        <v>5990</v>
      </c>
      <c r="D3086" s="27" t="s">
        <v>10267</v>
      </c>
      <c r="E3086" s="27"/>
      <c r="F3086" s="27" t="s">
        <v>10268</v>
      </c>
      <c r="G3086" s="27" t="s">
        <v>10269</v>
      </c>
      <c r="H3086" s="27" t="s">
        <v>10222</v>
      </c>
      <c r="I3086" s="27" t="s">
        <v>160</v>
      </c>
      <c r="J3086" s="26">
        <v>2020</v>
      </c>
      <c r="K3086" s="27" t="s">
        <v>10270</v>
      </c>
      <c r="L3086" s="26">
        <v>9785907394292</v>
      </c>
      <c r="M3086" s="27" t="s">
        <v>10271</v>
      </c>
      <c r="N3086" s="26">
        <v>348</v>
      </c>
      <c r="O3086" s="28">
        <v>0.73</v>
      </c>
      <c r="P3086" s="26">
        <v>168</v>
      </c>
      <c r="Q3086" s="26">
        <v>241</v>
      </c>
      <c r="R3086" s="26">
        <v>1</v>
      </c>
      <c r="S3086" s="27" t="s">
        <v>123</v>
      </c>
      <c r="T3086" s="27" t="s">
        <v>10261</v>
      </c>
      <c r="U3086" s="29">
        <v>5000</v>
      </c>
      <c r="V3086" s="27" t="s">
        <v>77</v>
      </c>
      <c r="W3086" s="27" t="s">
        <v>91</v>
      </c>
      <c r="X3086" s="26">
        <v>22</v>
      </c>
      <c r="Y3086" s="45" t="str">
        <f>HYPERLINK("","")</f>
      </c>
      <c r="Z3086" s="27"/>
      <c r="AS3086" s="1">
        <f>IF($A3086&lt;&gt;0,1,0)</f>
        <v>0</v>
      </c>
      <c r="AT3086" s="1">
        <f>$A3086*$B3086</f>
        <v>0</v>
      </c>
      <c r="AU3086" s="1">
        <f>$A3086*$O3086</f>
        <v>0</v>
      </c>
      <c r="AV3086" s="1">
        <f>IF($R3086=0,0,INT($A3086/$R3086))</f>
        <v>0</v>
      </c>
      <c r="AW3086" s="1">
        <f>$A3086-$AV3086*$R3086</f>
        <v>0</v>
      </c>
    </row>
    <row r="3087" ht="24.95" customHeight="1" outlineLevel="3" s="1" customFormat="1">
      <c r="A3087" s="25"/>
      <c r="B3087" s="29">
        <v>5990</v>
      </c>
      <c r="C3087" s="29">
        <v>5990</v>
      </c>
      <c r="D3087" s="27" t="s">
        <v>10272</v>
      </c>
      <c r="E3087" s="27"/>
      <c r="F3087" s="27" t="s">
        <v>10273</v>
      </c>
      <c r="G3087" s="27" t="s">
        <v>10274</v>
      </c>
      <c r="H3087" s="27" t="s">
        <v>9965</v>
      </c>
      <c r="I3087" s="27" t="s">
        <v>74</v>
      </c>
      <c r="J3087" s="26">
        <v>2019</v>
      </c>
      <c r="K3087" s="27" t="s">
        <v>10275</v>
      </c>
      <c r="L3087" s="26">
        <v>9785001465607</v>
      </c>
      <c r="M3087" s="27" t="s">
        <v>10276</v>
      </c>
      <c r="N3087" s="26">
        <v>368</v>
      </c>
      <c r="O3087" s="28">
        <v>0.77</v>
      </c>
      <c r="P3087" s="26">
        <v>168</v>
      </c>
      <c r="Q3087" s="26">
        <v>241</v>
      </c>
      <c r="R3087" s="26">
        <v>1</v>
      </c>
      <c r="S3087" s="27" t="s">
        <v>123</v>
      </c>
      <c r="T3087" s="27" t="s">
        <v>10261</v>
      </c>
      <c r="U3087" s="29">
        <v>10671</v>
      </c>
      <c r="V3087" s="27" t="s">
        <v>77</v>
      </c>
      <c r="W3087" s="27" t="s">
        <v>69</v>
      </c>
      <c r="X3087" s="26">
        <v>22</v>
      </c>
      <c r="Y3087" s="45" t="str">
        <f>HYPERLINK("","")</f>
      </c>
      <c r="Z3087" s="27"/>
      <c r="AS3087" s="1">
        <f>IF($A3087&lt;&gt;0,1,0)</f>
        <v>0</v>
      </c>
      <c r="AT3087" s="1">
        <f>$A3087*$B3087</f>
        <v>0</v>
      </c>
      <c r="AU3087" s="1">
        <f>$A3087*$O3087</f>
        <v>0</v>
      </c>
      <c r="AV3087" s="1">
        <f>IF($R3087=0,0,INT($A3087/$R3087))</f>
        <v>0</v>
      </c>
      <c r="AW3087" s="1">
        <f>$A3087-$AV3087*$R3087</f>
        <v>0</v>
      </c>
    </row>
    <row r="3088" ht="15" customHeight="1" outlineLevel="1">
      <c r="A3088" s="40" t="s">
        <v>10277</v>
      </c>
      <c r="B3088" s="40"/>
      <c r="C3088" s="40"/>
      <c r="D3088" s="40"/>
      <c r="E3088" s="40"/>
      <c r="F3088" s="40"/>
      <c r="G3088" s="40"/>
      <c r="H3088" s="40"/>
      <c r="I3088" s="40"/>
      <c r="J3088" s="40"/>
      <c r="K3088" s="40"/>
      <c r="L3088" s="40"/>
      <c r="M3088" s="40"/>
      <c r="N3088" s="40"/>
      <c r="O3088" s="40"/>
      <c r="P3088" s="40"/>
      <c r="Q3088" s="40"/>
      <c r="R3088" s="40"/>
      <c r="S3088" s="40"/>
      <c r="T3088" s="40"/>
      <c r="U3088" s="40"/>
      <c r="V3088" s="40"/>
      <c r="W3088" s="40"/>
      <c r="X3088" s="40"/>
      <c r="Y3088" s="40"/>
      <c r="Z3088" s="23"/>
    </row>
    <row r="3089" ht="11.1" customHeight="1" outlineLevel="2">
      <c r="A3089" s="41" t="s">
        <v>10278</v>
      </c>
      <c r="B3089" s="41"/>
      <c r="C3089" s="41"/>
      <c r="D3089" s="41"/>
      <c r="E3089" s="41"/>
      <c r="F3089" s="41"/>
      <c r="G3089" s="41"/>
      <c r="H3089" s="41"/>
      <c r="I3089" s="41"/>
      <c r="J3089" s="41"/>
      <c r="K3089" s="41"/>
      <c r="L3089" s="41"/>
      <c r="M3089" s="41"/>
      <c r="N3089" s="41"/>
      <c r="O3089" s="41"/>
      <c r="P3089" s="41"/>
      <c r="Q3089" s="41"/>
      <c r="R3089" s="41"/>
      <c r="S3089" s="41"/>
      <c r="T3089" s="41"/>
      <c r="U3089" s="41"/>
      <c r="V3089" s="41"/>
      <c r="W3089" s="41"/>
      <c r="X3089" s="41"/>
      <c r="Y3089" s="41"/>
      <c r="Z3089" s="24"/>
    </row>
    <row r="3090" ht="21.95" customHeight="1" outlineLevel="3" s="1" customFormat="1">
      <c r="A3090" s="15"/>
      <c r="B3090" s="17">
        <v>1434</v>
      </c>
      <c r="C3090" s="17">
        <v>1936</v>
      </c>
      <c r="D3090" s="16">
        <v>22942</v>
      </c>
      <c r="E3090" s="18"/>
      <c r="F3090" s="18" t="s">
        <v>10279</v>
      </c>
      <c r="G3090" s="18" t="s">
        <v>10280</v>
      </c>
      <c r="H3090" s="18" t="s">
        <v>10281</v>
      </c>
      <c r="I3090" s="18" t="s">
        <v>10282</v>
      </c>
      <c r="J3090" s="16">
        <v>2022</v>
      </c>
      <c r="K3090" s="18" t="s">
        <v>10283</v>
      </c>
      <c r="L3090" s="16">
        <v>9785961471885</v>
      </c>
      <c r="M3090" s="18" t="s">
        <v>10284</v>
      </c>
      <c r="N3090" s="16">
        <v>277</v>
      </c>
      <c r="O3090" s="19">
        <v>0.54</v>
      </c>
      <c r="P3090" s="16">
        <v>146</v>
      </c>
      <c r="Q3090" s="16">
        <v>223</v>
      </c>
      <c r="R3090" s="16">
        <v>12</v>
      </c>
      <c r="S3090" s="18" t="s">
        <v>43</v>
      </c>
      <c r="T3090" s="18"/>
      <c r="U3090" s="17">
        <v>1000</v>
      </c>
      <c r="V3090" s="18" t="s">
        <v>77</v>
      </c>
      <c r="W3090" s="18" t="s">
        <v>69</v>
      </c>
      <c r="X3090" s="16">
        <v>22</v>
      </c>
      <c r="Y3090" s="43" t="str">
        <f>HYPERLINK("","")</f>
      </c>
      <c r="Z3090" s="18"/>
      <c r="AS3090" s="1">
        <f>IF($A3090&lt;&gt;0,1,0)</f>
        <v>0</v>
      </c>
      <c r="AT3090" s="1">
        <f>$A3090*$B3090</f>
        <v>0</v>
      </c>
      <c r="AU3090" s="1">
        <f>$A3090*$O3090</f>
        <v>0</v>
      </c>
      <c r="AV3090" s="1">
        <f>IF($R3090=0,0,INT($A3090/$R3090))</f>
        <v>0</v>
      </c>
      <c r="AW3090" s="1">
        <f>$A3090-$AV3090*$R3090</f>
        <v>0</v>
      </c>
    </row>
    <row r="3091" ht="21.95" customHeight="1" outlineLevel="3" s="1" customFormat="1">
      <c r="A3091" s="15"/>
      <c r="B3091" s="17">
        <v>1434</v>
      </c>
      <c r="C3091" s="17">
        <v>1936</v>
      </c>
      <c r="D3091" s="16">
        <v>22333</v>
      </c>
      <c r="E3091" s="18"/>
      <c r="F3091" s="18" t="s">
        <v>10285</v>
      </c>
      <c r="G3091" s="18" t="s">
        <v>10286</v>
      </c>
      <c r="H3091" s="18" t="s">
        <v>10281</v>
      </c>
      <c r="I3091" s="18" t="s">
        <v>10282</v>
      </c>
      <c r="J3091" s="16">
        <v>2022</v>
      </c>
      <c r="K3091" s="18" t="s">
        <v>10287</v>
      </c>
      <c r="L3091" s="16">
        <v>9785961472011</v>
      </c>
      <c r="M3091" s="18" t="s">
        <v>10288</v>
      </c>
      <c r="N3091" s="16">
        <v>288</v>
      </c>
      <c r="O3091" s="19">
        <v>0.7</v>
      </c>
      <c r="P3091" s="16">
        <v>183</v>
      </c>
      <c r="Q3091" s="16">
        <v>260</v>
      </c>
      <c r="R3091" s="16">
        <v>5</v>
      </c>
      <c r="S3091" s="18" t="s">
        <v>123</v>
      </c>
      <c r="T3091" s="18"/>
      <c r="U3091" s="17">
        <v>1000</v>
      </c>
      <c r="V3091" s="18" t="s">
        <v>77</v>
      </c>
      <c r="W3091" s="18" t="s">
        <v>45</v>
      </c>
      <c r="X3091" s="16">
        <v>22</v>
      </c>
      <c r="Y3091" s="43" t="str">
        <f>HYPERLINK("","")</f>
      </c>
      <c r="Z3091" s="18"/>
      <c r="AS3091" s="1">
        <f>IF($A3091&lt;&gt;0,1,0)</f>
        <v>0</v>
      </c>
      <c r="AT3091" s="1">
        <f>$A3091*$B3091</f>
        <v>0</v>
      </c>
      <c r="AU3091" s="1">
        <f>$A3091*$O3091</f>
        <v>0</v>
      </c>
      <c r="AV3091" s="1">
        <f>IF($R3091=0,0,INT($A3091/$R3091))</f>
        <v>0</v>
      </c>
      <c r="AW3091" s="1">
        <f>$A3091-$AV3091*$R3091</f>
        <v>0</v>
      </c>
    </row>
    <row r="3092" ht="11.1" customHeight="1" outlineLevel="2">
      <c r="A3092" s="41" t="s">
        <v>10289</v>
      </c>
      <c r="B3092" s="41"/>
      <c r="C3092" s="41"/>
      <c r="D3092" s="41"/>
      <c r="E3092" s="41"/>
      <c r="F3092" s="41"/>
      <c r="G3092" s="41"/>
      <c r="H3092" s="41"/>
      <c r="I3092" s="41"/>
      <c r="J3092" s="41"/>
      <c r="K3092" s="41"/>
      <c r="L3092" s="41"/>
      <c r="M3092" s="41"/>
      <c r="N3092" s="41"/>
      <c r="O3092" s="41"/>
      <c r="P3092" s="41"/>
      <c r="Q3092" s="41"/>
      <c r="R3092" s="41"/>
      <c r="S3092" s="41"/>
      <c r="T3092" s="41"/>
      <c r="U3092" s="41"/>
      <c r="V3092" s="41"/>
      <c r="W3092" s="41"/>
      <c r="X3092" s="41"/>
      <c r="Y3092" s="41"/>
      <c r="Z3092" s="24"/>
    </row>
    <row r="3093" ht="21.95" customHeight="1" outlineLevel="3" s="1" customFormat="1">
      <c r="A3093" s="15"/>
      <c r="B3093" s="16">
        <v>752</v>
      </c>
      <c r="C3093" s="17">
        <v>1090</v>
      </c>
      <c r="D3093" s="16">
        <v>27352</v>
      </c>
      <c r="E3093" s="18"/>
      <c r="F3093" s="18" t="s">
        <v>10290</v>
      </c>
      <c r="G3093" s="18" t="s">
        <v>10291</v>
      </c>
      <c r="H3093" s="18" t="s">
        <v>592</v>
      </c>
      <c r="I3093" s="18"/>
      <c r="J3093" s="16">
        <v>2022</v>
      </c>
      <c r="K3093" s="18" t="s">
        <v>10292</v>
      </c>
      <c r="L3093" s="16">
        <v>9786018011092</v>
      </c>
      <c r="M3093" s="18" t="s">
        <v>10293</v>
      </c>
      <c r="N3093" s="16">
        <v>406</v>
      </c>
      <c r="O3093" s="19">
        <v>0.76</v>
      </c>
      <c r="P3093" s="16">
        <v>170</v>
      </c>
      <c r="Q3093" s="16">
        <v>240</v>
      </c>
      <c r="R3093" s="16">
        <v>5</v>
      </c>
      <c r="S3093" s="18" t="s">
        <v>123</v>
      </c>
      <c r="T3093" s="18"/>
      <c r="U3093" s="17">
        <v>1000</v>
      </c>
      <c r="V3093" s="18" t="s">
        <v>77</v>
      </c>
      <c r="W3093" s="18" t="s">
        <v>69</v>
      </c>
      <c r="X3093" s="16">
        <v>22</v>
      </c>
      <c r="Y3093" s="43" t="str">
        <f>HYPERLINK("","")</f>
      </c>
      <c r="Z3093" s="18"/>
      <c r="AS3093" s="1">
        <f>IF($A3093&lt;&gt;0,1,0)</f>
        <v>0</v>
      </c>
      <c r="AT3093" s="1">
        <f>$A3093*$B3093</f>
        <v>0</v>
      </c>
      <c r="AU3093" s="1">
        <f>$A3093*$O3093</f>
        <v>0</v>
      </c>
      <c r="AV3093" s="1">
        <f>IF($R3093=0,0,INT($A3093/$R3093))</f>
        <v>0</v>
      </c>
      <c r="AW3093" s="1">
        <f>$A3093-$AV3093*$R3093</f>
        <v>0</v>
      </c>
    </row>
    <row r="3094" ht="21.95" customHeight="1" outlineLevel="3" s="1" customFormat="1">
      <c r="A3094" s="25"/>
      <c r="B3094" s="26">
        <v>854</v>
      </c>
      <c r="C3094" s="29">
        <v>1196</v>
      </c>
      <c r="D3094" s="26">
        <v>30910</v>
      </c>
      <c r="E3094" s="27"/>
      <c r="F3094" s="27" t="s">
        <v>10294</v>
      </c>
      <c r="G3094" s="27" t="s">
        <v>10295</v>
      </c>
      <c r="H3094" s="27" t="s">
        <v>592</v>
      </c>
      <c r="I3094" s="27" t="s">
        <v>74</v>
      </c>
      <c r="J3094" s="26">
        <v>2025</v>
      </c>
      <c r="K3094" s="27" t="s">
        <v>10296</v>
      </c>
      <c r="L3094" s="26">
        <v>9786018210297</v>
      </c>
      <c r="M3094" s="27" t="s">
        <v>10297</v>
      </c>
      <c r="N3094" s="26">
        <v>228</v>
      </c>
      <c r="O3094" s="28">
        <v>0.21</v>
      </c>
      <c r="P3094" s="26">
        <v>140</v>
      </c>
      <c r="Q3094" s="26">
        <v>210</v>
      </c>
      <c r="R3094" s="26">
        <v>10</v>
      </c>
      <c r="S3094" s="27" t="s">
        <v>43</v>
      </c>
      <c r="T3094" s="27"/>
      <c r="U3094" s="29">
        <v>1000</v>
      </c>
      <c r="V3094" s="27" t="s">
        <v>44</v>
      </c>
      <c r="W3094" s="27" t="s">
        <v>45</v>
      </c>
      <c r="X3094" s="26">
        <v>22</v>
      </c>
      <c r="Y3094" s="45" t="str">
        <f>HYPERLINK("","")</f>
      </c>
      <c r="Z3094" s="27"/>
      <c r="AS3094" s="1">
        <f>IF($A3094&lt;&gt;0,1,0)</f>
        <v>0</v>
      </c>
      <c r="AT3094" s="1">
        <f>$A3094*$B3094</f>
        <v>0</v>
      </c>
      <c r="AU3094" s="1">
        <f>$A3094*$O3094</f>
        <v>0</v>
      </c>
      <c r="AV3094" s="1">
        <f>IF($R3094=0,0,INT($A3094/$R3094))</f>
        <v>0</v>
      </c>
      <c r="AW3094" s="1">
        <f>$A3094-$AV3094*$R3094</f>
        <v>0</v>
      </c>
    </row>
    <row r="3095" ht="24.95" customHeight="1" outlineLevel="3" s="1" customFormat="1">
      <c r="A3095" s="15"/>
      <c r="B3095" s="16">
        <v>803</v>
      </c>
      <c r="C3095" s="17">
        <v>1164</v>
      </c>
      <c r="D3095" s="16">
        <v>25241</v>
      </c>
      <c r="E3095" s="18"/>
      <c r="F3095" s="18" t="s">
        <v>3308</v>
      </c>
      <c r="G3095" s="18" t="s">
        <v>10298</v>
      </c>
      <c r="H3095" s="18" t="s">
        <v>592</v>
      </c>
      <c r="I3095" s="18" t="s">
        <v>74</v>
      </c>
      <c r="J3095" s="16">
        <v>2023</v>
      </c>
      <c r="K3095" s="18" t="s">
        <v>10299</v>
      </c>
      <c r="L3095" s="16">
        <v>9786018011078</v>
      </c>
      <c r="M3095" s="18" t="s">
        <v>10300</v>
      </c>
      <c r="N3095" s="16">
        <v>190</v>
      </c>
      <c r="O3095" s="19">
        <v>0.33</v>
      </c>
      <c r="P3095" s="16">
        <v>150</v>
      </c>
      <c r="Q3095" s="16">
        <v>220</v>
      </c>
      <c r="R3095" s="16">
        <v>6</v>
      </c>
      <c r="S3095" s="18" t="s">
        <v>43</v>
      </c>
      <c r="T3095" s="18"/>
      <c r="U3095" s="17">
        <v>1000</v>
      </c>
      <c r="V3095" s="18" t="s">
        <v>77</v>
      </c>
      <c r="W3095" s="18" t="s">
        <v>69</v>
      </c>
      <c r="X3095" s="16">
        <v>22</v>
      </c>
      <c r="Y3095" s="43" t="str">
        <f>HYPERLINK("","")</f>
      </c>
      <c r="Z3095" s="18"/>
      <c r="AS3095" s="1">
        <f>IF($A3095&lt;&gt;0,1,0)</f>
        <v>0</v>
      </c>
      <c r="AT3095" s="1">
        <f>$A3095*$B3095</f>
        <v>0</v>
      </c>
      <c r="AU3095" s="1">
        <f>$A3095*$O3095</f>
        <v>0</v>
      </c>
      <c r="AV3095" s="1">
        <f>IF($R3095=0,0,INT($A3095/$R3095))</f>
        <v>0</v>
      </c>
      <c r="AW3095" s="1">
        <f>$A3095-$AV3095*$R3095</f>
        <v>0</v>
      </c>
    </row>
    <row r="3096" ht="21.95" customHeight="1" outlineLevel="3" s="1" customFormat="1">
      <c r="A3096" s="15"/>
      <c r="B3096" s="16">
        <v>498</v>
      </c>
      <c r="C3096" s="16">
        <v>772</v>
      </c>
      <c r="D3096" s="16">
        <v>29315</v>
      </c>
      <c r="E3096" s="18"/>
      <c r="F3096" s="18" t="s">
        <v>10301</v>
      </c>
      <c r="G3096" s="18" t="s">
        <v>10302</v>
      </c>
      <c r="H3096" s="18" t="s">
        <v>592</v>
      </c>
      <c r="I3096" s="18" t="s">
        <v>74</v>
      </c>
      <c r="J3096" s="16">
        <v>2024</v>
      </c>
      <c r="K3096" s="18" t="s">
        <v>10303</v>
      </c>
      <c r="L3096" s="16">
        <v>9789965472862</v>
      </c>
      <c r="M3096" s="18" t="s">
        <v>10304</v>
      </c>
      <c r="N3096" s="16">
        <v>167</v>
      </c>
      <c r="O3096" s="19">
        <v>0.31</v>
      </c>
      <c r="P3096" s="16">
        <v>150</v>
      </c>
      <c r="Q3096" s="16">
        <v>220</v>
      </c>
      <c r="R3096" s="16">
        <v>10</v>
      </c>
      <c r="S3096" s="18" t="s">
        <v>43</v>
      </c>
      <c r="T3096" s="18"/>
      <c r="U3096" s="17">
        <v>1000</v>
      </c>
      <c r="V3096" s="18" t="s">
        <v>77</v>
      </c>
      <c r="W3096" s="18" t="s">
        <v>69</v>
      </c>
      <c r="X3096" s="16">
        <v>22</v>
      </c>
      <c r="Y3096" s="43" t="str">
        <f>HYPERLINK("","")</f>
      </c>
      <c r="Z3096" s="18" t="s">
        <v>46</v>
      </c>
      <c r="AS3096" s="1">
        <f>IF($A3096&lt;&gt;0,1,0)</f>
        <v>0</v>
      </c>
      <c r="AT3096" s="1">
        <f>$A3096*$B3096</f>
        <v>0</v>
      </c>
      <c r="AU3096" s="1">
        <f>$A3096*$O3096</f>
        <v>0</v>
      </c>
      <c r="AV3096" s="1">
        <f>IF($R3096=0,0,INT($A3096/$R3096))</f>
        <v>0</v>
      </c>
      <c r="AW3096" s="1">
        <f>$A3096-$AV3096*$R3096</f>
        <v>0</v>
      </c>
    </row>
    <row r="3097" ht="24.95" customHeight="1" outlineLevel="3" s="1" customFormat="1">
      <c r="A3097" s="15"/>
      <c r="B3097" s="16">
        <v>498</v>
      </c>
      <c r="C3097" s="16">
        <v>772</v>
      </c>
      <c r="D3097" s="16">
        <v>30270</v>
      </c>
      <c r="E3097" s="18"/>
      <c r="F3097" s="18" t="s">
        <v>524</v>
      </c>
      <c r="G3097" s="18" t="s">
        <v>10305</v>
      </c>
      <c r="H3097" s="18" t="s">
        <v>592</v>
      </c>
      <c r="I3097" s="18" t="s">
        <v>87</v>
      </c>
      <c r="J3097" s="16">
        <v>2024</v>
      </c>
      <c r="K3097" s="18" t="s">
        <v>10306</v>
      </c>
      <c r="L3097" s="16">
        <v>9786017147945</v>
      </c>
      <c r="M3097" s="18" t="s">
        <v>10307</v>
      </c>
      <c r="N3097" s="16">
        <v>32</v>
      </c>
      <c r="O3097" s="19">
        <v>0.16</v>
      </c>
      <c r="P3097" s="16">
        <v>190</v>
      </c>
      <c r="Q3097" s="16">
        <v>180</v>
      </c>
      <c r="R3097" s="16">
        <v>20</v>
      </c>
      <c r="S3097" s="18" t="s">
        <v>52</v>
      </c>
      <c r="T3097" s="18"/>
      <c r="U3097" s="17">
        <v>3005</v>
      </c>
      <c r="V3097" s="18" t="s">
        <v>77</v>
      </c>
      <c r="W3097" s="18" t="s">
        <v>8203</v>
      </c>
      <c r="X3097" s="16">
        <v>22</v>
      </c>
      <c r="Y3097" s="43" t="str">
        <f>HYPERLINK("","")</f>
      </c>
      <c r="Z3097" s="18"/>
      <c r="AS3097" s="1">
        <f>IF($A3097&lt;&gt;0,1,0)</f>
        <v>0</v>
      </c>
      <c r="AT3097" s="1">
        <f>$A3097*$B3097</f>
        <v>0</v>
      </c>
      <c r="AU3097" s="1">
        <f>$A3097*$O3097</f>
        <v>0</v>
      </c>
      <c r="AV3097" s="1">
        <f>IF($R3097=0,0,INT($A3097/$R3097))</f>
        <v>0</v>
      </c>
      <c r="AW3097" s="1">
        <f>$A3097-$AV3097*$R3097</f>
        <v>0</v>
      </c>
    </row>
    <row r="3098" ht="24.95" customHeight="1" outlineLevel="3" s="1" customFormat="1">
      <c r="A3098" s="15"/>
      <c r="B3098" s="16">
        <v>498</v>
      </c>
      <c r="C3098" s="16">
        <v>772</v>
      </c>
      <c r="D3098" s="16">
        <v>30268</v>
      </c>
      <c r="E3098" s="18"/>
      <c r="F3098" s="18" t="s">
        <v>524</v>
      </c>
      <c r="G3098" s="18" t="s">
        <v>10308</v>
      </c>
      <c r="H3098" s="18" t="s">
        <v>592</v>
      </c>
      <c r="I3098" s="18" t="s">
        <v>87</v>
      </c>
      <c r="J3098" s="16">
        <v>2024</v>
      </c>
      <c r="K3098" s="18" t="s">
        <v>10309</v>
      </c>
      <c r="L3098" s="16">
        <v>9789965472893</v>
      </c>
      <c r="M3098" s="18" t="s">
        <v>10310</v>
      </c>
      <c r="N3098" s="16">
        <v>32</v>
      </c>
      <c r="O3098" s="19">
        <v>0.16</v>
      </c>
      <c r="P3098" s="16">
        <v>190</v>
      </c>
      <c r="Q3098" s="16">
        <v>180</v>
      </c>
      <c r="R3098" s="16">
        <v>20</v>
      </c>
      <c r="S3098" s="18" t="s">
        <v>52</v>
      </c>
      <c r="T3098" s="18"/>
      <c r="U3098" s="17">
        <v>3005</v>
      </c>
      <c r="V3098" s="18" t="s">
        <v>77</v>
      </c>
      <c r="W3098" s="18" t="s">
        <v>8203</v>
      </c>
      <c r="X3098" s="16">
        <v>22</v>
      </c>
      <c r="Y3098" s="43" t="str">
        <f>HYPERLINK("","")</f>
      </c>
      <c r="Z3098" s="18"/>
      <c r="AS3098" s="1">
        <f>IF($A3098&lt;&gt;0,1,0)</f>
        <v>0</v>
      </c>
      <c r="AT3098" s="1">
        <f>$A3098*$B3098</f>
        <v>0</v>
      </c>
      <c r="AU3098" s="1">
        <f>$A3098*$O3098</f>
        <v>0</v>
      </c>
      <c r="AV3098" s="1">
        <f>IF($R3098=0,0,INT($A3098/$R3098))</f>
        <v>0</v>
      </c>
      <c r="AW3098" s="1">
        <f>$A3098-$AV3098*$R3098</f>
        <v>0</v>
      </c>
    </row>
    <row r="3099" ht="24.95" customHeight="1" outlineLevel="3" s="1" customFormat="1">
      <c r="A3099" s="15"/>
      <c r="B3099" s="16">
        <v>498</v>
      </c>
      <c r="C3099" s="16">
        <v>772</v>
      </c>
      <c r="D3099" s="16">
        <v>30271</v>
      </c>
      <c r="E3099" s="18"/>
      <c r="F3099" s="18" t="s">
        <v>524</v>
      </c>
      <c r="G3099" s="18" t="s">
        <v>10311</v>
      </c>
      <c r="H3099" s="18" t="s">
        <v>592</v>
      </c>
      <c r="I3099" s="18" t="s">
        <v>87</v>
      </c>
      <c r="J3099" s="16">
        <v>2024</v>
      </c>
      <c r="K3099" s="18" t="s">
        <v>10312</v>
      </c>
      <c r="L3099" s="16">
        <v>9789965472909</v>
      </c>
      <c r="M3099" s="18" t="s">
        <v>10313</v>
      </c>
      <c r="N3099" s="16">
        <v>32</v>
      </c>
      <c r="O3099" s="19">
        <v>0.16</v>
      </c>
      <c r="P3099" s="16">
        <v>190</v>
      </c>
      <c r="Q3099" s="16">
        <v>180</v>
      </c>
      <c r="R3099" s="16">
        <v>20</v>
      </c>
      <c r="S3099" s="18" t="s">
        <v>52</v>
      </c>
      <c r="T3099" s="18"/>
      <c r="U3099" s="17">
        <v>3005</v>
      </c>
      <c r="V3099" s="18" t="s">
        <v>77</v>
      </c>
      <c r="W3099" s="18" t="s">
        <v>8203</v>
      </c>
      <c r="X3099" s="16">
        <v>22</v>
      </c>
      <c r="Y3099" s="43" t="str">
        <f>HYPERLINK("","")</f>
      </c>
      <c r="Z3099" s="18"/>
      <c r="AS3099" s="1">
        <f>IF($A3099&lt;&gt;0,1,0)</f>
        <v>0</v>
      </c>
      <c r="AT3099" s="1">
        <f>$A3099*$B3099</f>
        <v>0</v>
      </c>
      <c r="AU3099" s="1">
        <f>$A3099*$O3099</f>
        <v>0</v>
      </c>
      <c r="AV3099" s="1">
        <f>IF($R3099=0,0,INT($A3099/$R3099))</f>
        <v>0</v>
      </c>
      <c r="AW3099" s="1">
        <f>$A3099-$AV3099*$R3099</f>
        <v>0</v>
      </c>
    </row>
    <row r="3100" ht="24.95" customHeight="1" outlineLevel="3" s="1" customFormat="1">
      <c r="A3100" s="15"/>
      <c r="B3100" s="16">
        <v>498</v>
      </c>
      <c r="C3100" s="16">
        <v>772</v>
      </c>
      <c r="D3100" s="16">
        <v>30272</v>
      </c>
      <c r="E3100" s="18"/>
      <c r="F3100" s="18" t="s">
        <v>524</v>
      </c>
      <c r="G3100" s="18" t="s">
        <v>10314</v>
      </c>
      <c r="H3100" s="18" t="s">
        <v>592</v>
      </c>
      <c r="I3100" s="18" t="s">
        <v>87</v>
      </c>
      <c r="J3100" s="16">
        <v>2024</v>
      </c>
      <c r="K3100" s="18" t="s">
        <v>10315</v>
      </c>
      <c r="L3100" s="16">
        <v>9786017147952</v>
      </c>
      <c r="M3100" s="18" t="s">
        <v>10316</v>
      </c>
      <c r="N3100" s="16">
        <v>32</v>
      </c>
      <c r="O3100" s="19">
        <v>0.15</v>
      </c>
      <c r="P3100" s="16">
        <v>190</v>
      </c>
      <c r="Q3100" s="16">
        <v>180</v>
      </c>
      <c r="R3100" s="16">
        <v>20</v>
      </c>
      <c r="S3100" s="18" t="s">
        <v>52</v>
      </c>
      <c r="T3100" s="18"/>
      <c r="U3100" s="17">
        <v>3005</v>
      </c>
      <c r="V3100" s="18" t="s">
        <v>77</v>
      </c>
      <c r="W3100" s="18" t="s">
        <v>8203</v>
      </c>
      <c r="X3100" s="16">
        <v>22</v>
      </c>
      <c r="Y3100" s="43" t="str">
        <f>HYPERLINK("","")</f>
      </c>
      <c r="Z3100" s="18"/>
      <c r="AS3100" s="1">
        <f>IF($A3100&lt;&gt;0,1,0)</f>
        <v>0</v>
      </c>
      <c r="AT3100" s="1">
        <f>$A3100*$B3100</f>
        <v>0</v>
      </c>
      <c r="AU3100" s="1">
        <f>$A3100*$O3100</f>
        <v>0</v>
      </c>
      <c r="AV3100" s="1">
        <f>IF($R3100=0,0,INT($A3100/$R3100))</f>
        <v>0</v>
      </c>
      <c r="AW3100" s="1">
        <f>$A3100-$AV3100*$R3100</f>
        <v>0</v>
      </c>
    </row>
    <row r="3101" ht="24.95" customHeight="1" outlineLevel="3" s="1" customFormat="1">
      <c r="A3101" s="25"/>
      <c r="B3101" s="26">
        <v>600</v>
      </c>
      <c r="C3101" s="26">
        <v>900</v>
      </c>
      <c r="D3101" s="26">
        <v>30269</v>
      </c>
      <c r="E3101" s="27"/>
      <c r="F3101" s="27" t="s">
        <v>524</v>
      </c>
      <c r="G3101" s="27" t="s">
        <v>10317</v>
      </c>
      <c r="H3101" s="27" t="s">
        <v>592</v>
      </c>
      <c r="I3101" s="27" t="s">
        <v>87</v>
      </c>
      <c r="J3101" s="26">
        <v>2024</v>
      </c>
      <c r="K3101" s="27" t="s">
        <v>10318</v>
      </c>
      <c r="L3101" s="26">
        <v>9789965472886</v>
      </c>
      <c r="M3101" s="27" t="s">
        <v>10319</v>
      </c>
      <c r="N3101" s="26">
        <v>32</v>
      </c>
      <c r="O3101" s="28">
        <v>0.16</v>
      </c>
      <c r="P3101" s="26">
        <v>180</v>
      </c>
      <c r="Q3101" s="26">
        <v>190</v>
      </c>
      <c r="R3101" s="26">
        <v>10</v>
      </c>
      <c r="S3101" s="27" t="s">
        <v>52</v>
      </c>
      <c r="T3101" s="27"/>
      <c r="U3101" s="29">
        <v>1000</v>
      </c>
      <c r="V3101" s="27" t="s">
        <v>77</v>
      </c>
      <c r="W3101" s="27" t="s">
        <v>8203</v>
      </c>
      <c r="X3101" s="26">
        <v>22</v>
      </c>
      <c r="Y3101" s="45" t="str">
        <f>HYPERLINK("","")</f>
      </c>
      <c r="Z3101" s="27"/>
      <c r="AS3101" s="1">
        <f>IF($A3101&lt;&gt;0,1,0)</f>
        <v>0</v>
      </c>
      <c r="AT3101" s="1">
        <f>$A3101*$B3101</f>
        <v>0</v>
      </c>
      <c r="AU3101" s="1">
        <f>$A3101*$O3101</f>
        <v>0</v>
      </c>
      <c r="AV3101" s="1">
        <f>IF($R3101=0,0,INT($A3101/$R3101))</f>
        <v>0</v>
      </c>
      <c r="AW3101" s="1">
        <f>$A3101-$AV3101*$R3101</f>
        <v>0</v>
      </c>
    </row>
    <row r="3102" ht="24.95" customHeight="1" outlineLevel="3" s="1" customFormat="1">
      <c r="A3102" s="15"/>
      <c r="B3102" s="17">
        <v>1312</v>
      </c>
      <c r="C3102" s="17">
        <v>1771</v>
      </c>
      <c r="D3102" s="16">
        <v>28687</v>
      </c>
      <c r="E3102" s="18"/>
      <c r="F3102" s="18" t="s">
        <v>10320</v>
      </c>
      <c r="G3102" s="18" t="s">
        <v>10321</v>
      </c>
      <c r="H3102" s="18" t="s">
        <v>592</v>
      </c>
      <c r="I3102" s="18" t="s">
        <v>74</v>
      </c>
      <c r="J3102" s="16">
        <v>2024</v>
      </c>
      <c r="K3102" s="18" t="s">
        <v>10322</v>
      </c>
      <c r="L3102" s="16">
        <v>9786017147877</v>
      </c>
      <c r="M3102" s="18" t="s">
        <v>10323</v>
      </c>
      <c r="N3102" s="16">
        <v>473</v>
      </c>
      <c r="O3102" s="19">
        <v>0.63</v>
      </c>
      <c r="P3102" s="16">
        <v>170</v>
      </c>
      <c r="Q3102" s="16">
        <v>240</v>
      </c>
      <c r="R3102" s="16">
        <v>4</v>
      </c>
      <c r="S3102" s="18" t="s">
        <v>123</v>
      </c>
      <c r="T3102" s="18"/>
      <c r="U3102" s="17">
        <v>2700</v>
      </c>
      <c r="V3102" s="18" t="s">
        <v>44</v>
      </c>
      <c r="W3102" s="18" t="s">
        <v>45</v>
      </c>
      <c r="X3102" s="16">
        <v>22</v>
      </c>
      <c r="Y3102" s="43" t="str">
        <f>HYPERLINK("","")</f>
      </c>
      <c r="Z3102" s="18"/>
      <c r="AS3102" s="1">
        <f>IF($A3102&lt;&gt;0,1,0)</f>
        <v>0</v>
      </c>
      <c r="AT3102" s="1">
        <f>$A3102*$B3102</f>
        <v>0</v>
      </c>
      <c r="AU3102" s="1">
        <f>$A3102*$O3102</f>
        <v>0</v>
      </c>
      <c r="AV3102" s="1">
        <f>IF($R3102=0,0,INT($A3102/$R3102))</f>
        <v>0</v>
      </c>
      <c r="AW3102" s="1">
        <f>$A3102-$AV3102*$R3102</f>
        <v>0</v>
      </c>
    </row>
    <row r="3103" ht="21.95" customHeight="1" outlineLevel="3" s="1" customFormat="1">
      <c r="A3103" s="15"/>
      <c r="B3103" s="16">
        <v>600</v>
      </c>
      <c r="C3103" s="16">
        <v>900</v>
      </c>
      <c r="D3103" s="16">
        <v>30960</v>
      </c>
      <c r="E3103" s="18"/>
      <c r="F3103" s="18" t="s">
        <v>10324</v>
      </c>
      <c r="G3103" s="18" t="s">
        <v>10325</v>
      </c>
      <c r="H3103" s="18" t="s">
        <v>592</v>
      </c>
      <c r="I3103" s="18" t="s">
        <v>10326</v>
      </c>
      <c r="J3103" s="16">
        <v>2024</v>
      </c>
      <c r="K3103" s="18" t="s">
        <v>10327</v>
      </c>
      <c r="L3103" s="16">
        <v>9786010966925</v>
      </c>
      <c r="M3103" s="18" t="s">
        <v>10328</v>
      </c>
      <c r="N3103" s="16">
        <v>152</v>
      </c>
      <c r="O3103" s="19">
        <v>0.29</v>
      </c>
      <c r="P3103" s="16">
        <v>150</v>
      </c>
      <c r="Q3103" s="16">
        <v>220</v>
      </c>
      <c r="R3103" s="16">
        <v>10</v>
      </c>
      <c r="S3103" s="18" t="s">
        <v>43</v>
      </c>
      <c r="T3103" s="18"/>
      <c r="U3103" s="17">
        <v>1500</v>
      </c>
      <c r="V3103" s="18" t="s">
        <v>77</v>
      </c>
      <c r="W3103" s="18" t="s">
        <v>45</v>
      </c>
      <c r="X3103" s="16">
        <v>22</v>
      </c>
      <c r="Y3103" s="43" t="str">
        <f>HYPERLINK("","")</f>
      </c>
      <c r="Z3103" s="18"/>
      <c r="AS3103" s="1">
        <f>IF($A3103&lt;&gt;0,1,0)</f>
        <v>0</v>
      </c>
      <c r="AT3103" s="1">
        <f>$A3103*$B3103</f>
        <v>0</v>
      </c>
      <c r="AU3103" s="1">
        <f>$A3103*$O3103</f>
        <v>0</v>
      </c>
      <c r="AV3103" s="1">
        <f>IF($R3103=0,0,INT($A3103/$R3103))</f>
        <v>0</v>
      </c>
      <c r="AW3103" s="1">
        <f>$A3103-$AV3103*$R3103</f>
        <v>0</v>
      </c>
    </row>
    <row r="3104" ht="21.95" customHeight="1" outlineLevel="3" s="1" customFormat="1">
      <c r="A3104" s="25"/>
      <c r="B3104" s="26">
        <v>905</v>
      </c>
      <c r="C3104" s="29">
        <v>1267</v>
      </c>
      <c r="D3104" s="26">
        <v>31164</v>
      </c>
      <c r="E3104" s="27"/>
      <c r="F3104" s="27" t="s">
        <v>10329</v>
      </c>
      <c r="G3104" s="27" t="s">
        <v>10330</v>
      </c>
      <c r="H3104" s="27" t="s">
        <v>592</v>
      </c>
      <c r="I3104" s="27" t="s">
        <v>74</v>
      </c>
      <c r="J3104" s="26">
        <v>2025</v>
      </c>
      <c r="K3104" s="27" t="s">
        <v>10331</v>
      </c>
      <c r="L3104" s="26">
        <v>9786018215513</v>
      </c>
      <c r="M3104" s="27" t="s">
        <v>10332</v>
      </c>
      <c r="N3104" s="26">
        <v>322</v>
      </c>
      <c r="O3104" s="28">
        <v>0.39</v>
      </c>
      <c r="P3104" s="26">
        <v>140</v>
      </c>
      <c r="Q3104" s="26">
        <v>210</v>
      </c>
      <c r="R3104" s="26">
        <v>7</v>
      </c>
      <c r="S3104" s="27" t="s">
        <v>43</v>
      </c>
      <c r="T3104" s="27"/>
      <c r="U3104" s="29">
        <v>1000</v>
      </c>
      <c r="V3104" s="27" t="s">
        <v>44</v>
      </c>
      <c r="W3104" s="27" t="s">
        <v>69</v>
      </c>
      <c r="X3104" s="26">
        <v>22</v>
      </c>
      <c r="Y3104" s="45" t="str">
        <f>HYPERLINK("","")</f>
      </c>
      <c r="Z3104" s="27"/>
      <c r="AS3104" s="1">
        <f>IF($A3104&lt;&gt;0,1,0)</f>
        <v>0</v>
      </c>
      <c r="AT3104" s="1">
        <f>$A3104*$B3104</f>
        <v>0</v>
      </c>
      <c r="AU3104" s="1">
        <f>$A3104*$O3104</f>
        <v>0</v>
      </c>
      <c r="AV3104" s="1">
        <f>IF($R3104=0,0,INT($A3104/$R3104))</f>
        <v>0</v>
      </c>
      <c r="AW3104" s="1">
        <f>$A3104-$AV3104*$R3104</f>
        <v>0</v>
      </c>
    </row>
    <row r="3105" ht="21.95" customHeight="1" outlineLevel="3" s="1" customFormat="1">
      <c r="A3105" s="15"/>
      <c r="B3105" s="16">
        <v>702</v>
      </c>
      <c r="C3105" s="17">
        <v>1018</v>
      </c>
      <c r="D3105" s="16">
        <v>28523</v>
      </c>
      <c r="E3105" s="18"/>
      <c r="F3105" s="18" t="s">
        <v>10333</v>
      </c>
      <c r="G3105" s="18" t="s">
        <v>10334</v>
      </c>
      <c r="H3105" s="18" t="s">
        <v>592</v>
      </c>
      <c r="I3105" s="18" t="s">
        <v>10326</v>
      </c>
      <c r="J3105" s="16">
        <v>2023</v>
      </c>
      <c r="K3105" s="18" t="s">
        <v>10335</v>
      </c>
      <c r="L3105" s="16">
        <v>9786017147839</v>
      </c>
      <c r="M3105" s="18" t="s">
        <v>10336</v>
      </c>
      <c r="N3105" s="16">
        <v>207</v>
      </c>
      <c r="O3105" s="19">
        <v>0.35</v>
      </c>
      <c r="P3105" s="16">
        <v>150</v>
      </c>
      <c r="Q3105" s="16">
        <v>220</v>
      </c>
      <c r="R3105" s="16">
        <v>10</v>
      </c>
      <c r="S3105" s="18" t="s">
        <v>43</v>
      </c>
      <c r="T3105" s="18"/>
      <c r="U3105" s="17">
        <v>1500</v>
      </c>
      <c r="V3105" s="18" t="s">
        <v>77</v>
      </c>
      <c r="W3105" s="18" t="s">
        <v>69</v>
      </c>
      <c r="X3105" s="16">
        <v>22</v>
      </c>
      <c r="Y3105" s="43" t="str">
        <f>HYPERLINK("","")</f>
      </c>
      <c r="Z3105" s="18"/>
      <c r="AS3105" s="1">
        <f>IF($A3105&lt;&gt;0,1,0)</f>
        <v>0</v>
      </c>
      <c r="AT3105" s="1">
        <f>$A3105*$B3105</f>
        <v>0</v>
      </c>
      <c r="AU3105" s="1">
        <f>$A3105*$O3105</f>
        <v>0</v>
      </c>
      <c r="AV3105" s="1">
        <f>IF($R3105=0,0,INT($A3105/$R3105))</f>
        <v>0</v>
      </c>
      <c r="AW3105" s="1">
        <f>$A3105-$AV3105*$R3105</f>
        <v>0</v>
      </c>
    </row>
    <row r="3106" ht="21.95" customHeight="1" outlineLevel="3" s="1" customFormat="1">
      <c r="A3106" s="25"/>
      <c r="B3106" s="29">
        <v>1006</v>
      </c>
      <c r="C3106" s="29">
        <v>1358</v>
      </c>
      <c r="D3106" s="26">
        <v>30912</v>
      </c>
      <c r="E3106" s="27"/>
      <c r="F3106" s="27" t="s">
        <v>1104</v>
      </c>
      <c r="G3106" s="27" t="s">
        <v>10337</v>
      </c>
      <c r="H3106" s="27" t="s">
        <v>592</v>
      </c>
      <c r="I3106" s="27" t="s">
        <v>74</v>
      </c>
      <c r="J3106" s="26">
        <v>2025</v>
      </c>
      <c r="K3106" s="27" t="s">
        <v>10338</v>
      </c>
      <c r="L3106" s="26">
        <v>9786018215537</v>
      </c>
      <c r="M3106" s="27" t="s">
        <v>10339</v>
      </c>
      <c r="N3106" s="26">
        <v>249</v>
      </c>
      <c r="O3106" s="28">
        <v>0.4</v>
      </c>
      <c r="P3106" s="26">
        <v>150</v>
      </c>
      <c r="Q3106" s="26">
        <v>220</v>
      </c>
      <c r="R3106" s="26">
        <v>5</v>
      </c>
      <c r="S3106" s="27" t="s">
        <v>43</v>
      </c>
      <c r="T3106" s="27"/>
      <c r="U3106" s="29">
        <v>1000</v>
      </c>
      <c r="V3106" s="27" t="s">
        <v>77</v>
      </c>
      <c r="W3106" s="27" t="s">
        <v>45</v>
      </c>
      <c r="X3106" s="26">
        <v>22</v>
      </c>
      <c r="Y3106" s="45" t="str">
        <f>HYPERLINK("","")</f>
      </c>
      <c r="Z3106" s="27"/>
      <c r="AS3106" s="1">
        <f>IF($A3106&lt;&gt;0,1,0)</f>
        <v>0</v>
      </c>
      <c r="AT3106" s="1">
        <f>$A3106*$B3106</f>
        <v>0</v>
      </c>
      <c r="AU3106" s="1">
        <f>$A3106*$O3106</f>
        <v>0</v>
      </c>
      <c r="AV3106" s="1">
        <f>IF($R3106=0,0,INT($A3106/$R3106))</f>
        <v>0</v>
      </c>
      <c r="AW3106" s="1">
        <f>$A3106-$AV3106*$R3106</f>
        <v>0</v>
      </c>
    </row>
    <row r="3107" ht="21.95" customHeight="1" outlineLevel="3" s="1" customFormat="1">
      <c r="A3107" s="25"/>
      <c r="B3107" s="26">
        <v>447</v>
      </c>
      <c r="C3107" s="26">
        <v>693</v>
      </c>
      <c r="D3107" s="26">
        <v>29878</v>
      </c>
      <c r="E3107" s="27"/>
      <c r="F3107" s="27" t="s">
        <v>10340</v>
      </c>
      <c r="G3107" s="27" t="s">
        <v>10341</v>
      </c>
      <c r="H3107" s="27" t="s">
        <v>592</v>
      </c>
      <c r="I3107" s="27"/>
      <c r="J3107" s="26">
        <v>2024</v>
      </c>
      <c r="K3107" s="27" t="s">
        <v>10342</v>
      </c>
      <c r="L3107" s="26">
        <v>9786017147907</v>
      </c>
      <c r="M3107" s="27" t="s">
        <v>10343</v>
      </c>
      <c r="N3107" s="26">
        <v>94</v>
      </c>
      <c r="O3107" s="28">
        <v>0.14</v>
      </c>
      <c r="P3107" s="26">
        <v>120</v>
      </c>
      <c r="Q3107" s="26">
        <v>170</v>
      </c>
      <c r="R3107" s="26">
        <v>10</v>
      </c>
      <c r="S3107" s="27" t="s">
        <v>10344</v>
      </c>
      <c r="T3107" s="27"/>
      <c r="U3107" s="29">
        <v>1000</v>
      </c>
      <c r="V3107" s="27" t="s">
        <v>77</v>
      </c>
      <c r="W3107" s="27" t="s">
        <v>69</v>
      </c>
      <c r="X3107" s="26">
        <v>22</v>
      </c>
      <c r="Y3107" s="45" t="str">
        <f>HYPERLINK("","")</f>
      </c>
      <c r="Z3107" s="27"/>
      <c r="AS3107" s="1">
        <f>IF($A3107&lt;&gt;0,1,0)</f>
        <v>0</v>
      </c>
      <c r="AT3107" s="1">
        <f>$A3107*$B3107</f>
        <v>0</v>
      </c>
      <c r="AU3107" s="1">
        <f>$A3107*$O3107</f>
        <v>0</v>
      </c>
      <c r="AV3107" s="1">
        <f>IF($R3107=0,0,INT($A3107/$R3107))</f>
        <v>0</v>
      </c>
      <c r="AW3107" s="1">
        <f>$A3107-$AV3107*$R3107</f>
        <v>0</v>
      </c>
    </row>
    <row r="3108" ht="21.95" customHeight="1" outlineLevel="3" s="1" customFormat="1">
      <c r="A3108" s="15"/>
      <c r="B3108" s="16">
        <v>752</v>
      </c>
      <c r="C3108" s="17">
        <v>1090</v>
      </c>
      <c r="D3108" s="16">
        <v>29585</v>
      </c>
      <c r="E3108" s="18"/>
      <c r="F3108" s="18" t="s">
        <v>10345</v>
      </c>
      <c r="G3108" s="18" t="s">
        <v>10346</v>
      </c>
      <c r="H3108" s="18" t="s">
        <v>592</v>
      </c>
      <c r="I3108" s="18"/>
      <c r="J3108" s="16">
        <v>2023</v>
      </c>
      <c r="K3108" s="18" t="s">
        <v>10347</v>
      </c>
      <c r="L3108" s="16">
        <v>9786017147884</v>
      </c>
      <c r="M3108" s="18" t="s">
        <v>10348</v>
      </c>
      <c r="N3108" s="16">
        <v>231</v>
      </c>
      <c r="O3108" s="19">
        <v>0.38</v>
      </c>
      <c r="P3108" s="16">
        <v>150</v>
      </c>
      <c r="Q3108" s="16">
        <v>220</v>
      </c>
      <c r="R3108" s="16">
        <v>8</v>
      </c>
      <c r="S3108" s="18" t="s">
        <v>43</v>
      </c>
      <c r="T3108" s="18"/>
      <c r="U3108" s="17">
        <v>1000</v>
      </c>
      <c r="V3108" s="18" t="s">
        <v>77</v>
      </c>
      <c r="W3108" s="18" t="s">
        <v>69</v>
      </c>
      <c r="X3108" s="16">
        <v>22</v>
      </c>
      <c r="Y3108" s="43" t="str">
        <f>HYPERLINK("","")</f>
      </c>
      <c r="Z3108" s="18"/>
      <c r="AS3108" s="1">
        <f>IF($A3108&lt;&gt;0,1,0)</f>
        <v>0</v>
      </c>
      <c r="AT3108" s="1">
        <f>$A3108*$B3108</f>
        <v>0</v>
      </c>
      <c r="AU3108" s="1">
        <f>$A3108*$O3108</f>
        <v>0</v>
      </c>
      <c r="AV3108" s="1">
        <f>IF($R3108=0,0,INT($A3108/$R3108))</f>
        <v>0</v>
      </c>
      <c r="AW3108" s="1">
        <f>$A3108-$AV3108*$R3108</f>
        <v>0</v>
      </c>
    </row>
    <row r="3109" ht="21.95" customHeight="1" outlineLevel="3" s="1" customFormat="1">
      <c r="A3109" s="15"/>
      <c r="B3109" s="16">
        <v>702</v>
      </c>
      <c r="C3109" s="17">
        <v>1018</v>
      </c>
      <c r="D3109" s="16">
        <v>30914</v>
      </c>
      <c r="E3109" s="18"/>
      <c r="F3109" s="18" t="s">
        <v>10349</v>
      </c>
      <c r="G3109" s="18" t="s">
        <v>10350</v>
      </c>
      <c r="H3109" s="18" t="s">
        <v>592</v>
      </c>
      <c r="I3109" s="18" t="s">
        <v>8817</v>
      </c>
      <c r="J3109" s="16">
        <v>2024</v>
      </c>
      <c r="K3109" s="18" t="s">
        <v>10351</v>
      </c>
      <c r="L3109" s="16">
        <v>9786018115929</v>
      </c>
      <c r="M3109" s="18" t="s">
        <v>10352</v>
      </c>
      <c r="N3109" s="16">
        <v>194</v>
      </c>
      <c r="O3109" s="19">
        <v>0.24</v>
      </c>
      <c r="P3109" s="16">
        <v>140</v>
      </c>
      <c r="Q3109" s="16">
        <v>210</v>
      </c>
      <c r="R3109" s="16">
        <v>10</v>
      </c>
      <c r="S3109" s="18" t="s">
        <v>43</v>
      </c>
      <c r="T3109" s="18"/>
      <c r="U3109" s="17">
        <v>1000</v>
      </c>
      <c r="V3109" s="18" t="s">
        <v>44</v>
      </c>
      <c r="W3109" s="18" t="s">
        <v>45</v>
      </c>
      <c r="X3109" s="16">
        <v>22</v>
      </c>
      <c r="Y3109" s="43" t="str">
        <f>HYPERLINK("","")</f>
      </c>
      <c r="Z3109" s="18"/>
      <c r="AS3109" s="1">
        <f>IF($A3109&lt;&gt;0,1,0)</f>
        <v>0</v>
      </c>
      <c r="AT3109" s="1">
        <f>$A3109*$B3109</f>
        <v>0</v>
      </c>
      <c r="AU3109" s="1">
        <f>$A3109*$O3109</f>
        <v>0</v>
      </c>
      <c r="AV3109" s="1">
        <f>IF($R3109=0,0,INT($A3109/$R3109))</f>
        <v>0</v>
      </c>
      <c r="AW3109" s="1">
        <f>$A3109-$AV3109*$R3109</f>
        <v>0</v>
      </c>
    </row>
    <row r="3110" ht="15" customHeight="1" outlineLevel="1">
      <c r="A3110" s="40" t="s">
        <v>10353</v>
      </c>
      <c r="B3110" s="40"/>
      <c r="C3110" s="40"/>
      <c r="D3110" s="40"/>
      <c r="E3110" s="40"/>
      <c r="F3110" s="40"/>
      <c r="G3110" s="40"/>
      <c r="H3110" s="40"/>
      <c r="I3110" s="40"/>
      <c r="J3110" s="40"/>
      <c r="K3110" s="40"/>
      <c r="L3110" s="40"/>
      <c r="M3110" s="40"/>
      <c r="N3110" s="40"/>
      <c r="O3110" s="40"/>
      <c r="P3110" s="40"/>
      <c r="Q3110" s="40"/>
      <c r="R3110" s="40"/>
      <c r="S3110" s="40"/>
      <c r="T3110" s="40"/>
      <c r="U3110" s="40"/>
      <c r="V3110" s="40"/>
      <c r="W3110" s="40"/>
      <c r="X3110" s="40"/>
      <c r="Y3110" s="40"/>
      <c r="Z3110" s="23"/>
    </row>
    <row r="3111" ht="11.1" customHeight="1" outlineLevel="2">
      <c r="A3111" s="41" t="s">
        <v>10354</v>
      </c>
      <c r="B3111" s="41"/>
      <c r="C3111" s="41"/>
      <c r="D3111" s="41"/>
      <c r="E3111" s="41"/>
      <c r="F3111" s="41"/>
      <c r="G3111" s="41"/>
      <c r="H3111" s="41"/>
      <c r="I3111" s="41"/>
      <c r="J3111" s="41"/>
      <c r="K3111" s="41"/>
      <c r="L3111" s="41"/>
      <c r="M3111" s="41"/>
      <c r="N3111" s="41"/>
      <c r="O3111" s="41"/>
      <c r="P3111" s="41"/>
      <c r="Q3111" s="41"/>
      <c r="R3111" s="41"/>
      <c r="S3111" s="41"/>
      <c r="T3111" s="41"/>
      <c r="U3111" s="41"/>
      <c r="V3111" s="41"/>
      <c r="W3111" s="41"/>
      <c r="X3111" s="41"/>
      <c r="Y3111" s="41"/>
      <c r="Z3111" s="24"/>
    </row>
    <row r="3112" ht="21.95" customHeight="1" outlineLevel="3" s="1" customFormat="1">
      <c r="A3112" s="15"/>
      <c r="B3112" s="16">
        <v>854</v>
      </c>
      <c r="C3112" s="17">
        <v>1100</v>
      </c>
      <c r="D3112" s="16">
        <v>26961</v>
      </c>
      <c r="E3112" s="18"/>
      <c r="F3112" s="18"/>
      <c r="G3112" s="18" t="s">
        <v>577</v>
      </c>
      <c r="H3112" s="18" t="s">
        <v>86</v>
      </c>
      <c r="I3112" s="18"/>
      <c r="J3112" s="16">
        <v>2022</v>
      </c>
      <c r="K3112" s="18" t="s">
        <v>578</v>
      </c>
      <c r="L3112" s="16">
        <v>9785961483529</v>
      </c>
      <c r="M3112" s="18" t="s">
        <v>579</v>
      </c>
      <c r="N3112" s="15"/>
      <c r="O3112" s="15"/>
      <c r="P3112" s="15"/>
      <c r="Q3112" s="15"/>
      <c r="R3112" s="15"/>
      <c r="S3112" s="18"/>
      <c r="T3112" s="18"/>
      <c r="U3112" s="17">
        <v>1000</v>
      </c>
      <c r="V3112" s="18"/>
      <c r="W3112" s="18" t="s">
        <v>69</v>
      </c>
      <c r="X3112" s="16">
        <v>22</v>
      </c>
      <c r="Y3112" s="43" t="str">
        <f>HYPERLINK("","")</f>
      </c>
      <c r="Z3112" s="18"/>
      <c r="AS3112" s="1">
        <f>IF($A3112&lt;&gt;0,1,0)</f>
        <v>0</v>
      </c>
      <c r="AT3112" s="1">
        <f>$A3112*$B3112</f>
        <v>0</v>
      </c>
      <c r="AU3112" s="1">
        <f>$A3112*$O3112</f>
        <v>0</v>
      </c>
      <c r="AV3112" s="1">
        <f>IF($R3112=0,0,INT($A3112/$R3112))</f>
        <v>0</v>
      </c>
      <c r="AW3112" s="1">
        <f>$A3112-$AV3112*$R3112</f>
        <v>0</v>
      </c>
    </row>
    <row r="3113" ht="24.95" customHeight="1" outlineLevel="3" s="1" customFormat="1">
      <c r="A3113" s="15"/>
      <c r="B3113" s="16">
        <v>890</v>
      </c>
      <c r="C3113" s="17">
        <v>1470</v>
      </c>
      <c r="D3113" s="16">
        <v>27118</v>
      </c>
      <c r="E3113" s="18"/>
      <c r="F3113" s="18"/>
      <c r="G3113" s="18" t="s">
        <v>672</v>
      </c>
      <c r="H3113" s="18" t="s">
        <v>86</v>
      </c>
      <c r="I3113" s="18"/>
      <c r="J3113" s="16">
        <v>2022</v>
      </c>
      <c r="K3113" s="18" t="s">
        <v>673</v>
      </c>
      <c r="L3113" s="16">
        <v>9785961484021</v>
      </c>
      <c r="M3113" s="18" t="s">
        <v>674</v>
      </c>
      <c r="N3113" s="15"/>
      <c r="O3113" s="15"/>
      <c r="P3113" s="15"/>
      <c r="Q3113" s="15"/>
      <c r="R3113" s="15"/>
      <c r="S3113" s="18"/>
      <c r="T3113" s="18"/>
      <c r="U3113" s="17">
        <v>1000</v>
      </c>
      <c r="V3113" s="18"/>
      <c r="W3113" s="18" t="s">
        <v>69</v>
      </c>
      <c r="X3113" s="16">
        <v>10</v>
      </c>
      <c r="Y3113" s="43" t="str">
        <f>HYPERLINK("","")</f>
      </c>
      <c r="Z3113" s="18"/>
      <c r="AS3113" s="1">
        <f>IF($A3113&lt;&gt;0,1,0)</f>
        <v>0</v>
      </c>
      <c r="AT3113" s="1">
        <f>$A3113*$B3113</f>
        <v>0</v>
      </c>
      <c r="AU3113" s="1">
        <f>$A3113*$O3113</f>
        <v>0</v>
      </c>
      <c r="AV3113" s="1">
        <f>IF($R3113=0,0,INT($A3113/$R3113))</f>
        <v>0</v>
      </c>
      <c r="AW3113" s="1">
        <f>$A3113-$AV3113*$R3113</f>
        <v>0</v>
      </c>
    </row>
    <row r="3114" ht="21.95" customHeight="1" outlineLevel="3" s="1" customFormat="1">
      <c r="A3114" s="25"/>
      <c r="B3114" s="29">
        <v>2440</v>
      </c>
      <c r="C3114" s="29">
        <v>2690</v>
      </c>
      <c r="D3114" s="26">
        <v>25176</v>
      </c>
      <c r="E3114" s="27"/>
      <c r="F3114" s="27"/>
      <c r="G3114" s="27" t="s">
        <v>862</v>
      </c>
      <c r="H3114" s="27" t="s">
        <v>86</v>
      </c>
      <c r="I3114" s="27"/>
      <c r="J3114" s="26">
        <v>2022</v>
      </c>
      <c r="K3114" s="27" t="s">
        <v>863</v>
      </c>
      <c r="L3114" s="26">
        <v>9785961477078</v>
      </c>
      <c r="M3114" s="27" t="s">
        <v>864</v>
      </c>
      <c r="N3114" s="25"/>
      <c r="O3114" s="28">
        <v>2.09</v>
      </c>
      <c r="P3114" s="25"/>
      <c r="Q3114" s="25"/>
      <c r="R3114" s="26">
        <v>4</v>
      </c>
      <c r="S3114" s="27"/>
      <c r="T3114" s="27"/>
      <c r="U3114" s="29">
        <v>1000</v>
      </c>
      <c r="V3114" s="27"/>
      <c r="W3114" s="27" t="s">
        <v>69</v>
      </c>
      <c r="X3114" s="26">
        <v>22</v>
      </c>
      <c r="Y3114" s="45" t="str">
        <f>HYPERLINK("","")</f>
      </c>
      <c r="Z3114" s="27"/>
      <c r="AS3114" s="1">
        <f>IF($A3114&lt;&gt;0,1,0)</f>
        <v>0</v>
      </c>
      <c r="AT3114" s="1">
        <f>$A3114*$B3114</f>
        <v>0</v>
      </c>
      <c r="AU3114" s="1">
        <f>$A3114*$O3114</f>
        <v>0</v>
      </c>
      <c r="AV3114" s="1">
        <f>IF($R3114=0,0,INT($A3114/$R3114))</f>
        <v>0</v>
      </c>
      <c r="AW3114" s="1">
        <f>$A3114-$AV3114*$R3114</f>
        <v>0</v>
      </c>
    </row>
  </sheetData>
  <mergeCells>
    <mergeCell ref="A3089:Y3089"/>
    <mergeCell ref="A3092:Y3092"/>
    <mergeCell ref="A3110:Y3110"/>
    <mergeCell ref="A3111:Y3111"/>
    <mergeCell ref="A2912:Y2912"/>
    <mergeCell ref="A2925:Y2925"/>
    <mergeCell ref="A2959:Y2959"/>
    <mergeCell ref="A2960:Y2960"/>
    <mergeCell ref="A2988:Y2988"/>
    <mergeCell ref="A2994:Y2994"/>
    <mergeCell ref="A3012:Y3012"/>
    <mergeCell ref="A3013:Y3013"/>
    <mergeCell ref="A3088:Y3088"/>
    <mergeCell ref="A2790:Y2790"/>
    <mergeCell ref="A2799:Y2799"/>
    <mergeCell ref="A2809:Y2809"/>
    <mergeCell ref="A2840:Y2840"/>
    <mergeCell ref="A2853:Y2853"/>
    <mergeCell ref="A2856:Y2856"/>
    <mergeCell ref="A2871:Y2871"/>
    <mergeCell ref="A2877:Y2877"/>
    <mergeCell ref="A2887:Y2887"/>
    <mergeCell ref="A2409:Y2409"/>
    <mergeCell ref="A2533:Y2533"/>
    <mergeCell ref="A2557:Y2557"/>
    <mergeCell ref="A2559:Y2559"/>
    <mergeCell ref="A2587:Y2587"/>
    <mergeCell ref="A2634:Y2634"/>
    <mergeCell ref="A2650:Y2650"/>
    <mergeCell ref="A2688:Y2688"/>
    <mergeCell ref="A2740:Y2740"/>
    <mergeCell ref="A1972:Y1972"/>
    <mergeCell ref="A1973:Y1973"/>
    <mergeCell ref="A2029:Y2029"/>
    <mergeCell ref="A2237:Y2237"/>
    <mergeCell ref="A2243:Y2243"/>
    <mergeCell ref="A2322:Y2322"/>
    <mergeCell ref="A2347:Y2347"/>
    <mergeCell ref="A2407:Y2407"/>
    <mergeCell ref="A2408:Y2408"/>
    <mergeCell ref="A1854:Y1854"/>
    <mergeCell ref="A1859:Y1859"/>
    <mergeCell ref="A1860:Y1860"/>
    <mergeCell ref="A1907:Y1907"/>
    <mergeCell ref="A1917:Y1917"/>
    <mergeCell ref="A1941:Y1941"/>
    <mergeCell ref="A1942:Y1942"/>
    <mergeCell ref="A1955:Y1955"/>
    <mergeCell ref="A1962:Y1962"/>
    <mergeCell ref="A1691:Y1691"/>
    <mergeCell ref="A1707:Y1707"/>
    <mergeCell ref="A1734:Y1734"/>
    <mergeCell ref="A1740:Y1740"/>
    <mergeCell ref="A1751:Y1751"/>
    <mergeCell ref="A1753:Y1753"/>
    <mergeCell ref="A1754:Y1754"/>
    <mergeCell ref="A1770:Y1770"/>
    <mergeCell ref="A1839:Y1839"/>
    <mergeCell ref="A1390:Y1390"/>
    <mergeCell ref="A1416:Y1416"/>
    <mergeCell ref="A1445:Y1445"/>
    <mergeCell ref="A1520:Y1520"/>
    <mergeCell ref="A1550:Y1550"/>
    <mergeCell ref="A1589:Y1589"/>
    <mergeCell ref="A1622:Y1622"/>
    <mergeCell ref="A1628:Y1628"/>
    <mergeCell ref="A1660:Y1660"/>
    <mergeCell ref="A1320:Y1320"/>
    <mergeCell ref="A1328:Y1328"/>
    <mergeCell ref="A1332:Y1332"/>
    <mergeCell ref="A1357:Y1357"/>
    <mergeCell ref="A1362:Y1362"/>
    <mergeCell ref="A1368:Y1368"/>
    <mergeCell ref="A1380:Y1380"/>
    <mergeCell ref="A1387:Y1387"/>
    <mergeCell ref="A1389:Y1389"/>
    <mergeCell ref="A1003:Y1003"/>
    <mergeCell ref="A1034:Y1034"/>
    <mergeCell ref="A1047:Y1047"/>
    <mergeCell ref="A1158:Y1158"/>
    <mergeCell ref="A1207:Y1207"/>
    <mergeCell ref="A1220:Y1220"/>
    <mergeCell ref="A1262:Y1262"/>
    <mergeCell ref="A1284:Y1284"/>
    <mergeCell ref="A1305:Y1305"/>
    <mergeCell ref="A725:Y725"/>
    <mergeCell ref="A734:Y734"/>
    <mergeCell ref="A807:Y807"/>
    <mergeCell ref="A825:Y825"/>
    <mergeCell ref="A854:Y854"/>
    <mergeCell ref="A856:Y856"/>
    <mergeCell ref="A857:Y857"/>
    <mergeCell ref="A890:Y890"/>
    <mergeCell ref="A909:Y909"/>
    <mergeCell ref="A312:Y312"/>
    <mergeCell ref="A313:Y313"/>
    <mergeCell ref="A314:Y314"/>
    <mergeCell ref="A315:Y315"/>
    <mergeCell ref="A673:Y673"/>
    <mergeCell ref="A701:Y701"/>
    <mergeCell ref="A709:Y709"/>
    <mergeCell ref="A715:Y715"/>
    <mergeCell ref="A716:Y716"/>
    <mergeCell ref="Q8:T8"/>
    <mergeCell ref="U8:V8"/>
    <mergeCell ref="Q9:T9"/>
    <mergeCell ref="U9:V9"/>
    <mergeCell ref="G13:N15"/>
    <mergeCell ref="A19:Y19"/>
    <mergeCell ref="A100:Y100"/>
    <mergeCell ref="A253:Y253"/>
    <mergeCell ref="A311:Y311"/>
    <mergeCell ref="U2:V2"/>
    <mergeCell ref="U3:V3"/>
    <mergeCell ref="Q4:T4"/>
    <mergeCell ref="U4:V4"/>
    <mergeCell ref="Q5:T5"/>
    <mergeCell ref="U5:V5"/>
    <mergeCell ref="Q6:T6"/>
    <mergeCell ref="U6:V6"/>
    <mergeCell ref="Q7:T7"/>
    <mergeCell ref="U7:V7"/>
  </mergeCells>
  <pageMargins left="0.39370078740157483" right="0.39370078740157483" top="0.39370078740157483" bottom="0.39370078740157483" header="0" footer="0"/>
  <pageSetup paperSize="9" pageOrder="overThenDown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GhostMAN</cp:lastModifiedBy>
  <dcterms:modified xsi:type="dcterms:W3CDTF">2026-06-15T06:42:18Z</dcterms:modified>
</cp:coreProperties>
</file>