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activeTab="0"/>
  </bookViews>
  <sheets>
    <sheet name="TDSheet" sheetId="1" r:id="rId1"/>
  </sheets>
  <definedNames>
    <definedName name="_xlnm._FilterDatabase" localSheetId="0" hidden="1">'TDSheet'!$A$10:$R$560</definedName>
  </definedNames>
  <calcPr fullCalcOnLoad="1" refMode="R1C1"/>
</workbook>
</file>

<file path=xl/sharedStrings.xml><?xml version="1.0" encoding="utf-8"?>
<sst xmlns="http://schemas.openxmlformats.org/spreadsheetml/2006/main" count="5098" uniqueCount="2258">
  <si>
    <t xml:space="preserve">Прайс-лист  ООО  "Атберг 98"  от: </t>
  </si>
  <si>
    <t>Уважаемые коллеги!</t>
  </si>
  <si>
    <t>Во избежание некорректной обработки Ваших заказов просим Вас не удалять, не скрывать и не добавлять вручную столбцы или строки. Количества к заказу просьба вносить только в специально предназначенную колонку "ЗАКАЗ" (выделена желтым). СПАСИБО!</t>
  </si>
  <si>
    <t>Код</t>
  </si>
  <si>
    <t>ISBN</t>
  </si>
  <si>
    <t>Ссылка</t>
  </si>
  <si>
    <t>Автор</t>
  </si>
  <si>
    <t>Арт.</t>
  </si>
  <si>
    <t>Наименование товаров</t>
  </si>
  <si>
    <t>Примечание</t>
  </si>
  <si>
    <t>ЗАКАЗ</t>
  </si>
  <si>
    <t>Стд.</t>
  </si>
  <si>
    <t>Вес пачки</t>
  </si>
  <si>
    <t>Изд-во</t>
  </si>
  <si>
    <t>Формат</t>
  </si>
  <si>
    <t>Стр.</t>
  </si>
  <si>
    <t>Обложка</t>
  </si>
  <si>
    <t>Серт.</t>
  </si>
  <si>
    <t>0001 Скоро в школу</t>
  </si>
  <si>
    <t>001. Серия книг "Читаем по слогам"</t>
  </si>
  <si>
    <t xml:space="preserve">114488     </t>
  </si>
  <si>
    <t>978-5-9780-1494-5</t>
  </si>
  <si>
    <t xml:space="preserve">ЧПС-1     </t>
  </si>
  <si>
    <t>Бобовое зернышко</t>
  </si>
  <si>
    <t>50</t>
  </si>
  <si>
    <t>Атберг 98</t>
  </si>
  <si>
    <t>165*215</t>
  </si>
  <si>
    <t>16</t>
  </si>
  <si>
    <t>мелов.бумага</t>
  </si>
  <si>
    <t>34 | 34/1</t>
  </si>
  <si>
    <t xml:space="preserve">УТ-200402  </t>
  </si>
  <si>
    <t>978-5-9780-1495-2</t>
  </si>
  <si>
    <t xml:space="preserve">ЧПС-9    </t>
  </si>
  <si>
    <t>Бременские музыканты</t>
  </si>
  <si>
    <t xml:space="preserve">114489     </t>
  </si>
  <si>
    <t>978-5-9780-1496-9</t>
  </si>
  <si>
    <t xml:space="preserve">ЧПС-2     </t>
  </si>
  <si>
    <t>Гуси-лебеди</t>
  </si>
  <si>
    <t xml:space="preserve">114490     </t>
  </si>
  <si>
    <t>978-5-9780-1497-6</t>
  </si>
  <si>
    <t xml:space="preserve">ЧПС-3     </t>
  </si>
  <si>
    <t>Заюшкина избушка. Лиса и волк</t>
  </si>
  <si>
    <t xml:space="preserve">114492     </t>
  </si>
  <si>
    <t>978-5-9780-1498-3</t>
  </si>
  <si>
    <t xml:space="preserve">ЧПС-5     </t>
  </si>
  <si>
    <t>Кот в сапогах</t>
  </si>
  <si>
    <t xml:space="preserve">УТ-200404  </t>
  </si>
  <si>
    <t>978-5-9780-1499-0</t>
  </si>
  <si>
    <t xml:space="preserve">ЧПС-11  </t>
  </si>
  <si>
    <t>Кот и лиса</t>
  </si>
  <si>
    <t xml:space="preserve">УТ-200405  </t>
  </si>
  <si>
    <t>978-5-9780-1500-3</t>
  </si>
  <si>
    <t xml:space="preserve">ЧПС-12  </t>
  </si>
  <si>
    <t>Красная шапочка</t>
  </si>
  <si>
    <t xml:space="preserve">УТ-200407  </t>
  </si>
  <si>
    <t>978-5-9780-1501-0</t>
  </si>
  <si>
    <t xml:space="preserve">ЧПС-14  </t>
  </si>
  <si>
    <t>Сказка про храброго зайца - длинные уши, косые глаза, короткий хвост</t>
  </si>
  <si>
    <t>0002 Детская литература издательства "Самовар"</t>
  </si>
  <si>
    <t>001. Серия "Книжка в подарок"</t>
  </si>
  <si>
    <t xml:space="preserve">113196     </t>
  </si>
  <si>
    <t>978-5-9781-0966-5</t>
  </si>
  <si>
    <t>Горбушин О.</t>
  </si>
  <si>
    <t xml:space="preserve">К-КП-04   </t>
  </si>
  <si>
    <t>Букварь</t>
  </si>
  <si>
    <t>10</t>
  </si>
  <si>
    <t>Самовар</t>
  </si>
  <si>
    <t>220*295</t>
  </si>
  <si>
    <t>96</t>
  </si>
  <si>
    <t>7БЦ</t>
  </si>
  <si>
    <t>1/1 | 60</t>
  </si>
  <si>
    <t xml:space="preserve">113221     </t>
  </si>
  <si>
    <t>978-5-9781-0967-2</t>
  </si>
  <si>
    <t>Барто А.</t>
  </si>
  <si>
    <t xml:space="preserve">К-КП-11   </t>
  </si>
  <si>
    <t>Лучшие стихи для детей</t>
  </si>
  <si>
    <t>48</t>
  </si>
  <si>
    <t xml:space="preserve">105615     </t>
  </si>
  <si>
    <t>978-5-9781-0988-7</t>
  </si>
  <si>
    <t>Чуковский К.</t>
  </si>
  <si>
    <t xml:space="preserve">К-КП-12   </t>
  </si>
  <si>
    <t xml:space="preserve">113016     </t>
  </si>
  <si>
    <t>978-5-9781-0902-3</t>
  </si>
  <si>
    <t xml:space="preserve">К-КП-14   </t>
  </si>
  <si>
    <t>Любимые сказки</t>
  </si>
  <si>
    <t xml:space="preserve">УТ-202577  </t>
  </si>
  <si>
    <t>978-5-9781-1173-6</t>
  </si>
  <si>
    <t>Пушкин А.С.</t>
  </si>
  <si>
    <t>К-КП-24</t>
  </si>
  <si>
    <t>Сказка о царе Салтане (художник Назарук В.М.)</t>
  </si>
  <si>
    <t>НОВИНКА</t>
  </si>
  <si>
    <t>003. Серия "Детские классики"</t>
  </si>
  <si>
    <t xml:space="preserve">113978     </t>
  </si>
  <si>
    <t>978-5-9781-1094-4</t>
  </si>
  <si>
    <t>Энтин Ю.</t>
  </si>
  <si>
    <t xml:space="preserve">К-ДК-01   </t>
  </si>
  <si>
    <t>Антошка, готовь к обеду ложку!..</t>
  </si>
  <si>
    <t>20</t>
  </si>
  <si>
    <t>145*220</t>
  </si>
  <si>
    <t>112</t>
  </si>
  <si>
    <t>1/2 | 53</t>
  </si>
  <si>
    <t xml:space="preserve">112605     </t>
  </si>
  <si>
    <t>978-5-9781-1081-4</t>
  </si>
  <si>
    <t>Берестов В.</t>
  </si>
  <si>
    <t xml:space="preserve">К-ДК-04   </t>
  </si>
  <si>
    <t>Как хорошо уметь читать (Стихи)</t>
  </si>
  <si>
    <t>1/1 | 53</t>
  </si>
  <si>
    <t xml:space="preserve">000034     </t>
  </si>
  <si>
    <t>978-5-9781-1099-9</t>
  </si>
  <si>
    <t>Заходер Б.</t>
  </si>
  <si>
    <t xml:space="preserve">К-ДК-05   </t>
  </si>
  <si>
    <t>Кто ходит в гости по утрам... (Стихи)</t>
  </si>
  <si>
    <t>133</t>
  </si>
  <si>
    <t xml:space="preserve">113438     </t>
  </si>
  <si>
    <t>978-5-9781-0986-3</t>
  </si>
  <si>
    <t>Сборник</t>
  </si>
  <si>
    <t xml:space="preserve">К-ДК-18   </t>
  </si>
  <si>
    <t>С чего начинается детство... (К.Чуковский, В.Берестов, И.Токмакова, Б.Заходер)</t>
  </si>
  <si>
    <t xml:space="preserve">109749     </t>
  </si>
  <si>
    <t>978-5-9781-1010-4</t>
  </si>
  <si>
    <t xml:space="preserve">К-ДК-12   </t>
  </si>
  <si>
    <t>У лукоморья дуб зелёный..(Стихи)</t>
  </si>
  <si>
    <t xml:space="preserve">107576     </t>
  </si>
  <si>
    <t>978-5-9781-0958-0</t>
  </si>
  <si>
    <t xml:space="preserve">К-ДК-13   </t>
  </si>
  <si>
    <t>У меня зазвонил телефон...(Стихи)</t>
  </si>
  <si>
    <t>128</t>
  </si>
  <si>
    <t xml:space="preserve">107592     </t>
  </si>
  <si>
    <t>978-5-9781-0917-7</t>
  </si>
  <si>
    <t xml:space="preserve">К-ДК-14   </t>
  </si>
  <si>
    <t>Уронили мишку на пол...(Стихи)</t>
  </si>
  <si>
    <t xml:space="preserve">УТ-200872  </t>
  </si>
  <si>
    <t>978-5-9781-1134-7</t>
  </si>
  <si>
    <t>Бородицкая М.,Токмакова И.,Синявский А.</t>
  </si>
  <si>
    <t>К-ДК-30</t>
  </si>
  <si>
    <t>Целыми днями весело маме!</t>
  </si>
  <si>
    <t>1/1 | 2</t>
  </si>
  <si>
    <t xml:space="preserve">114476     </t>
  </si>
  <si>
    <t>978-5-9781-1114-9</t>
  </si>
  <si>
    <t>Козлов С.</t>
  </si>
  <si>
    <t xml:space="preserve">К-ДК-15   </t>
  </si>
  <si>
    <t>Я на солнышке лежу...(Стихи)</t>
  </si>
  <si>
    <t>102</t>
  </si>
  <si>
    <t>004. Серия "Хрестоматия детской классики"</t>
  </si>
  <si>
    <t xml:space="preserve">УТ-202185  </t>
  </si>
  <si>
    <t>978-5-9781-1156-9</t>
  </si>
  <si>
    <t>К-ХДК-01</t>
  </si>
  <si>
    <t>Буду делать хорошо!</t>
  </si>
  <si>
    <t>145х220</t>
  </si>
  <si>
    <t>192</t>
  </si>
  <si>
    <t>1/1 | 75</t>
  </si>
  <si>
    <t xml:space="preserve">УТ-202187  </t>
  </si>
  <si>
    <t>978-5-9781-1158-3</t>
  </si>
  <si>
    <t>К-ХДК-03</t>
  </si>
  <si>
    <t>Природа вокруг нас</t>
  </si>
  <si>
    <t xml:space="preserve">УТ-202186  </t>
  </si>
  <si>
    <t>978-5-9781-1157-6</t>
  </si>
  <si>
    <t>К-ХДК-02</t>
  </si>
  <si>
    <t>Расскажу тебе сказку</t>
  </si>
  <si>
    <t xml:space="preserve">УТ-202256  </t>
  </si>
  <si>
    <t>978-5-9781-1161-3</t>
  </si>
  <si>
    <t>К-ХДК-06</t>
  </si>
  <si>
    <t>Смех  да и только!</t>
  </si>
  <si>
    <t>1/1 | 85/1</t>
  </si>
  <si>
    <t xml:space="preserve">УТ-202255  </t>
  </si>
  <si>
    <t>978-5-9781-1160-6</t>
  </si>
  <si>
    <t>К-ХДК-05</t>
  </si>
  <si>
    <t>Читайте, девчонки!</t>
  </si>
  <si>
    <t xml:space="preserve">УТ-202254  </t>
  </si>
  <si>
    <t>978-5-9781-1159-0</t>
  </si>
  <si>
    <t>К-ХДК-04</t>
  </si>
  <si>
    <t>Читайте, мальчишки!</t>
  </si>
  <si>
    <t>005. Серия "Библиотека детского сада" (произведения для детей дошкольного возраста)</t>
  </si>
  <si>
    <t xml:space="preserve">113638     </t>
  </si>
  <si>
    <t>978-5-9781-1062-3</t>
  </si>
  <si>
    <t xml:space="preserve">К-БДС-06  </t>
  </si>
  <si>
    <t>Агния Барто детям</t>
  </si>
  <si>
    <t>1/1 | 69</t>
  </si>
  <si>
    <t xml:space="preserve">113084     </t>
  </si>
  <si>
    <t>978-5-9781-0940-5</t>
  </si>
  <si>
    <t xml:space="preserve">К-БДС-05  </t>
  </si>
  <si>
    <t>Букварь. Литературно-художественное издание, сочетающее традиционные формы обучения с новой методикой</t>
  </si>
  <si>
    <t xml:space="preserve">114096     </t>
  </si>
  <si>
    <t>978-5-9781-1102-6</t>
  </si>
  <si>
    <t xml:space="preserve">К-БДС-08  </t>
  </si>
  <si>
    <t>Вместе песенки поем</t>
  </si>
  <si>
    <t xml:space="preserve">113743     </t>
  </si>
  <si>
    <t>978-5-9781-1073-9</t>
  </si>
  <si>
    <t xml:space="preserve">К-БДС-07  </t>
  </si>
  <si>
    <t>Корней Чуковский детям</t>
  </si>
  <si>
    <t xml:space="preserve">114097     </t>
  </si>
  <si>
    <t>978-5-9781-1103-3</t>
  </si>
  <si>
    <t xml:space="preserve">К-БДС-09  </t>
  </si>
  <si>
    <t>Наш любимый детский сад</t>
  </si>
  <si>
    <t xml:space="preserve">114600     </t>
  </si>
  <si>
    <t>978-5-9781-1123-1</t>
  </si>
  <si>
    <t xml:space="preserve">К-БДС-12  </t>
  </si>
  <si>
    <t>Рассказы и рассказики</t>
  </si>
  <si>
    <t>176</t>
  </si>
  <si>
    <t xml:space="preserve">114098     </t>
  </si>
  <si>
    <t>978-5-9781-1104-0</t>
  </si>
  <si>
    <t xml:space="preserve">К-БДС-10  </t>
  </si>
  <si>
    <t>Сказка за сказкой</t>
  </si>
  <si>
    <t>207</t>
  </si>
  <si>
    <t xml:space="preserve">113003     </t>
  </si>
  <si>
    <t>978-5-9781-0889-7</t>
  </si>
  <si>
    <t xml:space="preserve">К-БДС-01  </t>
  </si>
  <si>
    <t>Хрестоматия для младшей группы детского сада (соответствует Федеральным Государственным Требованиям)</t>
  </si>
  <si>
    <t xml:space="preserve">113034     </t>
  </si>
  <si>
    <t>978-5-9781-0890-3</t>
  </si>
  <si>
    <t xml:space="preserve">К-БДС-04  </t>
  </si>
  <si>
    <t>Хрестоматия для подготовительной группы детского сада (соответствует Федеральным Государственным Требованиям)</t>
  </si>
  <si>
    <t>224</t>
  </si>
  <si>
    <t xml:space="preserve">113168     </t>
  </si>
  <si>
    <t>978-5-9781-0963-4</t>
  </si>
  <si>
    <t xml:space="preserve">К-БДС-02  </t>
  </si>
  <si>
    <t>Хрестоматия для средней группы детского сада (соответствует Федеральным Государственным Требованиям)</t>
  </si>
  <si>
    <t>208</t>
  </si>
  <si>
    <t xml:space="preserve">113075     </t>
  </si>
  <si>
    <t>978-5-9781-0919-1</t>
  </si>
  <si>
    <t xml:space="preserve">К-БДС-03  </t>
  </si>
  <si>
    <t>Хрестоматия для старшей группы детского сада (соответствует Федеральным Государственным Требованиям)</t>
  </si>
  <si>
    <t>006. Серия "Школьная библиотека" (серия рекомендована Департаментом общего среднего образования)</t>
  </si>
  <si>
    <t xml:space="preserve">107871     </t>
  </si>
  <si>
    <t>978-5-9781-0972-6</t>
  </si>
  <si>
    <t>Кэрролл Л.</t>
  </si>
  <si>
    <t xml:space="preserve">К-ШБ-01   </t>
  </si>
  <si>
    <t>Алиса в стране чудес</t>
  </si>
  <si>
    <t>144</t>
  </si>
  <si>
    <t>1/1 | 19</t>
  </si>
  <si>
    <t xml:space="preserve">109656     </t>
  </si>
  <si>
    <t>978-5-9781-1009-8</t>
  </si>
  <si>
    <t>Коваль Ю.</t>
  </si>
  <si>
    <t xml:space="preserve">К-ШБ-02   </t>
  </si>
  <si>
    <t>Алый и другие рассказы</t>
  </si>
  <si>
    <t>122</t>
  </si>
  <si>
    <t xml:space="preserve">УТ-201313  </t>
  </si>
  <si>
    <t>978-5-9781-1145-3</t>
  </si>
  <si>
    <t>К-ШБ-109</t>
  </si>
  <si>
    <t>Анекдоты с героями сказок</t>
  </si>
  <si>
    <t>1/1 | 65</t>
  </si>
  <si>
    <t xml:space="preserve">107872     </t>
  </si>
  <si>
    <t>978-5-9781-0920-7</t>
  </si>
  <si>
    <t>Медведев В.</t>
  </si>
  <si>
    <t xml:space="preserve">К-ШБ-03   </t>
  </si>
  <si>
    <t>Баранкин, будь человеком!</t>
  </si>
  <si>
    <t>136</t>
  </si>
  <si>
    <t xml:space="preserve">101586     </t>
  </si>
  <si>
    <t>978-5-9781-0883-5</t>
  </si>
  <si>
    <t>Крылов И.</t>
  </si>
  <si>
    <t xml:space="preserve">К-ШБ-04   </t>
  </si>
  <si>
    <t>Басни Крылова</t>
  </si>
  <si>
    <t>80</t>
  </si>
  <si>
    <t xml:space="preserve">100024     </t>
  </si>
  <si>
    <t>978-5-9781-0953-5</t>
  </si>
  <si>
    <t>Лондон Д.</t>
  </si>
  <si>
    <t xml:space="preserve">К-ШБ-05   </t>
  </si>
  <si>
    <t>Белый клык</t>
  </si>
  <si>
    <t xml:space="preserve">УТ-202567  </t>
  </si>
  <si>
    <t>978-5-9781-1168-2</t>
  </si>
  <si>
    <t>Куприн А.</t>
  </si>
  <si>
    <t>К-ШБ-114</t>
  </si>
  <si>
    <t>Белый пудель и другие рассказы</t>
  </si>
  <si>
    <t xml:space="preserve">108845     </t>
  </si>
  <si>
    <t>978-5-9781-1011-1</t>
  </si>
  <si>
    <t>Нечаев А.</t>
  </si>
  <si>
    <t xml:space="preserve">К-ШБ-06   </t>
  </si>
  <si>
    <t>Былины. Сказания о богатырях земли русской</t>
  </si>
  <si>
    <t xml:space="preserve">113899     </t>
  </si>
  <si>
    <t>978-5-9781-1076-0</t>
  </si>
  <si>
    <t>Соломатов А.</t>
  </si>
  <si>
    <t xml:space="preserve">К-ШБ-99   </t>
  </si>
  <si>
    <t>В поисках волшебного камня</t>
  </si>
  <si>
    <t>160</t>
  </si>
  <si>
    <t xml:space="preserve">107924     </t>
  </si>
  <si>
    <t>978-5-9781-1105-7</t>
  </si>
  <si>
    <t>Гераскина Л.</t>
  </si>
  <si>
    <t xml:space="preserve">К-ШБ-08   </t>
  </si>
  <si>
    <t>В стране невыученных уроков</t>
  </si>
  <si>
    <t xml:space="preserve">114298     </t>
  </si>
  <si>
    <t>978-5-9781-1113-2</t>
  </si>
  <si>
    <t xml:space="preserve">К-ШБ-07   </t>
  </si>
  <si>
    <t>В стране невыученных уроков-2</t>
  </si>
  <si>
    <t xml:space="preserve">113167     </t>
  </si>
  <si>
    <t>978-5-9781-0955-9</t>
  </si>
  <si>
    <t>Чехов А.,Куприн А.,Скребицкий Г.,Тургенев И. и др.</t>
  </si>
  <si>
    <t xml:space="preserve">К-ШБ-90   </t>
  </si>
  <si>
    <t>Верный друг. Рассказы о собаках</t>
  </si>
  <si>
    <t xml:space="preserve">112988     </t>
  </si>
  <si>
    <t>978-5-9781-0876-7</t>
  </si>
  <si>
    <t>Гоголь Н.В.</t>
  </si>
  <si>
    <t xml:space="preserve">К-ШБ-10   </t>
  </si>
  <si>
    <t>Вечера на хуторе близ Диканьки</t>
  </si>
  <si>
    <t xml:space="preserve">103383     </t>
  </si>
  <si>
    <t>978-5-9781-0872-9</t>
  </si>
  <si>
    <t>Драгунский, Коваль, Ушинский, Пришвин, Скребицкий</t>
  </si>
  <si>
    <t xml:space="preserve">К-ШБ-12   </t>
  </si>
  <si>
    <t>Внеклассное чтение (для 1-го класса)</t>
  </si>
  <si>
    <t xml:space="preserve">103257     </t>
  </si>
  <si>
    <t>978-5-9781-0915-3</t>
  </si>
  <si>
    <t>Паустовский,Пермяк,Медведев,Пришвин,Скребицкий...</t>
  </si>
  <si>
    <t xml:space="preserve">К-ШБ-13   </t>
  </si>
  <si>
    <t>Внеклассное чтение (для 2-го класса)</t>
  </si>
  <si>
    <t xml:space="preserve">113497     </t>
  </si>
  <si>
    <t>978-5-9781-1017-3</t>
  </si>
  <si>
    <t xml:space="preserve">К-ШБ-95   </t>
  </si>
  <si>
    <t>Внеклассное чтение (для 3 класса) НОВАЯ РЕДАКЦИЯ!  Авторы: А.Чехов,Ю.Сотник,М.Пришвмн,Б.Житков,П.Бажов,Е.Шварц,М.Зощенко,В.Драгунский</t>
  </si>
  <si>
    <t xml:space="preserve">113498     </t>
  </si>
  <si>
    <t>978-5-9781-1018-0</t>
  </si>
  <si>
    <t xml:space="preserve">К-ШБ-96   </t>
  </si>
  <si>
    <t>Внеклассное чтение (для 4 класса) НОВАЯ РЕДАКЦИЯ!  Авторы: А.Куприн,Л.Андреев,А.Грин,К.Паустовский,А.Платонов,Р.Погодин,В.Крапивин</t>
  </si>
  <si>
    <t xml:space="preserve">113492     </t>
  </si>
  <si>
    <t>978-5-9781-1019-7</t>
  </si>
  <si>
    <t xml:space="preserve">К-ШБ-97   </t>
  </si>
  <si>
    <t>Внеклассное чтение (для 5 класса) НОВАЯ РЕДАКЦИЯ!</t>
  </si>
  <si>
    <t xml:space="preserve">106771     </t>
  </si>
  <si>
    <t>978-5-9781-0997-9</t>
  </si>
  <si>
    <t>О.Генри</t>
  </si>
  <si>
    <t xml:space="preserve">К-ШБ-17   </t>
  </si>
  <si>
    <t>Вождь краснокожих</t>
  </si>
  <si>
    <t xml:space="preserve">000053     </t>
  </si>
  <si>
    <t>978-5-9781-0896-5</t>
  </si>
  <si>
    <t>Волков А.</t>
  </si>
  <si>
    <t xml:space="preserve">К-ШБ-18   </t>
  </si>
  <si>
    <t>Волшебник Изумрудного города</t>
  </si>
  <si>
    <t xml:space="preserve">110101     </t>
  </si>
  <si>
    <t>978-5-9781-0874-3</t>
  </si>
  <si>
    <t>Осеева В.</t>
  </si>
  <si>
    <t xml:space="preserve">К-ШБ-19   </t>
  </si>
  <si>
    <t>Волшебное слово</t>
  </si>
  <si>
    <t xml:space="preserve">112989     </t>
  </si>
  <si>
    <t>978-5-9781-0871-2</t>
  </si>
  <si>
    <t>Стихи русских поэтов</t>
  </si>
  <si>
    <t xml:space="preserve">К-ШБ-20   </t>
  </si>
  <si>
    <t>Времена года</t>
  </si>
  <si>
    <t xml:space="preserve">107870     </t>
  </si>
  <si>
    <t>978-5-9781-0914-6</t>
  </si>
  <si>
    <t>Драгунский В.</t>
  </si>
  <si>
    <t xml:space="preserve">К-ШБ-21   </t>
  </si>
  <si>
    <t>Где это видано, где это слыхано...</t>
  </si>
  <si>
    <t>127</t>
  </si>
  <si>
    <t xml:space="preserve">111713     </t>
  </si>
  <si>
    <t>978-5-9781-1172-9</t>
  </si>
  <si>
    <t>Лермонтов М.</t>
  </si>
  <si>
    <t xml:space="preserve">К-ШБ-22   </t>
  </si>
  <si>
    <t>Герой нашего времени</t>
  </si>
  <si>
    <t xml:space="preserve">104836     </t>
  </si>
  <si>
    <t>978-5-9781-0913-9</t>
  </si>
  <si>
    <t>Кир Булычев</t>
  </si>
  <si>
    <t xml:space="preserve">К-ШБ-23   </t>
  </si>
  <si>
    <t>Девочка с Земли</t>
  </si>
  <si>
    <t xml:space="preserve">109104     </t>
  </si>
  <si>
    <t>978-5-9781-0956-6</t>
  </si>
  <si>
    <t xml:space="preserve">К-ШБ-24   </t>
  </si>
  <si>
    <t>Денискины рассказы</t>
  </si>
  <si>
    <t xml:space="preserve">113202     </t>
  </si>
  <si>
    <t>978-5-9781-0977-1</t>
  </si>
  <si>
    <t>Булычев К.</t>
  </si>
  <si>
    <t xml:space="preserve">К-ШБ-93   </t>
  </si>
  <si>
    <t>День рождения Алисы</t>
  </si>
  <si>
    <t xml:space="preserve">110625     </t>
  </si>
  <si>
    <t>978-5-9781-1095-1</t>
  </si>
  <si>
    <t xml:space="preserve">К-ШБ-25   </t>
  </si>
  <si>
    <t>Доктор Айболит</t>
  </si>
  <si>
    <t xml:space="preserve">107925     </t>
  </si>
  <si>
    <t>978-5-9781-0960-3</t>
  </si>
  <si>
    <t>Александрова Т.</t>
  </si>
  <si>
    <t xml:space="preserve">К-ШБ-26   </t>
  </si>
  <si>
    <t>Домовенок Кузька</t>
  </si>
  <si>
    <t>126</t>
  </si>
  <si>
    <t xml:space="preserve">109748     </t>
  </si>
  <si>
    <t>978-5-9781-1005-0</t>
  </si>
  <si>
    <t xml:space="preserve">К-ШБ-28   </t>
  </si>
  <si>
    <t>Жёлтый туман</t>
  </si>
  <si>
    <t xml:space="preserve">110169     </t>
  </si>
  <si>
    <t>978-5-9781-1000-5</t>
  </si>
  <si>
    <t>Крюкова Т.</t>
  </si>
  <si>
    <t xml:space="preserve">К-ШБ-27   </t>
  </si>
  <si>
    <t>Женька Москвичев и его друзья</t>
  </si>
  <si>
    <t xml:space="preserve">102225     </t>
  </si>
  <si>
    <t>978-5-9781-0990-0</t>
  </si>
  <si>
    <t>Дефо Д.</t>
  </si>
  <si>
    <t xml:space="preserve">К-ШБ-64   </t>
  </si>
  <si>
    <t>Жизнь и удивительные приключения морехода Робинзона Крузо</t>
  </si>
  <si>
    <t xml:space="preserve">108791     </t>
  </si>
  <si>
    <t>978-5-9781-0999-3</t>
  </si>
  <si>
    <t>Чехов А.П.</t>
  </si>
  <si>
    <t xml:space="preserve">К-ШБ-29   </t>
  </si>
  <si>
    <t>Каштанка и другие рассказы</t>
  </si>
  <si>
    <t xml:space="preserve">УТ-202180  </t>
  </si>
  <si>
    <t>978-5-9781-1153-8</t>
  </si>
  <si>
    <t>Голявкин В.</t>
  </si>
  <si>
    <t>К-ШБ-113</t>
  </si>
  <si>
    <t>Кому что удивительно. Сборник рассказов</t>
  </si>
  <si>
    <t xml:space="preserve">112509     </t>
  </si>
  <si>
    <t>978-5-9781-1116-3</t>
  </si>
  <si>
    <t>Ершов П.</t>
  </si>
  <si>
    <t xml:space="preserve">К-ШБ-31   </t>
  </si>
  <si>
    <t>Конек-Горбунок</t>
  </si>
  <si>
    <t xml:space="preserve">107867     </t>
  </si>
  <si>
    <t>978-5-9781-0991-7</t>
  </si>
  <si>
    <t>Губарев В.</t>
  </si>
  <si>
    <t xml:space="preserve">К-ШБ-32   </t>
  </si>
  <si>
    <t>Королевство кривых зеркал</t>
  </si>
  <si>
    <t xml:space="preserve">УТ-201575  </t>
  </si>
  <si>
    <t>978-5-9781-1148-4</t>
  </si>
  <si>
    <t>Барто, Михалков, Берестов, Заходер, Ошанин</t>
  </si>
  <si>
    <t>К-ШБ-111</t>
  </si>
  <si>
    <t>Красный день календаря (стихи, песни, загадки)</t>
  </si>
  <si>
    <t>1/1 | 70/1</t>
  </si>
  <si>
    <t xml:space="preserve">002519     </t>
  </si>
  <si>
    <t>978-5-9781-1106-4</t>
  </si>
  <si>
    <t xml:space="preserve">К-ШБ-33   </t>
  </si>
  <si>
    <t>Куролесов и матрос подключаются</t>
  </si>
  <si>
    <t>110</t>
  </si>
  <si>
    <t xml:space="preserve">108387     </t>
  </si>
  <si>
    <t>978-5-9781-0973-3</t>
  </si>
  <si>
    <t xml:space="preserve">К-ШБ-34   </t>
  </si>
  <si>
    <t>Легенды и мифы Древней Греции</t>
  </si>
  <si>
    <t xml:space="preserve">114498     </t>
  </si>
  <si>
    <t>978-5-9781-1111-8</t>
  </si>
  <si>
    <t>Р.Киплинг</t>
  </si>
  <si>
    <t xml:space="preserve">К-ШБ-100  </t>
  </si>
  <si>
    <t>Маугли</t>
  </si>
  <si>
    <t xml:space="preserve">113423     </t>
  </si>
  <si>
    <t>978-5-9781-1088-3</t>
  </si>
  <si>
    <t>Чаплина В.</t>
  </si>
  <si>
    <t>Мои питомцы (Рассказы о животных)</t>
  </si>
  <si>
    <t xml:space="preserve">111533     </t>
  </si>
  <si>
    <t>978-5-9781-1171-2</t>
  </si>
  <si>
    <t>Сетон-Томпсон Э.</t>
  </si>
  <si>
    <t xml:space="preserve">К-ШБ-39   </t>
  </si>
  <si>
    <t>Мустанг-иноходец и другие рассказы</t>
  </si>
  <si>
    <t xml:space="preserve">101055     </t>
  </si>
  <si>
    <t>978-5-9781-1112-5</t>
  </si>
  <si>
    <t xml:space="preserve">К-ШБ-40   </t>
  </si>
  <si>
    <t>Мягкий характер</t>
  </si>
  <si>
    <t xml:space="preserve">110014     </t>
  </si>
  <si>
    <t>978-5-9781-1074-6</t>
  </si>
  <si>
    <t>Прокофьева С.</t>
  </si>
  <si>
    <t xml:space="preserve">К-ШБ-42   </t>
  </si>
  <si>
    <t>Новые приключения жёлтого чемоданчика</t>
  </si>
  <si>
    <t xml:space="preserve">108544     </t>
  </si>
  <si>
    <t>978-5-9781-0971-9</t>
  </si>
  <si>
    <t xml:space="preserve">К-ШБ-44   </t>
  </si>
  <si>
    <t>Огненный бог Марранов</t>
  </si>
  <si>
    <t xml:space="preserve">114506     </t>
  </si>
  <si>
    <t>978-5-9781-1120-0</t>
  </si>
  <si>
    <t>Стивенсон Р.</t>
  </si>
  <si>
    <t xml:space="preserve">К-ШБ-101  </t>
  </si>
  <si>
    <t>Остров сокровищ</t>
  </si>
  <si>
    <t xml:space="preserve">113079     </t>
  </si>
  <si>
    <t>978-5-9781-0924-5</t>
  </si>
  <si>
    <t>Распэ Р.Э.</t>
  </si>
  <si>
    <t xml:space="preserve">К-ШБ-48   </t>
  </si>
  <si>
    <t>Приключения барона Мюнхгаузена</t>
  </si>
  <si>
    <t xml:space="preserve">107613     </t>
  </si>
  <si>
    <t>978-5-9781-0992-4</t>
  </si>
  <si>
    <t>Толстой А.</t>
  </si>
  <si>
    <t xml:space="preserve">К-ШБ-49   </t>
  </si>
  <si>
    <t>Приключения Буратино</t>
  </si>
  <si>
    <t xml:space="preserve">000056     </t>
  </si>
  <si>
    <t>978-5-9781-0925-2</t>
  </si>
  <si>
    <t xml:space="preserve">К-ШБ-50   </t>
  </si>
  <si>
    <t>Приключения Васи Куролесова</t>
  </si>
  <si>
    <t xml:space="preserve">107618     </t>
  </si>
  <si>
    <t>978-5-9781-0941-2</t>
  </si>
  <si>
    <t xml:space="preserve">К-ШБ-51   </t>
  </si>
  <si>
    <t>Приключения желтого чемоданчика</t>
  </si>
  <si>
    <t xml:space="preserve">УТ-201378  </t>
  </si>
  <si>
    <t>978-5-9781-1146-0</t>
  </si>
  <si>
    <t>Некрасов А.</t>
  </si>
  <si>
    <t>К-ШБ-110</t>
  </si>
  <si>
    <t>Приключения капитана Врунгеля</t>
  </si>
  <si>
    <t>149</t>
  </si>
  <si>
    <t>1/1</t>
  </si>
  <si>
    <t xml:space="preserve">107698     </t>
  </si>
  <si>
    <t>978-5-9781-0906-1</t>
  </si>
  <si>
    <t>Твен М.</t>
  </si>
  <si>
    <t xml:space="preserve">К-ШБ-52   </t>
  </si>
  <si>
    <t>Приключения Тома Сойера</t>
  </si>
  <si>
    <t xml:space="preserve">107690     </t>
  </si>
  <si>
    <t>978-5-9781-0989-4</t>
  </si>
  <si>
    <t>Велтистов Е.</t>
  </si>
  <si>
    <t xml:space="preserve">К-ШБ-53   </t>
  </si>
  <si>
    <t>Приключения Электроника</t>
  </si>
  <si>
    <t>158</t>
  </si>
  <si>
    <t xml:space="preserve">113466     </t>
  </si>
  <si>
    <t>978-5-9781-1004-3</t>
  </si>
  <si>
    <t xml:space="preserve">К-ШБ-54   </t>
  </si>
  <si>
    <t>Принц и нищий</t>
  </si>
  <si>
    <t xml:space="preserve">УТ-202179  </t>
  </si>
  <si>
    <t>978-5-9781-1150-7</t>
  </si>
  <si>
    <t>С. Лагерлёф</t>
  </si>
  <si>
    <t>К-ШБ-112</t>
  </si>
  <si>
    <t>Путешествие Нильса с дикими гусями</t>
  </si>
  <si>
    <t xml:space="preserve">107622     </t>
  </si>
  <si>
    <t>978-5-9781-0926-9</t>
  </si>
  <si>
    <t>Джонатан Свифт</t>
  </si>
  <si>
    <t xml:space="preserve">К-ШБ-55   </t>
  </si>
  <si>
    <t>Путешествия Гулливера</t>
  </si>
  <si>
    <t>142</t>
  </si>
  <si>
    <t xml:space="preserve">111060     </t>
  </si>
  <si>
    <t>978-5-9781-1056-2</t>
  </si>
  <si>
    <t>Житков Б.</t>
  </si>
  <si>
    <t xml:space="preserve">К-ШБ-63   </t>
  </si>
  <si>
    <t>Рассказы</t>
  </si>
  <si>
    <t xml:space="preserve">110868     </t>
  </si>
  <si>
    <t>978-5-9781-0975-7</t>
  </si>
  <si>
    <t>Симонов К.,Толстой А., Шолохов М.</t>
  </si>
  <si>
    <t xml:space="preserve">К-ШБ-57   </t>
  </si>
  <si>
    <t>Рассказы  о войне</t>
  </si>
  <si>
    <t xml:space="preserve">008768     </t>
  </si>
  <si>
    <t>978-5-9781-0912-2</t>
  </si>
  <si>
    <t>Бианки В.</t>
  </si>
  <si>
    <t xml:space="preserve">К-ШБ-56   </t>
  </si>
  <si>
    <t>Рассказы Бианки</t>
  </si>
  <si>
    <t xml:space="preserve">007329     </t>
  </si>
  <si>
    <t>978-5-9781-0927-6</t>
  </si>
  <si>
    <t>Бианки В.,Сладков Н.,Пришвин М.,Скребицкий Г.</t>
  </si>
  <si>
    <t xml:space="preserve">К-ШБ-58   </t>
  </si>
  <si>
    <t>Рассказы о животных</t>
  </si>
  <si>
    <t xml:space="preserve">008652     </t>
  </si>
  <si>
    <t>978-5-9781-0978-8</t>
  </si>
  <si>
    <t>Паустовский,Скребицкий,Ушинский,Бианки</t>
  </si>
  <si>
    <t xml:space="preserve">К-ШБ-59   </t>
  </si>
  <si>
    <t>Рассказы о природе</t>
  </si>
  <si>
    <t>92</t>
  </si>
  <si>
    <t xml:space="preserve">108258     </t>
  </si>
  <si>
    <t>978-5-9781-1012-8</t>
  </si>
  <si>
    <t>Артур Конан Дойл</t>
  </si>
  <si>
    <t xml:space="preserve">К-ШБ-60   </t>
  </si>
  <si>
    <t>Рассказы о Шерлоке Холмсе</t>
  </si>
  <si>
    <t>175</t>
  </si>
  <si>
    <t xml:space="preserve">110016     </t>
  </si>
  <si>
    <t>978-5-9781-0911-5</t>
  </si>
  <si>
    <t>Чарушин Е.</t>
  </si>
  <si>
    <t xml:space="preserve">К-ШБ-61   </t>
  </si>
  <si>
    <t>Рассказы про зверей и птиц</t>
  </si>
  <si>
    <t xml:space="preserve">110495     </t>
  </si>
  <si>
    <t>978-5-9781-0946-7</t>
  </si>
  <si>
    <t xml:space="preserve">К-ШБ-62   </t>
  </si>
  <si>
    <t>Рассказы русских писателей</t>
  </si>
  <si>
    <t xml:space="preserve">УТ-200411  </t>
  </si>
  <si>
    <t>978-5-9781-1131-6</t>
  </si>
  <si>
    <t>Киплинг Р.</t>
  </si>
  <si>
    <t>К-ШБ-104</t>
  </si>
  <si>
    <t>Рикки-Тикки-Тави и другие сказки</t>
  </si>
  <si>
    <t xml:space="preserve">102928     </t>
  </si>
  <si>
    <t>978-5-9781-1050-0</t>
  </si>
  <si>
    <t xml:space="preserve">К-ШБ-65   </t>
  </si>
  <si>
    <t>Семь подземных королей</t>
  </si>
  <si>
    <t xml:space="preserve">107866     </t>
  </si>
  <si>
    <t>978-5-9781-0957-3</t>
  </si>
  <si>
    <t>Шварц Е.</t>
  </si>
  <si>
    <t xml:space="preserve">К-ШБ-66   </t>
  </si>
  <si>
    <t>Сказка о потерянном времени</t>
  </si>
  <si>
    <t xml:space="preserve">113541     </t>
  </si>
  <si>
    <t>978-5-9781-1035-7</t>
  </si>
  <si>
    <t xml:space="preserve">К-ШБ-67   </t>
  </si>
  <si>
    <t>Сказки из леса</t>
  </si>
  <si>
    <t xml:space="preserve">113434     </t>
  </si>
  <si>
    <t>978-5-9781-0982-5</t>
  </si>
  <si>
    <t xml:space="preserve">К-ШБ-68   </t>
  </si>
  <si>
    <t>Сказки русских писателей</t>
  </si>
  <si>
    <t xml:space="preserve">104987     </t>
  </si>
  <si>
    <t>978-5-9781-0944-3</t>
  </si>
  <si>
    <t>Драгунский,Пивоварова,Голявкин,Зощенко</t>
  </si>
  <si>
    <t xml:space="preserve">К-ШБ-70   </t>
  </si>
  <si>
    <t>Смешные рассказы</t>
  </si>
  <si>
    <t xml:space="preserve">107710     </t>
  </si>
  <si>
    <t>978-5-9781-0884-2</t>
  </si>
  <si>
    <t>Драгунский,Каминский,Медведев,Коваль</t>
  </si>
  <si>
    <t xml:space="preserve">К-ШБ-69   </t>
  </si>
  <si>
    <t>Смешные рассказы о школе</t>
  </si>
  <si>
    <t xml:space="preserve">007249     </t>
  </si>
  <si>
    <t>978-5-9781-0928-3</t>
  </si>
  <si>
    <t>Лагин Л.</t>
  </si>
  <si>
    <t xml:space="preserve">К-ШБ-72   </t>
  </si>
  <si>
    <t>Старик Хоттабыч</t>
  </si>
  <si>
    <t xml:space="preserve">113838     </t>
  </si>
  <si>
    <t>978-5-9781-1075-3</t>
  </si>
  <si>
    <t>Катаев В.</t>
  </si>
  <si>
    <t xml:space="preserve">К-ШБ-98   </t>
  </si>
  <si>
    <t>Сын полка</t>
  </si>
  <si>
    <t xml:space="preserve">112999     </t>
  </si>
  <si>
    <t>978-5-9781-0875-0</t>
  </si>
  <si>
    <t xml:space="preserve">К-ШБ-91   </t>
  </si>
  <si>
    <t>Тайна заброшенного замка</t>
  </si>
  <si>
    <t xml:space="preserve">113000     </t>
  </si>
  <si>
    <t>978-5-9781-0885-9</t>
  </si>
  <si>
    <t>Гайдар А.</t>
  </si>
  <si>
    <t xml:space="preserve">К-ШБ-73   </t>
  </si>
  <si>
    <t>Тимур и его команда</t>
  </si>
  <si>
    <t xml:space="preserve">001468     </t>
  </si>
  <si>
    <t>978-5-9781-0954-2</t>
  </si>
  <si>
    <t>Олеша Ю.</t>
  </si>
  <si>
    <t xml:space="preserve">К-ШБ-74   </t>
  </si>
  <si>
    <t>Три толстяка</t>
  </si>
  <si>
    <t xml:space="preserve">113426     </t>
  </si>
  <si>
    <t>978-5-9781-0987-0</t>
  </si>
  <si>
    <t>Бажов П.</t>
  </si>
  <si>
    <t xml:space="preserve">К-ШБ-75   </t>
  </si>
  <si>
    <t>Уральские сказы</t>
  </si>
  <si>
    <t xml:space="preserve">109766     </t>
  </si>
  <si>
    <t>978-5-9781-0897-2</t>
  </si>
  <si>
    <t xml:space="preserve">К-ШБ-76   </t>
  </si>
  <si>
    <t>Урфин Джюс и его деревянные солдаты</t>
  </si>
  <si>
    <t xml:space="preserve">109765     </t>
  </si>
  <si>
    <t>978-5-9781-1086-9</t>
  </si>
  <si>
    <t>Саломатов А.</t>
  </si>
  <si>
    <t xml:space="preserve">К-ШБ-78   </t>
  </si>
  <si>
    <t>Фантастические рассказы</t>
  </si>
  <si>
    <t xml:space="preserve">112458     </t>
  </si>
  <si>
    <t>978-5-9781-0894-1</t>
  </si>
  <si>
    <t xml:space="preserve">К-ШБ-80   </t>
  </si>
  <si>
    <t>Хрестоматия 1-й класс. Произведения школьной программы.</t>
  </si>
  <si>
    <t>14</t>
  </si>
  <si>
    <t xml:space="preserve">113001     </t>
  </si>
  <si>
    <t>978-5-9781-0877-4</t>
  </si>
  <si>
    <t xml:space="preserve">К-ШБ-81   </t>
  </si>
  <si>
    <t>Хрестоматия 2-й класс. Произведения школьной программы.</t>
  </si>
  <si>
    <t>320</t>
  </si>
  <si>
    <t xml:space="preserve">113007     </t>
  </si>
  <si>
    <t>978-5-9781-0895-8</t>
  </si>
  <si>
    <t xml:space="preserve">К-ШБ-82   </t>
  </si>
  <si>
    <t>Хрестоматия 3-4-й класс. Произведения школьной программы.</t>
  </si>
  <si>
    <t xml:space="preserve">106041     </t>
  </si>
  <si>
    <t>978-5-9781-1100-2</t>
  </si>
  <si>
    <t>Беляев А.</t>
  </si>
  <si>
    <t xml:space="preserve">К-ШБ-83   </t>
  </si>
  <si>
    <t>Человек-амфибия</t>
  </si>
  <si>
    <t xml:space="preserve">106684     </t>
  </si>
  <si>
    <t>978-5-9781-0929-0</t>
  </si>
  <si>
    <t xml:space="preserve">К-ШБ-87   </t>
  </si>
  <si>
    <t>Школьные "приколы"</t>
  </si>
  <si>
    <t xml:space="preserve">113050     </t>
  </si>
  <si>
    <t>978-5-9781-0916-0</t>
  </si>
  <si>
    <t xml:space="preserve">К-ШБ-88   </t>
  </si>
  <si>
    <t>Школьные анекдоты</t>
  </si>
  <si>
    <t xml:space="preserve">102224     </t>
  </si>
  <si>
    <t>978-5-9781-1132-3</t>
  </si>
  <si>
    <t>Гофман Э.Т.</t>
  </si>
  <si>
    <t xml:space="preserve">К-ШБ-89   </t>
  </si>
  <si>
    <t>Щелкунчик и Мышиный Король</t>
  </si>
  <si>
    <t>120</t>
  </si>
  <si>
    <t>007. Серия "Любимые книги детства"</t>
  </si>
  <si>
    <t xml:space="preserve">100253     </t>
  </si>
  <si>
    <t>978-5-9781-1003-6</t>
  </si>
  <si>
    <t xml:space="preserve">К-ЛКД-05  </t>
  </si>
  <si>
    <t>Айболит</t>
  </si>
  <si>
    <t>145*205</t>
  </si>
  <si>
    <t>46</t>
  </si>
  <si>
    <t>1/1 | 64</t>
  </si>
  <si>
    <t xml:space="preserve">113004     </t>
  </si>
  <si>
    <t>978-5-9781-1083-8</t>
  </si>
  <si>
    <t xml:space="preserve">К-ЛКД-06  </t>
  </si>
  <si>
    <t>Бу-ра-ти-но</t>
  </si>
  <si>
    <t xml:space="preserve">111821     </t>
  </si>
  <si>
    <t>978-5-9781-1089-0</t>
  </si>
  <si>
    <t xml:space="preserve">К-ЛКД-25  </t>
  </si>
  <si>
    <t>Дениска и его друзья</t>
  </si>
  <si>
    <t xml:space="preserve">009850     </t>
  </si>
  <si>
    <t>978-5-9781-1107-1</t>
  </si>
  <si>
    <t xml:space="preserve">К-ЛКД-08  </t>
  </si>
  <si>
    <t>Зайку бросила хозяйка</t>
  </si>
  <si>
    <t xml:space="preserve">113005     </t>
  </si>
  <si>
    <t>978-5-9781-0891-0</t>
  </si>
  <si>
    <t xml:space="preserve">К-ЛКД-09  </t>
  </si>
  <si>
    <t>Идет бычок, качается</t>
  </si>
  <si>
    <t xml:space="preserve">113178     </t>
  </si>
  <si>
    <t>978-5-9781-0965-8</t>
  </si>
  <si>
    <t xml:space="preserve">К-ЛКД-11  </t>
  </si>
  <si>
    <t>Крокодил</t>
  </si>
  <si>
    <t xml:space="preserve">100528     </t>
  </si>
  <si>
    <t>978-5-9781-1117-0</t>
  </si>
  <si>
    <t xml:space="preserve">К-ЛКД-15  </t>
  </si>
  <si>
    <t>Мне теперь не до игрушек</t>
  </si>
  <si>
    <t xml:space="preserve">113571     </t>
  </si>
  <si>
    <t>978-5-9781-1054-8</t>
  </si>
  <si>
    <t xml:space="preserve">К-ЛКД-17  </t>
  </si>
  <si>
    <t>Мохнатая азбука</t>
  </si>
  <si>
    <t xml:space="preserve">008451     </t>
  </si>
  <si>
    <t>978-5-9781-1034-0</t>
  </si>
  <si>
    <t xml:space="preserve">К-ЛКД-18  </t>
  </si>
  <si>
    <t>Муха-Цокотуха</t>
  </si>
  <si>
    <t xml:space="preserve">113008     </t>
  </si>
  <si>
    <t>978-5-9781-1082-1</t>
  </si>
  <si>
    <t xml:space="preserve">К-ЛКД-19  </t>
  </si>
  <si>
    <t>Наша Таня громко плачет</t>
  </si>
  <si>
    <t xml:space="preserve">113547     </t>
  </si>
  <si>
    <t>978-5-9781-1052-4</t>
  </si>
  <si>
    <t xml:space="preserve">К-ЛКД-28  </t>
  </si>
  <si>
    <t>По щучьему велению</t>
  </si>
  <si>
    <t xml:space="preserve">112998     </t>
  </si>
  <si>
    <t>978-5-9781-0878-1</t>
  </si>
  <si>
    <t xml:space="preserve">К-ЛКД-21  </t>
  </si>
  <si>
    <t>Сказки. Сборник</t>
  </si>
  <si>
    <t xml:space="preserve">113039     </t>
  </si>
  <si>
    <t>978-5-9781-0909-2</t>
  </si>
  <si>
    <t xml:space="preserve">К-ЛКД-22  </t>
  </si>
  <si>
    <t>Телефон</t>
  </si>
  <si>
    <t xml:space="preserve">113013     </t>
  </si>
  <si>
    <t>978-5-9781-0893-4</t>
  </si>
  <si>
    <t xml:space="preserve">К-ЛКД-27  </t>
  </si>
  <si>
    <t>Цветик-семицветик</t>
  </si>
  <si>
    <t xml:space="preserve">101477     </t>
  </si>
  <si>
    <t>978-5-9781-1092-0</t>
  </si>
  <si>
    <t xml:space="preserve">К-ЛКД-24  </t>
  </si>
  <si>
    <t>Я люблю свою лошадку</t>
  </si>
  <si>
    <t>008. Серия "Новые сказочные повести"</t>
  </si>
  <si>
    <t xml:space="preserve">113572     </t>
  </si>
  <si>
    <t>978-5-9781-1055-5</t>
  </si>
  <si>
    <t>Бартенев М., Усачев А.</t>
  </si>
  <si>
    <t xml:space="preserve">К-НСП-01  </t>
  </si>
  <si>
    <t>Барабашка или обещано большое вознаграждение</t>
  </si>
  <si>
    <t>170*220</t>
  </si>
  <si>
    <t>1/1 | 76</t>
  </si>
  <si>
    <t xml:space="preserve">114024     </t>
  </si>
  <si>
    <t>978-5-9781-1098-2</t>
  </si>
  <si>
    <t>Благов В.</t>
  </si>
  <si>
    <t xml:space="preserve">К-НСП-20  </t>
  </si>
  <si>
    <t>Вперед, за Кудыкины горы!</t>
  </si>
  <si>
    <t xml:space="preserve">001027     </t>
  </si>
  <si>
    <t>978-5-9781-1170-5</t>
  </si>
  <si>
    <t>Мокиенко М.</t>
  </si>
  <si>
    <t xml:space="preserve">К-НСП-05  </t>
  </si>
  <si>
    <t>Как Бабы-Яги Новый год встречали</t>
  </si>
  <si>
    <t xml:space="preserve">113957     </t>
  </si>
  <si>
    <t>978-5-9781-1084-5</t>
  </si>
  <si>
    <t xml:space="preserve">К-НСП-06  </t>
  </si>
  <si>
    <t>Как Бабы-Яги сказку спасали</t>
  </si>
  <si>
    <t xml:space="preserve">114468     </t>
  </si>
  <si>
    <t>978-5-9781-1115-6</t>
  </si>
  <si>
    <t xml:space="preserve">К-НСП-21  </t>
  </si>
  <si>
    <t>Похождения Дункеля</t>
  </si>
  <si>
    <t xml:space="preserve">109995     </t>
  </si>
  <si>
    <t>978-5-9781-1097-5</t>
  </si>
  <si>
    <t xml:space="preserve">К-НСП-12  </t>
  </si>
  <si>
    <t>Приключения робота Гоши</t>
  </si>
  <si>
    <t xml:space="preserve">113945     </t>
  </si>
  <si>
    <t>978-5-9781-1090-6</t>
  </si>
  <si>
    <t xml:space="preserve">К-НСП-14  </t>
  </si>
  <si>
    <t>Свободу Змею Горынычу!</t>
  </si>
  <si>
    <t xml:space="preserve">113584     </t>
  </si>
  <si>
    <t>978-5-9781-1058-6</t>
  </si>
  <si>
    <t xml:space="preserve">К-НСП-16  </t>
  </si>
  <si>
    <t>Тайна Зеленой планеты</t>
  </si>
  <si>
    <t>009. Серия "Сказка за сказкой"</t>
  </si>
  <si>
    <t xml:space="preserve">113548     </t>
  </si>
  <si>
    <t>978-5-9781-1049-4</t>
  </si>
  <si>
    <t>Перро Ш.</t>
  </si>
  <si>
    <t xml:space="preserve">К-СЗС-02  </t>
  </si>
  <si>
    <t>Волшебные сказки Шарля Перро</t>
  </si>
  <si>
    <t>1/1 | 24</t>
  </si>
  <si>
    <t xml:space="preserve">106650     </t>
  </si>
  <si>
    <t>978-5-9781-1151-4</t>
  </si>
  <si>
    <t>Усачев А.</t>
  </si>
  <si>
    <t xml:space="preserve">К-СЗС-03  </t>
  </si>
  <si>
    <t>Жили-были ёжики</t>
  </si>
  <si>
    <t>78</t>
  </si>
  <si>
    <t xml:space="preserve">110366     </t>
  </si>
  <si>
    <t>978-5-9781-0934-4</t>
  </si>
  <si>
    <t>Грибачев Н.</t>
  </si>
  <si>
    <t xml:space="preserve">К-СЗС-04  </t>
  </si>
  <si>
    <t>Заяц Коська и его друзья</t>
  </si>
  <si>
    <t xml:space="preserve">111041     </t>
  </si>
  <si>
    <t>978-5-9781-1048-7</t>
  </si>
  <si>
    <t xml:space="preserve">К-СЗС-08  </t>
  </si>
  <si>
    <t>Маша и медведь. Русские народные сказки</t>
  </si>
  <si>
    <t>100</t>
  </si>
  <si>
    <t xml:space="preserve">112477     </t>
  </si>
  <si>
    <t>978-5-9781-0931-3</t>
  </si>
  <si>
    <t xml:space="preserve">К-СЗС-09  </t>
  </si>
  <si>
    <t>Маша и Ойка</t>
  </si>
  <si>
    <t xml:space="preserve">106683     </t>
  </si>
  <si>
    <t>978-5-9781-1093-7</t>
  </si>
  <si>
    <t>Андерсен Х.К.</t>
  </si>
  <si>
    <t xml:space="preserve">К-СЗС-10  </t>
  </si>
  <si>
    <t>Мир сказок Андерсена</t>
  </si>
  <si>
    <t xml:space="preserve">113442     </t>
  </si>
  <si>
    <t>978-5-9781-0606-0</t>
  </si>
  <si>
    <t>Бондаренко В.</t>
  </si>
  <si>
    <t xml:space="preserve">К-СЗС-11  </t>
  </si>
  <si>
    <t>Пять веселых медвежат</t>
  </si>
  <si>
    <t xml:space="preserve">113503     </t>
  </si>
  <si>
    <t>978-5-9781-1023-4</t>
  </si>
  <si>
    <t>Гауф В.</t>
  </si>
  <si>
    <t xml:space="preserve">К-СЗС-19  </t>
  </si>
  <si>
    <t>Сказки Гауфа</t>
  </si>
  <si>
    <t>1 | 1/1</t>
  </si>
  <si>
    <t xml:space="preserve">106645     </t>
  </si>
  <si>
    <t>978-5-9781-0932-0</t>
  </si>
  <si>
    <t xml:space="preserve">К-СЗС-14  </t>
  </si>
  <si>
    <t>Сказки для малышей</t>
  </si>
  <si>
    <t xml:space="preserve">113587     </t>
  </si>
  <si>
    <t>978-5-9781-1057-9</t>
  </si>
  <si>
    <t>Х.К. Андерсен</t>
  </si>
  <si>
    <t xml:space="preserve">К-СЗС-15  </t>
  </si>
  <si>
    <t>Сказки Ханса Кристиана Андерсена</t>
  </si>
  <si>
    <t xml:space="preserve">113440     </t>
  </si>
  <si>
    <t>978-5-9781-1130-9</t>
  </si>
  <si>
    <t xml:space="preserve">К-СЗС-17  </t>
  </si>
  <si>
    <t>Три веселых зайца</t>
  </si>
  <si>
    <t xml:space="preserve">109162     </t>
  </si>
  <si>
    <t>978-5-9781-0933-7</t>
  </si>
  <si>
    <t>Н.Абрамцева</t>
  </si>
  <si>
    <t xml:space="preserve">К-СЗС-18  </t>
  </si>
  <si>
    <t>Чудеса, да и только</t>
  </si>
  <si>
    <t>010. Серия "Стихи для малышей"</t>
  </si>
  <si>
    <t xml:space="preserve">106663     </t>
  </si>
  <si>
    <t>978-5-9781-1110-1</t>
  </si>
  <si>
    <t xml:space="preserve">К-СДМ-01  </t>
  </si>
  <si>
    <t>30</t>
  </si>
  <si>
    <t>115*165</t>
  </si>
  <si>
    <t>1/1 | 47</t>
  </si>
  <si>
    <t xml:space="preserve">106505     </t>
  </si>
  <si>
    <t>978-5-9781-0935-1</t>
  </si>
  <si>
    <t xml:space="preserve">К-СДМ-06  </t>
  </si>
  <si>
    <t>Кит и кот</t>
  </si>
  <si>
    <t>64</t>
  </si>
  <si>
    <t xml:space="preserve">106436     </t>
  </si>
  <si>
    <t>978-5-9781-0984-9</t>
  </si>
  <si>
    <t xml:space="preserve">К-СДМ-10  </t>
  </si>
  <si>
    <t>Мойдодыр</t>
  </si>
  <si>
    <t xml:space="preserve">УТ-201574  </t>
  </si>
  <si>
    <t>978-5-9781-1147-7</t>
  </si>
  <si>
    <t>К-СДМ-15</t>
  </si>
  <si>
    <t>Мы с Тамарой</t>
  </si>
  <si>
    <t>1/1 | 67/1</t>
  </si>
  <si>
    <t>011. Серия "Для самых маленьких"</t>
  </si>
  <si>
    <t xml:space="preserve">110950     </t>
  </si>
  <si>
    <t>978-5-9781-1046-3</t>
  </si>
  <si>
    <t xml:space="preserve">К-ДСМ-01  </t>
  </si>
  <si>
    <t>25 загадок-25 отгадок</t>
  </si>
  <si>
    <t>1/1 | 59</t>
  </si>
  <si>
    <t xml:space="preserve">113080     </t>
  </si>
  <si>
    <t>978-5-9781-0936-8</t>
  </si>
  <si>
    <t xml:space="preserve">К-ДСМ-02  </t>
  </si>
  <si>
    <t>Азбука в загадках</t>
  </si>
  <si>
    <t xml:space="preserve">007159     </t>
  </si>
  <si>
    <t>978-5-9781-0904-7</t>
  </si>
  <si>
    <t xml:space="preserve">К-ДСМ-03  </t>
  </si>
  <si>
    <t>Баюшки-баю</t>
  </si>
  <si>
    <t xml:space="preserve">113222     </t>
  </si>
  <si>
    <t>978-5-9781-0976-4</t>
  </si>
  <si>
    <t xml:space="preserve">К-ДСМ-04  </t>
  </si>
  <si>
    <t>Братики-сестрички</t>
  </si>
  <si>
    <t xml:space="preserve">113467     </t>
  </si>
  <si>
    <t>978-5-9781-1007-4</t>
  </si>
  <si>
    <t xml:space="preserve">К-ДСМ-05  </t>
  </si>
  <si>
    <t>Буренка и компания</t>
  </si>
  <si>
    <t xml:space="preserve">113424     </t>
  </si>
  <si>
    <t>978-5-9781-0979-5</t>
  </si>
  <si>
    <t xml:space="preserve">К-ДСМ-08  </t>
  </si>
  <si>
    <t>Верные друзья</t>
  </si>
  <si>
    <t xml:space="preserve">113487     </t>
  </si>
  <si>
    <t>978-5-9781-0995-5</t>
  </si>
  <si>
    <t xml:space="preserve">К-ДСМ-15  </t>
  </si>
  <si>
    <t>Любимые игрушки</t>
  </si>
  <si>
    <t xml:space="preserve">113435     </t>
  </si>
  <si>
    <t>978-5-9781-0993-1</t>
  </si>
  <si>
    <t xml:space="preserve">К-ДСМ-16  </t>
  </si>
  <si>
    <t>Озорные стихи</t>
  </si>
  <si>
    <t xml:space="preserve">114614     </t>
  </si>
  <si>
    <t>978-5-9781-1127-9</t>
  </si>
  <si>
    <t xml:space="preserve">К-ДСМ-30  </t>
  </si>
  <si>
    <t>Пока я буду подрастать</t>
  </si>
  <si>
    <t xml:space="preserve">114612     </t>
  </si>
  <si>
    <t>978-5-9781-1126-2</t>
  </si>
  <si>
    <t xml:space="preserve">К-ДСМ-29  </t>
  </si>
  <si>
    <t>Разноцветный подарок</t>
  </si>
  <si>
    <t xml:space="preserve">007463     </t>
  </si>
  <si>
    <t>978-5-9781-0937-5</t>
  </si>
  <si>
    <t xml:space="preserve">К-ДСМ-17  </t>
  </si>
  <si>
    <t>Ребятам о зверятах</t>
  </si>
  <si>
    <t xml:space="preserve">113488     </t>
  </si>
  <si>
    <t>978-5-9781-1101-9</t>
  </si>
  <si>
    <t xml:space="preserve">К-ДСМ-18  </t>
  </si>
  <si>
    <t>Сказки в стихах</t>
  </si>
  <si>
    <t xml:space="preserve">007345     </t>
  </si>
  <si>
    <t>978-5-9781-0938-2</t>
  </si>
  <si>
    <t xml:space="preserve">К-ДСМ-19  </t>
  </si>
  <si>
    <t>Сказки народные</t>
  </si>
  <si>
    <t xml:space="preserve">008459     </t>
  </si>
  <si>
    <t>978-5-9781-0886-6</t>
  </si>
  <si>
    <t xml:space="preserve">К-ДСМ-20  </t>
  </si>
  <si>
    <t>Скороговорки</t>
  </si>
  <si>
    <t xml:space="preserve">007712     </t>
  </si>
  <si>
    <t>978-5-9781-1129-3</t>
  </si>
  <si>
    <t xml:space="preserve">К-ДСМ-22  </t>
  </si>
  <si>
    <t>Считалочки</t>
  </si>
  <si>
    <t xml:space="preserve">113093     </t>
  </si>
  <si>
    <t>978-5-9781-0948-1</t>
  </si>
  <si>
    <t xml:space="preserve">К-ДСМ-25  </t>
  </si>
  <si>
    <t>Что такое хорошо</t>
  </si>
  <si>
    <t xml:space="preserve">113176     </t>
  </si>
  <si>
    <t>978-5-9781-1137-8</t>
  </si>
  <si>
    <t xml:space="preserve">К-ДСМ-26  </t>
  </si>
  <si>
    <t>Чудо-песенки</t>
  </si>
  <si>
    <t>012. Серия "Книжка с раскраской"</t>
  </si>
  <si>
    <t xml:space="preserve">110746     </t>
  </si>
  <si>
    <t>978-5-9781-0961-0</t>
  </si>
  <si>
    <t xml:space="preserve">КРСМ-01   </t>
  </si>
  <si>
    <t>Айболит. Книжка с раскраской</t>
  </si>
  <si>
    <t>200*255</t>
  </si>
  <si>
    <t>Обложка (115г/м2)</t>
  </si>
  <si>
    <t>1/1 | 74</t>
  </si>
  <si>
    <t xml:space="preserve">109355     </t>
  </si>
  <si>
    <t>978-5-9781-1163-7</t>
  </si>
  <si>
    <t xml:space="preserve">КРСМ-02   </t>
  </si>
  <si>
    <t>Антошка. Книжка с раскраской</t>
  </si>
  <si>
    <t xml:space="preserve">112991     </t>
  </si>
  <si>
    <t>978-5-9781-1165-1</t>
  </si>
  <si>
    <t xml:space="preserve">КРСМ-03   </t>
  </si>
  <si>
    <t>Загадки. Книжка с раскраской</t>
  </si>
  <si>
    <t xml:space="preserve">106141     </t>
  </si>
  <si>
    <t>978-5-9781-0898-9</t>
  </si>
  <si>
    <t xml:space="preserve">КРСМ-04   </t>
  </si>
  <si>
    <t>Игрушки. Книжка с раскраской</t>
  </si>
  <si>
    <t xml:space="preserve">106810     </t>
  </si>
  <si>
    <t>978-5-9781-0980-1</t>
  </si>
  <si>
    <t xml:space="preserve">КРСМ-05   </t>
  </si>
  <si>
    <t>Ладушки. Книжка с раскраской</t>
  </si>
  <si>
    <t xml:space="preserve">113171     </t>
  </si>
  <si>
    <t>978-5-9781-1164-4</t>
  </si>
  <si>
    <t xml:space="preserve">КРСМ-06   </t>
  </si>
  <si>
    <t>Матрёшки. Книжка с раскраской</t>
  </si>
  <si>
    <t xml:space="preserve">113006     </t>
  </si>
  <si>
    <t>978-5-9781-1167-5</t>
  </si>
  <si>
    <t xml:space="preserve">КРСМ-07   </t>
  </si>
  <si>
    <t>Машенька. Книжка с раскраской</t>
  </si>
  <si>
    <t xml:space="preserve">103769     </t>
  </si>
  <si>
    <t>978-5-9781-1149-1</t>
  </si>
  <si>
    <t xml:space="preserve">КРСМ-08   </t>
  </si>
  <si>
    <t>Мойдодыр. Книжка с раскраской</t>
  </si>
  <si>
    <t xml:space="preserve">113094     </t>
  </si>
  <si>
    <t>978-5-9781-0952-8</t>
  </si>
  <si>
    <t xml:space="preserve">КРСМ-09   </t>
  </si>
  <si>
    <t>Муха-Цокотуха. Книжка с раскраской</t>
  </si>
  <si>
    <t xml:space="preserve">112992     </t>
  </si>
  <si>
    <t>978-5-9781-1166-8</t>
  </si>
  <si>
    <t xml:space="preserve">КРСМ-11   </t>
  </si>
  <si>
    <t>Семь гномов. Книжка с раскраской</t>
  </si>
  <si>
    <t xml:space="preserve">113033     </t>
  </si>
  <si>
    <t>978-5-9781-0908-5</t>
  </si>
  <si>
    <t xml:space="preserve">КРСМ-12   </t>
  </si>
  <si>
    <t>Телефон. Книжка с раскраской</t>
  </si>
  <si>
    <t>013. Серия "Книжка с наклейками"</t>
  </si>
  <si>
    <t xml:space="preserve">УТ-201242  </t>
  </si>
  <si>
    <t>978-5-9781-1143-9</t>
  </si>
  <si>
    <t xml:space="preserve">К-КНСМ-04   </t>
  </si>
  <si>
    <t>Игрушки. Книжка с наклейками</t>
  </si>
  <si>
    <t>160*215</t>
  </si>
  <si>
    <t>36 | 36/1</t>
  </si>
  <si>
    <t xml:space="preserve">УТ-201241  </t>
  </si>
  <si>
    <t>978-5-9781-1141-5</t>
  </si>
  <si>
    <t xml:space="preserve">К-КНСМ-02  </t>
  </si>
  <si>
    <t>Муха-Цокотуха. Книжка с наклейками</t>
  </si>
  <si>
    <t xml:space="preserve">УТ-201243  </t>
  </si>
  <si>
    <t>978-5-9781-1142-2</t>
  </si>
  <si>
    <t xml:space="preserve">К-КНСМ-03  </t>
  </si>
  <si>
    <t>Русские народные сказки. Книжка с наклейками</t>
  </si>
  <si>
    <t xml:space="preserve">УТ-201240  </t>
  </si>
  <si>
    <t>978-5-9781-1140-8</t>
  </si>
  <si>
    <t xml:space="preserve">К-КНСМ-01   </t>
  </si>
  <si>
    <t>Телефон. Книжка с наклейками</t>
  </si>
  <si>
    <t>0003 Детская литература для дошкольного и младшего школьного возраста</t>
  </si>
  <si>
    <t>001. Серия книг "Стихи и сказки для малышей"</t>
  </si>
  <si>
    <t xml:space="preserve">УТ-202547  </t>
  </si>
  <si>
    <t>978-5-60499-062-9</t>
  </si>
  <si>
    <t>Корней Чуковский</t>
  </si>
  <si>
    <t>ССМ-0629</t>
  </si>
  <si>
    <t>Корней Чуковский. Любимые сказки</t>
  </si>
  <si>
    <t>МОЗАЙКА ООО</t>
  </si>
  <si>
    <t>200*265</t>
  </si>
  <si>
    <t>Переплет 7БЦ</t>
  </si>
  <si>
    <t>81 | 81/1</t>
  </si>
  <si>
    <t xml:space="preserve">УТ-200429  </t>
  </si>
  <si>
    <t>978-5-60483-970-6</t>
  </si>
  <si>
    <t>А. С. Пушкин</t>
  </si>
  <si>
    <t>ССМ-9706</t>
  </si>
  <si>
    <t>Сказки А.С.Пушкина</t>
  </si>
  <si>
    <t>5/1 | 81</t>
  </si>
  <si>
    <t>002. Книжки-панорамки</t>
  </si>
  <si>
    <t>01. Серия "Поиграем в сказку". Книжка-панорама с движущимися фигурками</t>
  </si>
  <si>
    <t xml:space="preserve">УТ-201456  </t>
  </si>
  <si>
    <t>978-5-907388-08-6</t>
  </si>
  <si>
    <t>Чуковский К.И.</t>
  </si>
  <si>
    <t>ПВС-8086</t>
  </si>
  <si>
    <t>265*205</t>
  </si>
  <si>
    <t>4 развор.</t>
  </si>
  <si>
    <t>картон хромэрзац</t>
  </si>
  <si>
    <t>56 | 56/1</t>
  </si>
  <si>
    <t xml:space="preserve">УТ-201822  </t>
  </si>
  <si>
    <t>978-5-604521-15-1</t>
  </si>
  <si>
    <t>ПВС-1151</t>
  </si>
  <si>
    <t>Два весёлых гуся</t>
  </si>
  <si>
    <t>56 | 56/2</t>
  </si>
  <si>
    <t xml:space="preserve">УТ-201457  </t>
  </si>
  <si>
    <t>978-5-907388-05-5</t>
  </si>
  <si>
    <t>ПВС-8055</t>
  </si>
  <si>
    <t>Краденое солнце</t>
  </si>
  <si>
    <t xml:space="preserve">УТ-201458  </t>
  </si>
  <si>
    <t>978-5-907388-07-9</t>
  </si>
  <si>
    <t>ПВС-8079</t>
  </si>
  <si>
    <t xml:space="preserve">УТ-201459  </t>
  </si>
  <si>
    <t>978-5-907388-09-3</t>
  </si>
  <si>
    <t>ПВС-8093</t>
  </si>
  <si>
    <t xml:space="preserve">УТ-201824  </t>
  </si>
  <si>
    <t>978-5-604521-17-5</t>
  </si>
  <si>
    <t>ПВС-1175</t>
  </si>
  <si>
    <t>Серенький козлик</t>
  </si>
  <si>
    <t xml:space="preserve">УТ-201460  </t>
  </si>
  <si>
    <t>978-5-907388-06-2</t>
  </si>
  <si>
    <t>ПВС-8062</t>
  </si>
  <si>
    <t>Тараканище</t>
  </si>
  <si>
    <t xml:space="preserve">УТ-201825  </t>
  </si>
  <si>
    <t>978-5-604521-18-2</t>
  </si>
  <si>
    <t>ПВС-1182</t>
  </si>
  <si>
    <t>Три поросёнка</t>
  </si>
  <si>
    <t>02. Серия "Сказка в окошке". Книжка-панорама с движущимися картинками. Вырубка на обложке</t>
  </si>
  <si>
    <t xml:space="preserve">УТ-200371  </t>
  </si>
  <si>
    <t>978-5-98088-907-4</t>
  </si>
  <si>
    <t>СВО-9074</t>
  </si>
  <si>
    <t>Бычок-Смоляной Бочок</t>
  </si>
  <si>
    <t>200*200</t>
  </si>
  <si>
    <t>8</t>
  </si>
  <si>
    <t>68 | 68/1</t>
  </si>
  <si>
    <t xml:space="preserve">114331     </t>
  </si>
  <si>
    <t>978-5-60499-068-1</t>
  </si>
  <si>
    <t>СВО-0681</t>
  </si>
  <si>
    <t>Волк и семеро козлят</t>
  </si>
  <si>
    <t>картон хромэрз.</t>
  </si>
  <si>
    <t xml:space="preserve">114542     </t>
  </si>
  <si>
    <t>978-5-98088-825-1</t>
  </si>
  <si>
    <t xml:space="preserve">СВО-8251  </t>
  </si>
  <si>
    <t>Заячья избушка</t>
  </si>
  <si>
    <t xml:space="preserve">114307     </t>
  </si>
  <si>
    <t>978-5-60483-972-0</t>
  </si>
  <si>
    <t xml:space="preserve">СВО-9720  </t>
  </si>
  <si>
    <t>Колобок</t>
  </si>
  <si>
    <t xml:space="preserve">УТ-200005  </t>
  </si>
  <si>
    <t>978-5-60462-369-5</t>
  </si>
  <si>
    <t>СВО-3695</t>
  </si>
  <si>
    <t>Кошкин дом</t>
  </si>
  <si>
    <t xml:space="preserve">114541     </t>
  </si>
  <si>
    <t>978-5-98088-826-8</t>
  </si>
  <si>
    <t xml:space="preserve">СВО-8268  </t>
  </si>
  <si>
    <t xml:space="preserve">114332     </t>
  </si>
  <si>
    <t>978-5-60499-060-5</t>
  </si>
  <si>
    <t xml:space="preserve">СВО-8114  </t>
  </si>
  <si>
    <t>Курочка Ряба</t>
  </si>
  <si>
    <t xml:space="preserve">114333     </t>
  </si>
  <si>
    <t>978-5-98088-815-2</t>
  </si>
  <si>
    <t xml:space="preserve">СВО-8152  </t>
  </si>
  <si>
    <t>Лисичка со скалочкой</t>
  </si>
  <si>
    <t xml:space="preserve">114334     </t>
  </si>
  <si>
    <t>978-5-60499-069-8</t>
  </si>
  <si>
    <t>СВО-0698</t>
  </si>
  <si>
    <t>Маша и медведь</t>
  </si>
  <si>
    <t xml:space="preserve">114335     </t>
  </si>
  <si>
    <t>978-5-98088-812-1</t>
  </si>
  <si>
    <t xml:space="preserve">СВО-8121  </t>
  </si>
  <si>
    <t>Петушок-Золотой гребешок</t>
  </si>
  <si>
    <t xml:space="preserve">114336     </t>
  </si>
  <si>
    <t>978-5-60483-973-7</t>
  </si>
  <si>
    <t xml:space="preserve">СВО-8107  </t>
  </si>
  <si>
    <t>Репка</t>
  </si>
  <si>
    <t xml:space="preserve">114543     </t>
  </si>
  <si>
    <t>978-5-98088-827-5</t>
  </si>
  <si>
    <t xml:space="preserve">СВО-8275  </t>
  </si>
  <si>
    <t>Теремок</t>
  </si>
  <si>
    <t xml:space="preserve">114337     </t>
  </si>
  <si>
    <t>978-5-98088-809-1</t>
  </si>
  <si>
    <t xml:space="preserve">СВО-8091  </t>
  </si>
  <si>
    <t>Три медведя</t>
  </si>
  <si>
    <t xml:space="preserve">УТ-200446  </t>
  </si>
  <si>
    <t>978-5-98088-914-2</t>
  </si>
  <si>
    <t>СВО-9142</t>
  </si>
  <si>
    <t>03. Серия "Ушки-потягушки". Книжка-панорама с движущимися картинками (картон хромэрзац 320 г)</t>
  </si>
  <si>
    <t xml:space="preserve">114338     </t>
  </si>
  <si>
    <t>978-5-60487-786-9</t>
  </si>
  <si>
    <t>УП-7869</t>
  </si>
  <si>
    <t>В зоопарке</t>
  </si>
  <si>
    <t>135*190</t>
  </si>
  <si>
    <t xml:space="preserve">114339     </t>
  </si>
  <si>
    <t>978-5-98088-819-0</t>
  </si>
  <si>
    <t>УП-8190</t>
  </si>
  <si>
    <t>Качельки</t>
  </si>
  <si>
    <t xml:space="preserve">УТ-200127  </t>
  </si>
  <si>
    <t>978-5-98088-888-6</t>
  </si>
  <si>
    <t xml:space="preserve">УП-8886   </t>
  </si>
  <si>
    <t>Котята</t>
  </si>
  <si>
    <t xml:space="preserve">114599     </t>
  </si>
  <si>
    <t>978-5-98088-881-7</t>
  </si>
  <si>
    <t xml:space="preserve">УП-8817   </t>
  </si>
  <si>
    <t>Кошка Матрёшка</t>
  </si>
  <si>
    <t xml:space="preserve">114598     </t>
  </si>
  <si>
    <t>978-5-98088-883-1</t>
  </si>
  <si>
    <t xml:space="preserve">УП-8831   </t>
  </si>
  <si>
    <t>Мишка косолапый</t>
  </si>
  <si>
    <t xml:space="preserve">114308     </t>
  </si>
  <si>
    <t>978-5-60483-974-4</t>
  </si>
  <si>
    <t>УП-9744</t>
  </si>
  <si>
    <t>Мой домик</t>
  </si>
  <si>
    <t xml:space="preserve">114340     </t>
  </si>
  <si>
    <t>978-5-60483-971-3</t>
  </si>
  <si>
    <t>УП-9713</t>
  </si>
  <si>
    <t>Мы едем, едем</t>
  </si>
  <si>
    <t>003. Серия "Книжка-картонка малышам". Формат 160*220, 5 разворотов</t>
  </si>
  <si>
    <t xml:space="preserve">УТ-200819  </t>
  </si>
  <si>
    <t>978-5-60483-975-1</t>
  </si>
  <si>
    <t>ККМ-3445</t>
  </si>
  <si>
    <t>160*220</t>
  </si>
  <si>
    <t>КартонХромэрзац</t>
  </si>
  <si>
    <t>51/1 | 81</t>
  </si>
  <si>
    <t xml:space="preserve">УТ-200414  </t>
  </si>
  <si>
    <t>978-5-99087-323-0</t>
  </si>
  <si>
    <t>ККМ-3230</t>
  </si>
  <si>
    <t>Весёлая азбука</t>
  </si>
  <si>
    <t xml:space="preserve">УТ-202377  </t>
  </si>
  <si>
    <t>978-5-60487-790-6</t>
  </si>
  <si>
    <t>ККМ-7906</t>
  </si>
  <si>
    <t>Во саду ли, в огороде</t>
  </si>
  <si>
    <t xml:space="preserve">УТ-202182  </t>
  </si>
  <si>
    <t>978-5-60462-367-1</t>
  </si>
  <si>
    <t>ККМ-3671</t>
  </si>
  <si>
    <t>Зверятам и ребятам</t>
  </si>
  <si>
    <t>51/2 | 81</t>
  </si>
  <si>
    <t xml:space="preserve">УТ-200415  </t>
  </si>
  <si>
    <t>978-5-60483-977-5</t>
  </si>
  <si>
    <t>ККМ-9775</t>
  </si>
  <si>
    <t>Коза рогатая</t>
  </si>
  <si>
    <t xml:space="preserve">УТ-200416  </t>
  </si>
  <si>
    <t>978-5-60483-978-2</t>
  </si>
  <si>
    <t>ККМ-9782</t>
  </si>
  <si>
    <t xml:space="preserve">УТ-202379  </t>
  </si>
  <si>
    <t>978-5-60487-788-3</t>
  </si>
  <si>
    <t>ККМ-7833</t>
  </si>
  <si>
    <t xml:space="preserve">УТ-200417  </t>
  </si>
  <si>
    <t>978-5-60483-979-9</t>
  </si>
  <si>
    <t>ККМ-9799</t>
  </si>
  <si>
    <t>Кто живёт во дворе</t>
  </si>
  <si>
    <t xml:space="preserve">УТ-200418  </t>
  </si>
  <si>
    <t>978-5-60487-780-7</t>
  </si>
  <si>
    <t>ККМ-7807</t>
  </si>
  <si>
    <t xml:space="preserve">УТ-200419  </t>
  </si>
  <si>
    <t>978-5-60487-781-4</t>
  </si>
  <si>
    <t>ККМ-7814</t>
  </si>
  <si>
    <t>Лесные зверята</t>
  </si>
  <si>
    <t xml:space="preserve">УТ-202183  </t>
  </si>
  <si>
    <t>978-5-60462-368-8</t>
  </si>
  <si>
    <t>ККМ-3688</t>
  </si>
  <si>
    <t>Машинки-помощники</t>
  </si>
  <si>
    <t xml:space="preserve">УТ-202380  </t>
  </si>
  <si>
    <t>978-5-60487-789-0</t>
  </si>
  <si>
    <t>ККМ-7890</t>
  </si>
  <si>
    <t xml:space="preserve">УТ-200420  </t>
  </si>
  <si>
    <t>978-5-60487-782-1</t>
  </si>
  <si>
    <t>ККМ-7821</t>
  </si>
  <si>
    <t xml:space="preserve">УТ-200820  </t>
  </si>
  <si>
    <t>978-5-60487-783-8</t>
  </si>
  <si>
    <t>ККМ-7838</t>
  </si>
  <si>
    <t xml:space="preserve">УТ-202382  </t>
  </si>
  <si>
    <t>978-5-60487-793-7</t>
  </si>
  <si>
    <t>ККМ-7937</t>
  </si>
  <si>
    <t xml:space="preserve">УТ-200821  </t>
  </si>
  <si>
    <t>978-5-60487-784-5</t>
  </si>
  <si>
    <t>ККМ-7845</t>
  </si>
  <si>
    <t xml:space="preserve">УТ-200421  </t>
  </si>
  <si>
    <t>978-5-60487-785-2</t>
  </si>
  <si>
    <t>ККМ-7852</t>
  </si>
  <si>
    <t>Угадай-ка</t>
  </si>
  <si>
    <t>004. Серия "Книжка-крошка". Книжки с замочком</t>
  </si>
  <si>
    <t xml:space="preserve">114312     </t>
  </si>
  <si>
    <t>978-5-98088-805-3</t>
  </si>
  <si>
    <t xml:space="preserve">КНК-8053  </t>
  </si>
  <si>
    <t>А ну-ка посчитай!</t>
  </si>
  <si>
    <t>82*110</t>
  </si>
  <si>
    <t xml:space="preserve">114303     </t>
  </si>
  <si>
    <t>978-5-98088-791-9</t>
  </si>
  <si>
    <t xml:space="preserve">КНК-7919  </t>
  </si>
  <si>
    <t>Азбука по слогам</t>
  </si>
  <si>
    <t xml:space="preserve">114313     </t>
  </si>
  <si>
    <t>978-5-98088-792-6</t>
  </si>
  <si>
    <t xml:space="preserve">КНК-7926  </t>
  </si>
  <si>
    <t>Веселая азбука</t>
  </si>
  <si>
    <t xml:space="preserve">114314     </t>
  </si>
  <si>
    <t>978-5-98088-793-3</t>
  </si>
  <si>
    <t xml:space="preserve">КНК-7933  </t>
  </si>
  <si>
    <t>Веселый счет</t>
  </si>
  <si>
    <t xml:space="preserve">114315     </t>
  </si>
  <si>
    <t>978-5-98088-787-2</t>
  </si>
  <si>
    <t xml:space="preserve">КНК-7872  </t>
  </si>
  <si>
    <t xml:space="preserve">114316     </t>
  </si>
  <si>
    <t>978-5-98088-806-0</t>
  </si>
  <si>
    <t xml:space="preserve">КНК-8060  </t>
  </si>
  <si>
    <t>Вышел зайчик погулять</t>
  </si>
  <si>
    <t xml:space="preserve">114483     </t>
  </si>
  <si>
    <t>978-5-98088-799-5</t>
  </si>
  <si>
    <t xml:space="preserve">КНК-7995  </t>
  </si>
  <si>
    <t xml:space="preserve">114317     </t>
  </si>
  <si>
    <t>978-5-98088-802-2</t>
  </si>
  <si>
    <t xml:space="preserve">КНК-8022  </t>
  </si>
  <si>
    <t>Живые загадки</t>
  </si>
  <si>
    <t xml:space="preserve">114318     </t>
  </si>
  <si>
    <t>978-5-98088-801-5</t>
  </si>
  <si>
    <t xml:space="preserve">КНК-8015  </t>
  </si>
  <si>
    <t>Загадки вокруг нас</t>
  </si>
  <si>
    <t xml:space="preserve">114319     </t>
  </si>
  <si>
    <t>978-5-98088-797-1</t>
  </si>
  <si>
    <t xml:space="preserve">КНК-7971  </t>
  </si>
  <si>
    <t xml:space="preserve">114320     </t>
  </si>
  <si>
    <t>978-5-98088-798-8</t>
  </si>
  <si>
    <t xml:space="preserve">КНК-7988  </t>
  </si>
  <si>
    <t xml:space="preserve">114321     </t>
  </si>
  <si>
    <t>978-5-98088-788-9</t>
  </si>
  <si>
    <t xml:space="preserve">КНК-7889  </t>
  </si>
  <si>
    <t>Котёнок</t>
  </si>
  <si>
    <t xml:space="preserve">114322     </t>
  </si>
  <si>
    <t>978-5-98088-789-6</t>
  </si>
  <si>
    <t xml:space="preserve">КНК-7896  </t>
  </si>
  <si>
    <t xml:space="preserve">114323     </t>
  </si>
  <si>
    <t>978-5-98088-786-5</t>
  </si>
  <si>
    <t xml:space="preserve">КНК-7865  </t>
  </si>
  <si>
    <t xml:space="preserve">114324     </t>
  </si>
  <si>
    <t>978-5-98088-808-4</t>
  </si>
  <si>
    <t xml:space="preserve">КНК-8084  </t>
  </si>
  <si>
    <t xml:space="preserve">114484     </t>
  </si>
  <si>
    <t>978-5-98088-807-7</t>
  </si>
  <si>
    <t xml:space="preserve">КНК-8077  </t>
  </si>
  <si>
    <t>Моя мама лучше всех</t>
  </si>
  <si>
    <t xml:space="preserve">114325     </t>
  </si>
  <si>
    <t>978-5-98088-794-0</t>
  </si>
  <si>
    <t xml:space="preserve">КНК-7940  </t>
  </si>
  <si>
    <t xml:space="preserve">114474     </t>
  </si>
  <si>
    <t>978-5-98088-795-7</t>
  </si>
  <si>
    <t xml:space="preserve">КНК-7957  </t>
  </si>
  <si>
    <t xml:space="preserve">114326     </t>
  </si>
  <si>
    <t>978-5-98088-796-4</t>
  </si>
  <si>
    <t xml:space="preserve">КНК-7964  </t>
  </si>
  <si>
    <t>Сказочная азбука</t>
  </si>
  <si>
    <t xml:space="preserve">114327     </t>
  </si>
  <si>
    <t>978-5-98088-804-6</t>
  </si>
  <si>
    <t xml:space="preserve">КНК-8046  </t>
  </si>
  <si>
    <t xml:space="preserve">114328     </t>
  </si>
  <si>
    <t>978-5-98088-803-9</t>
  </si>
  <si>
    <t xml:space="preserve">КНК-8039  </t>
  </si>
  <si>
    <t xml:space="preserve">114329     </t>
  </si>
  <si>
    <t>978-5-98088-790-2</t>
  </si>
  <si>
    <t xml:space="preserve">КНК-7902  </t>
  </si>
  <si>
    <t xml:space="preserve">114330     </t>
  </si>
  <si>
    <t>978-5-98088-800-8</t>
  </si>
  <si>
    <t xml:space="preserve">КНК-8008  </t>
  </si>
  <si>
    <t xml:space="preserve">114475     </t>
  </si>
  <si>
    <t>978-5-98088-785-8</t>
  </si>
  <si>
    <t xml:space="preserve">КНК-7858  </t>
  </si>
  <si>
    <t>Ушки на макушке</t>
  </si>
  <si>
    <t>005. Серия "Книжка с окошками"</t>
  </si>
  <si>
    <t xml:space="preserve">УТ-201230  </t>
  </si>
  <si>
    <t>978-5-99087-359-9</t>
  </si>
  <si>
    <t>КСО-3599</t>
  </si>
  <si>
    <t>200*230</t>
  </si>
  <si>
    <t>Картон,кешированный мелов.бумагой</t>
  </si>
  <si>
    <t>15 | 81</t>
  </si>
  <si>
    <t xml:space="preserve">УТ-201231  </t>
  </si>
  <si>
    <t>978-5-99087-360-5</t>
  </si>
  <si>
    <t>КСО-3605</t>
  </si>
  <si>
    <t>210*170</t>
  </si>
  <si>
    <t xml:space="preserve">УТ-201232  </t>
  </si>
  <si>
    <t>978-5-99087-361-2</t>
  </si>
  <si>
    <t>КСО-3612</t>
  </si>
  <si>
    <t xml:space="preserve">УТ-201233  </t>
  </si>
  <si>
    <t>978-5-99087-362-9</t>
  </si>
  <si>
    <t>КСО-3629</t>
  </si>
  <si>
    <t>0004 Словари</t>
  </si>
  <si>
    <t xml:space="preserve">112875     </t>
  </si>
  <si>
    <t>978-5-94666-678-7</t>
  </si>
  <si>
    <t>Ожегов С.И.</t>
  </si>
  <si>
    <t xml:space="preserve">А678-7    </t>
  </si>
  <si>
    <t>Толковый словарь русского языка 100 000 слов, терминов и фразеологических выражений (28-е изд., перераб.) - трехколонник, газетка</t>
  </si>
  <si>
    <t>4</t>
  </si>
  <si>
    <t>Мир и Образование</t>
  </si>
  <si>
    <t>114*205</t>
  </si>
  <si>
    <t>1376</t>
  </si>
  <si>
    <t>58</t>
  </si>
  <si>
    <t xml:space="preserve">УТ-202527  </t>
  </si>
  <si>
    <t>978-5-94666-609-1</t>
  </si>
  <si>
    <t>609-1</t>
  </si>
  <si>
    <t>Толковый словарь русского языка: 100 000 слов, терминов и фразеологических выражений. 27-е изд., испр.</t>
  </si>
  <si>
    <t>Мир и образование</t>
  </si>
  <si>
    <t>263*203</t>
  </si>
  <si>
    <t>736</t>
  </si>
  <si>
    <t>0005 Автомобильная тематика</t>
  </si>
  <si>
    <t xml:space="preserve">УТ-202594  </t>
  </si>
  <si>
    <t>978-5-98503-925-2</t>
  </si>
  <si>
    <t>К080МН177</t>
  </si>
  <si>
    <t>Правила дорожного движения РФ с иллюстрациями (2024)</t>
  </si>
  <si>
    <t>138*200</t>
  </si>
  <si>
    <t>обложка</t>
  </si>
  <si>
    <t>29</t>
  </si>
  <si>
    <t xml:space="preserve">УТ-202728  </t>
  </si>
  <si>
    <t>978‐5‐98503‐926‐9</t>
  </si>
  <si>
    <t>Р329МР77</t>
  </si>
  <si>
    <t>Правила дорожного движения РФ с комментариями и иллюстрациями (2024)</t>
  </si>
  <si>
    <t>0006 Экзаменационные билеты по ПДД</t>
  </si>
  <si>
    <t xml:space="preserve">УТ-202546  </t>
  </si>
  <si>
    <t>978-5-904873-36-3</t>
  </si>
  <si>
    <t>Г.Б. Громоковский, А.Ю. Якимов и др.</t>
  </si>
  <si>
    <t>002</t>
  </si>
  <si>
    <t>КАТЕГОРИИ "С" и "D" и ПОДКАТЕГОРИИ "С1" и "D1". Экзаменационные билеты для приема теоретических экзаменов на право управления транспортными средствами  в подразделениях ГИБДД (2024)</t>
  </si>
  <si>
    <t>Рецепт-Холдинг</t>
  </si>
  <si>
    <t>260*200</t>
  </si>
  <si>
    <t>42</t>
  </si>
  <si>
    <t>0007 Водные раскраски</t>
  </si>
  <si>
    <t>001. Водные раскраски с вырубкой (страницы блока цветные)</t>
  </si>
  <si>
    <t xml:space="preserve">114605     </t>
  </si>
  <si>
    <t>978-5-9711-0667-8</t>
  </si>
  <si>
    <t xml:space="preserve">ВРА-16    </t>
  </si>
  <si>
    <t>В царстве Нептуна</t>
  </si>
  <si>
    <t>Атберг 98, Теремок</t>
  </si>
  <si>
    <t>220*285</t>
  </si>
  <si>
    <t>Мел.бум.250г</t>
  </si>
  <si>
    <t>31 | 31/1</t>
  </si>
  <si>
    <t xml:space="preserve">114606     </t>
  </si>
  <si>
    <t>978-5-9711-0668-5</t>
  </si>
  <si>
    <t xml:space="preserve">ВРА-17    </t>
  </si>
  <si>
    <t>Динозаврики</t>
  </si>
  <si>
    <t xml:space="preserve">114608     </t>
  </si>
  <si>
    <t>978-5-9711-0670-8</t>
  </si>
  <si>
    <t xml:space="preserve">ВРА-19    </t>
  </si>
  <si>
    <t>Кто что любит</t>
  </si>
  <si>
    <t>002. Водные раскраски изд-ва "Атберг 98" (8 иллюстраций)</t>
  </si>
  <si>
    <t xml:space="preserve">111315     </t>
  </si>
  <si>
    <t>978-5-97110-320-2</t>
  </si>
  <si>
    <t xml:space="preserve">ВРА-01    </t>
  </si>
  <si>
    <t>Гонки</t>
  </si>
  <si>
    <t>250*200</t>
  </si>
  <si>
    <t>Картон</t>
  </si>
  <si>
    <t xml:space="preserve">111314     </t>
  </si>
  <si>
    <t>978-5-97110-318-9</t>
  </si>
  <si>
    <t xml:space="preserve">ВРА-02    </t>
  </si>
  <si>
    <t>Грузовичок</t>
  </si>
  <si>
    <t xml:space="preserve">112465     </t>
  </si>
  <si>
    <t>978-5-9711-0475-9</t>
  </si>
  <si>
    <t xml:space="preserve">ВРА-11    </t>
  </si>
  <si>
    <t>Добрый щенок</t>
  </si>
  <si>
    <t xml:space="preserve">112466     </t>
  </si>
  <si>
    <t>978-5-9711-0476-6</t>
  </si>
  <si>
    <t xml:space="preserve">ВРА-12    </t>
  </si>
  <si>
    <t>Ёжик и яблоко</t>
  </si>
  <si>
    <t xml:space="preserve">111424     </t>
  </si>
  <si>
    <t>978-5-97110-355-4</t>
  </si>
  <si>
    <t xml:space="preserve">ВРА-04    </t>
  </si>
  <si>
    <t>Любопытная рыбка</t>
  </si>
  <si>
    <t xml:space="preserve">111423     </t>
  </si>
  <si>
    <t>978-5-97110-354-7</t>
  </si>
  <si>
    <t xml:space="preserve">ВРА-06    </t>
  </si>
  <si>
    <t>Медвежонок и мёд</t>
  </si>
  <si>
    <t xml:space="preserve">112463     </t>
  </si>
  <si>
    <t>978-5-9711-0473-5</t>
  </si>
  <si>
    <t xml:space="preserve">ВРА-09    </t>
  </si>
  <si>
    <t>Мудрая сова</t>
  </si>
  <si>
    <t xml:space="preserve">111317     </t>
  </si>
  <si>
    <t>978-5-97110-321-9</t>
  </si>
  <si>
    <t xml:space="preserve">ВРА-07    </t>
  </si>
  <si>
    <t>Пароходик</t>
  </si>
  <si>
    <t xml:space="preserve">112464     </t>
  </si>
  <si>
    <t>978-5-9711-0474-2</t>
  </si>
  <si>
    <t xml:space="preserve">ВРА-10    </t>
  </si>
  <si>
    <t>Попугай в джунглях</t>
  </si>
  <si>
    <t xml:space="preserve">111316     </t>
  </si>
  <si>
    <t>978-5-97110-319-6</t>
  </si>
  <si>
    <t xml:space="preserve">ВРА-08    </t>
  </si>
  <si>
    <t>Самолётик</t>
  </si>
  <si>
    <t>003. Водные книжки-раскраски изд-ва "Самовар" Формат 200*250 (8 стр., 8 иллюстр.)</t>
  </si>
  <si>
    <t xml:space="preserve">107385     </t>
  </si>
  <si>
    <t>978-5-9711-0454-4</t>
  </si>
  <si>
    <t xml:space="preserve">ВРСМ-02   </t>
  </si>
  <si>
    <t>Бычок</t>
  </si>
  <si>
    <t>Самовар, Теремок</t>
  </si>
  <si>
    <t>200*250</t>
  </si>
  <si>
    <t>картон</t>
  </si>
  <si>
    <t xml:space="preserve">110029     </t>
  </si>
  <si>
    <t>978-5-9711-0498-8</t>
  </si>
  <si>
    <t xml:space="preserve">ВРСМ-14   </t>
  </si>
  <si>
    <t>Весёлые загадки</t>
  </si>
  <si>
    <t xml:space="preserve">109045     </t>
  </si>
  <si>
    <t>978-5-9711-0469-8</t>
  </si>
  <si>
    <t xml:space="preserve">ВРСМ-04   </t>
  </si>
  <si>
    <t>Игрушки</t>
  </si>
  <si>
    <t xml:space="preserve">107386     </t>
  </si>
  <si>
    <t>978-5-9711-0470-4</t>
  </si>
  <si>
    <t xml:space="preserve">ВРСМ-05   </t>
  </si>
  <si>
    <t>Клоун</t>
  </si>
  <si>
    <t xml:space="preserve">107387     </t>
  </si>
  <si>
    <t>978-5-9711-0472-8</t>
  </si>
  <si>
    <t xml:space="preserve">ВРСМ-08   </t>
  </si>
  <si>
    <t>Лягушонок</t>
  </si>
  <si>
    <t xml:space="preserve">110031     </t>
  </si>
  <si>
    <t>978-5-9711-0778-1</t>
  </si>
  <si>
    <t xml:space="preserve">ВРСМ-15   </t>
  </si>
  <si>
    <t>Машинки</t>
  </si>
  <si>
    <t xml:space="preserve">107092     </t>
  </si>
  <si>
    <t>978-5-9711-0107-9</t>
  </si>
  <si>
    <t xml:space="preserve">ВРСМ-10   </t>
  </si>
  <si>
    <t>Медвежонок с мячом</t>
  </si>
  <si>
    <t xml:space="preserve">110030     </t>
  </si>
  <si>
    <t>978-5-9711-0779-8</t>
  </si>
  <si>
    <t xml:space="preserve">ВРСМ-16   </t>
  </si>
  <si>
    <t>Нарядные куколки</t>
  </si>
  <si>
    <t xml:space="preserve">108200     </t>
  </si>
  <si>
    <t>978-5-9711-0500-8</t>
  </si>
  <si>
    <t xml:space="preserve">ВРСМ-12   </t>
  </si>
  <si>
    <t>Сказочная</t>
  </si>
  <si>
    <t>004. Водные раскраски изд-ва "Теремок".Формат 200*250 (8 стр., 8 иллюстр.)</t>
  </si>
  <si>
    <t xml:space="preserve">УТ-201380  </t>
  </si>
  <si>
    <t>978-5-97110-833-7</t>
  </si>
  <si>
    <t xml:space="preserve">ВРА-21   </t>
  </si>
  <si>
    <t>Бегемотик Гоша</t>
  </si>
  <si>
    <t xml:space="preserve">112809     </t>
  </si>
  <si>
    <t>978-5-9711-0508-4</t>
  </si>
  <si>
    <t xml:space="preserve">ВРА-13    </t>
  </si>
  <si>
    <t>Белочка с орешком</t>
  </si>
  <si>
    <t xml:space="preserve">УТ-201381  </t>
  </si>
  <si>
    <t>978-5-97110-834-4</t>
  </si>
  <si>
    <t xml:space="preserve">ВРА-22   </t>
  </si>
  <si>
    <t>Виноградная улитка</t>
  </si>
  <si>
    <t xml:space="preserve">110381     </t>
  </si>
  <si>
    <t>978-5-9711-0366-0</t>
  </si>
  <si>
    <t xml:space="preserve">ВРТ-09    </t>
  </si>
  <si>
    <t xml:space="preserve">111464     </t>
  </si>
  <si>
    <t>978-5-9711-0359-2</t>
  </si>
  <si>
    <t xml:space="preserve">ВРТ-11    </t>
  </si>
  <si>
    <t xml:space="preserve">УТ-201382  </t>
  </si>
  <si>
    <t>978-5-97110-835-1</t>
  </si>
  <si>
    <t xml:space="preserve">ВРА-23   </t>
  </si>
  <si>
    <t>Жирафик Жора</t>
  </si>
  <si>
    <t xml:space="preserve">УТ-201383  </t>
  </si>
  <si>
    <t>978-5-97110-836-8</t>
  </si>
  <si>
    <t xml:space="preserve">ВРА-24   </t>
  </si>
  <si>
    <t>Зелёный крокодил</t>
  </si>
  <si>
    <t xml:space="preserve">УТ-201384  </t>
  </si>
  <si>
    <t>978-5-97110-837-5</t>
  </si>
  <si>
    <t xml:space="preserve">ВРА-25   </t>
  </si>
  <si>
    <t>Конёк-Горбунок</t>
  </si>
  <si>
    <t xml:space="preserve">110382     </t>
  </si>
  <si>
    <t>978-5-9711-0365-3</t>
  </si>
  <si>
    <t xml:space="preserve">ВРТ-20    </t>
  </si>
  <si>
    <t xml:space="preserve">УТ-201385  </t>
  </si>
  <si>
    <t>978-5-97110-838-2</t>
  </si>
  <si>
    <t xml:space="preserve">ВРА-26   </t>
  </si>
  <si>
    <t>Лягушонок Квак</t>
  </si>
  <si>
    <t xml:space="preserve">УТ-201386  </t>
  </si>
  <si>
    <t>978-5-97110-839-9</t>
  </si>
  <si>
    <t xml:space="preserve">ВРА-27   </t>
  </si>
  <si>
    <t>Маленький тигрёнок</t>
  </si>
  <si>
    <t xml:space="preserve">111461     </t>
  </si>
  <si>
    <t>978-5-9711-0356-1</t>
  </si>
  <si>
    <t xml:space="preserve">ВРТ-21    </t>
  </si>
  <si>
    <t xml:space="preserve">112782     </t>
  </si>
  <si>
    <t>978-5-9711-0509-1</t>
  </si>
  <si>
    <t xml:space="preserve">ВРА-14    </t>
  </si>
  <si>
    <t>Милый пони</t>
  </si>
  <si>
    <t xml:space="preserve">112783     </t>
  </si>
  <si>
    <t>978-5-9711-0510-7</t>
  </si>
  <si>
    <t xml:space="preserve">ВРА-15    </t>
  </si>
  <si>
    <t>Мишутка на поляне</t>
  </si>
  <si>
    <t xml:space="preserve">112810     </t>
  </si>
  <si>
    <t>978-5-9711-0511-4</t>
  </si>
  <si>
    <t xml:space="preserve">ВРА-39    </t>
  </si>
  <si>
    <t>Озорной котенок</t>
  </si>
  <si>
    <t xml:space="preserve">111681     </t>
  </si>
  <si>
    <t>978-5-97110-376-9</t>
  </si>
  <si>
    <t xml:space="preserve">ВРТ-27    </t>
  </si>
  <si>
    <t>Пираты</t>
  </si>
  <si>
    <t xml:space="preserve">111683     </t>
  </si>
  <si>
    <t>978-5-97110-377-6</t>
  </si>
  <si>
    <t xml:space="preserve">ВРТ-29    </t>
  </si>
  <si>
    <t>Принцессы</t>
  </si>
  <si>
    <t xml:space="preserve">УТ-201387  </t>
  </si>
  <si>
    <t>978-5-97110-840-5</t>
  </si>
  <si>
    <t xml:space="preserve">ВРА-28   </t>
  </si>
  <si>
    <t>Розовый слонёнок</t>
  </si>
  <si>
    <t xml:space="preserve">111682     </t>
  </si>
  <si>
    <t>978-5-97110-379-0</t>
  </si>
  <si>
    <t xml:space="preserve">ВРТ-31    </t>
  </si>
  <si>
    <t>Русалочки</t>
  </si>
  <si>
    <t xml:space="preserve">111684     </t>
  </si>
  <si>
    <t>978-5-97110-378-3</t>
  </si>
  <si>
    <t xml:space="preserve">ВРТ-32    </t>
  </si>
  <si>
    <t>Феи</t>
  </si>
  <si>
    <t>0008 Раскраски и аппликации</t>
  </si>
  <si>
    <t>001. Серия "Автомобили ведущих производителей". Раскраски</t>
  </si>
  <si>
    <t xml:space="preserve">007092     </t>
  </si>
  <si>
    <t>978-5-7668-1018-6</t>
  </si>
  <si>
    <t xml:space="preserve">Р-ИБ-03   </t>
  </si>
  <si>
    <t>Автомобили Германии и Франции</t>
  </si>
  <si>
    <t>ИнформБюро</t>
  </si>
  <si>
    <t>27 | 8/1</t>
  </si>
  <si>
    <t xml:space="preserve">007093     </t>
  </si>
  <si>
    <t>978-5-7668-1019-3</t>
  </si>
  <si>
    <t xml:space="preserve">Р-ИБ-04   </t>
  </si>
  <si>
    <t>Автомобили Италии, Швеции, Великобритании</t>
  </si>
  <si>
    <t xml:space="preserve">007090     </t>
  </si>
  <si>
    <t>978-5-7668-1020-9</t>
  </si>
  <si>
    <t xml:space="preserve">Р-ИБ-01   </t>
  </si>
  <si>
    <t>Автомобили США и России</t>
  </si>
  <si>
    <t xml:space="preserve">007091     </t>
  </si>
  <si>
    <t>978-5-7668-1021-6</t>
  </si>
  <si>
    <t xml:space="preserve">Р-ИБ-02   </t>
  </si>
  <si>
    <t>Автомобили Японии и Кореи</t>
  </si>
  <si>
    <t>002. Серия "Аппликации для малышей"</t>
  </si>
  <si>
    <t xml:space="preserve">УТ-200905  </t>
  </si>
  <si>
    <t>978-5-98503-703-6</t>
  </si>
  <si>
    <t>АДМ-1</t>
  </si>
  <si>
    <t>В жаркой Африке</t>
  </si>
  <si>
    <t>АО "Кострома"</t>
  </si>
  <si>
    <t>28 | 8/1</t>
  </si>
  <si>
    <t xml:space="preserve">УТ-200904  </t>
  </si>
  <si>
    <t>978-5-98503-704-3</t>
  </si>
  <si>
    <t>АДМ-2</t>
  </si>
  <si>
    <t>Милые друзья</t>
  </si>
  <si>
    <t xml:space="preserve">УТ-200903  </t>
  </si>
  <si>
    <t>978-5-98503-705-0</t>
  </si>
  <si>
    <t>АДМ-3</t>
  </si>
  <si>
    <t>На берегу океана</t>
  </si>
  <si>
    <t xml:space="preserve">УТ-200906  </t>
  </si>
  <si>
    <t>978-5-98503-706-7</t>
  </si>
  <si>
    <t>АДМ-4</t>
  </si>
  <si>
    <t>Павлин-мавлин</t>
  </si>
  <si>
    <t>003. Серия "Любимые герои". Раскраски. Посмотри и раскрась</t>
  </si>
  <si>
    <t xml:space="preserve">008671     </t>
  </si>
  <si>
    <t>978-5-98503-874-3</t>
  </si>
  <si>
    <t xml:space="preserve">Р-ЛГ-01   </t>
  </si>
  <si>
    <t>Белочка</t>
  </si>
  <si>
    <t>Розовый слон</t>
  </si>
  <si>
    <t>165х230</t>
  </si>
  <si>
    <t>32 | 8/1</t>
  </si>
  <si>
    <t xml:space="preserve">008673     </t>
  </si>
  <si>
    <t>978-5-98503-875-0</t>
  </si>
  <si>
    <t xml:space="preserve">Р-ЛГ-02   </t>
  </si>
  <si>
    <t>Ежик</t>
  </si>
  <si>
    <t>70*100/16</t>
  </si>
  <si>
    <t xml:space="preserve">008672     </t>
  </si>
  <si>
    <t>978-5-98503-876-7</t>
  </si>
  <si>
    <t xml:space="preserve">Р-ЛГ-03   </t>
  </si>
  <si>
    <t>Зайка</t>
  </si>
  <si>
    <t xml:space="preserve">107038     </t>
  </si>
  <si>
    <t>978-5-98503-878-1</t>
  </si>
  <si>
    <t xml:space="preserve">Р-ЛГ-04   </t>
  </si>
  <si>
    <t>Зайчик и колобок</t>
  </si>
  <si>
    <t xml:space="preserve">107037     </t>
  </si>
  <si>
    <t>978-5-98503-713-5</t>
  </si>
  <si>
    <t xml:space="preserve">Р-ЛГ-05   </t>
  </si>
  <si>
    <t xml:space="preserve">008335     </t>
  </si>
  <si>
    <t>978-5-98503-880-4</t>
  </si>
  <si>
    <t xml:space="preserve">Р-ЛГ-06   </t>
  </si>
  <si>
    <t xml:space="preserve">008334     </t>
  </si>
  <si>
    <t>978-5-98503-881-1</t>
  </si>
  <si>
    <t xml:space="preserve">Р-ЛГ-08   </t>
  </si>
  <si>
    <t>Лисёнок</t>
  </si>
  <si>
    <t xml:space="preserve">008336     </t>
  </si>
  <si>
    <t>978-5-98503-716-6</t>
  </si>
  <si>
    <t xml:space="preserve">Р-ЛГ-09   </t>
  </si>
  <si>
    <t>Львёнок</t>
  </si>
  <si>
    <t>004. Серия "Мои куклы". Раскраски с вырубкой. Посмотри и раскрась</t>
  </si>
  <si>
    <t xml:space="preserve">113930     </t>
  </si>
  <si>
    <t>978-5-98503-859-0</t>
  </si>
  <si>
    <t xml:space="preserve">Р-МК-05   </t>
  </si>
  <si>
    <t>Модницы</t>
  </si>
  <si>
    <t>Jusu Flintas, Атберг 98</t>
  </si>
  <si>
    <t>205*295</t>
  </si>
  <si>
    <t>14/1 | 8/1</t>
  </si>
  <si>
    <t xml:space="preserve">113931     </t>
  </si>
  <si>
    <t>978-5-98503-860-6</t>
  </si>
  <si>
    <t xml:space="preserve">Р-МК-06   </t>
  </si>
  <si>
    <t>Подружки</t>
  </si>
  <si>
    <t xml:space="preserve">113422     </t>
  </si>
  <si>
    <t>978-5-98503-857-6</t>
  </si>
  <si>
    <t xml:space="preserve">Р-МК-03   </t>
  </si>
  <si>
    <t>Русалки</t>
  </si>
  <si>
    <t>14 | 8/1</t>
  </si>
  <si>
    <t xml:space="preserve">110961     </t>
  </si>
  <si>
    <t>978-5-98503-858-3</t>
  </si>
  <si>
    <t xml:space="preserve">Р-МК-04   </t>
  </si>
  <si>
    <t>005. Серия "Мои машины". Раскраски с вырубкой. Посмотри и раскрась</t>
  </si>
  <si>
    <t xml:space="preserve">112098     </t>
  </si>
  <si>
    <t>978-5-98503-931-3</t>
  </si>
  <si>
    <t xml:space="preserve">Р-ММ-4    </t>
  </si>
  <si>
    <t>202*288</t>
  </si>
  <si>
    <t>Глян.бум,230г/м</t>
  </si>
  <si>
    <t>22 | 8/1</t>
  </si>
  <si>
    <t xml:space="preserve">112097     </t>
  </si>
  <si>
    <t>978-5-98503-930-6</t>
  </si>
  <si>
    <t xml:space="preserve">Р-ММ-3    </t>
  </si>
  <si>
    <t>Джипы</t>
  </si>
  <si>
    <t xml:space="preserve">112096     </t>
  </si>
  <si>
    <t>978-5-98503-929-0</t>
  </si>
  <si>
    <t xml:space="preserve">Р-ММ-2    </t>
  </si>
  <si>
    <t>Мотоциклы</t>
  </si>
  <si>
    <t xml:space="preserve">112095     </t>
  </si>
  <si>
    <t>978-5-98503-928-3</t>
  </si>
  <si>
    <t xml:space="preserve">Р-ММ-1    </t>
  </si>
  <si>
    <t>На старт</t>
  </si>
  <si>
    <t>007. Серия "Моя первая раскраска" на спирали (объемный контур)</t>
  </si>
  <si>
    <t xml:space="preserve">УТ-200868  </t>
  </si>
  <si>
    <t>978-5-9711-0793-4</t>
  </si>
  <si>
    <t>МПРС-06</t>
  </si>
  <si>
    <t>Оленёнок и сова</t>
  </si>
  <si>
    <t>195*245</t>
  </si>
  <si>
    <t>16 листов</t>
  </si>
  <si>
    <t>Картон. Выборлак</t>
  </si>
  <si>
    <t>18 | 18/1</t>
  </si>
  <si>
    <t xml:space="preserve">УТ-200870  </t>
  </si>
  <si>
    <t>978-5-9711-0795-8</t>
  </si>
  <si>
    <t>МПРС-08</t>
  </si>
  <si>
    <t>Черепашка и попугай</t>
  </si>
  <si>
    <t>008. Серия "Моя первая раскраска" с вырубкой</t>
  </si>
  <si>
    <t xml:space="preserve">111578     </t>
  </si>
  <si>
    <t>978-5-98503-458-5</t>
  </si>
  <si>
    <t xml:space="preserve">Р-МПРВ-01 </t>
  </si>
  <si>
    <t>Белка и лиса</t>
  </si>
  <si>
    <t>Usu Flintas, Атберг 98</t>
  </si>
  <si>
    <t>210*295</t>
  </si>
  <si>
    <t>17 | 8/1</t>
  </si>
  <si>
    <t xml:space="preserve">111579     </t>
  </si>
  <si>
    <t>978-5-98503-459-2</t>
  </si>
  <si>
    <t xml:space="preserve">Р-МПРВ-02 </t>
  </si>
  <si>
    <t>Лошадка и щенок</t>
  </si>
  <si>
    <t xml:space="preserve">111580     </t>
  </si>
  <si>
    <t>978-5-98503-460-8</t>
  </si>
  <si>
    <t xml:space="preserve">Р-МПРВ-03 </t>
  </si>
  <si>
    <t>Пчела и улитка</t>
  </si>
  <si>
    <t xml:space="preserve">111581     </t>
  </si>
  <si>
    <t>978-5-98503-461-5</t>
  </si>
  <si>
    <t xml:space="preserve">Р-МПРВ-04 </t>
  </si>
  <si>
    <t>Черепаха и краб</t>
  </si>
  <si>
    <t>009. Серия "Прописи для малышей"</t>
  </si>
  <si>
    <t xml:space="preserve">113995     </t>
  </si>
  <si>
    <t>978-5-9780-1535-5</t>
  </si>
  <si>
    <t xml:space="preserve">ПМ-1      </t>
  </si>
  <si>
    <t>Готовим руку к письму</t>
  </si>
  <si>
    <t>Кострома АО</t>
  </si>
  <si>
    <t>215*145</t>
  </si>
  <si>
    <t>бум.мел.глянц.</t>
  </si>
  <si>
    <t>8 | 8/1</t>
  </si>
  <si>
    <t xml:space="preserve">113996     </t>
  </si>
  <si>
    <t>978-5-9780-1406-8</t>
  </si>
  <si>
    <t xml:space="preserve">ПМ-2      </t>
  </si>
  <si>
    <t>Готовимся писать</t>
  </si>
  <si>
    <t xml:space="preserve">113997     </t>
  </si>
  <si>
    <t>978-5-7668-1128-2</t>
  </si>
  <si>
    <t xml:space="preserve">ПМ-4      </t>
  </si>
  <si>
    <t>Пишем цифры</t>
  </si>
  <si>
    <t>6 | 8/1</t>
  </si>
  <si>
    <t xml:space="preserve">113998     </t>
  </si>
  <si>
    <t>978-5-9780-1537-9</t>
  </si>
  <si>
    <t xml:space="preserve">ПМ-6      </t>
  </si>
  <si>
    <t>Учимся писать алфавит</t>
  </si>
  <si>
    <t xml:space="preserve">113999     </t>
  </si>
  <si>
    <t>978-5-7668-1129-9</t>
  </si>
  <si>
    <t xml:space="preserve">ПМ-7      </t>
  </si>
  <si>
    <t>Учимся писать буквы</t>
  </si>
  <si>
    <t xml:space="preserve">114000     </t>
  </si>
  <si>
    <t>978-5-9780-1538-6</t>
  </si>
  <si>
    <t xml:space="preserve">ПМ-8      </t>
  </si>
  <si>
    <t>Учимся писать буквы, слоги и слова</t>
  </si>
  <si>
    <t xml:space="preserve">114001     </t>
  </si>
  <si>
    <t>978-5-7668-1130-5</t>
  </si>
  <si>
    <t xml:space="preserve">ПМ-5      </t>
  </si>
  <si>
    <t>Учимся писать печатные буквы</t>
  </si>
  <si>
    <t xml:space="preserve">114002     </t>
  </si>
  <si>
    <t>978-5-7668-1131-2</t>
  </si>
  <si>
    <t xml:space="preserve">ПМ-3      </t>
  </si>
  <si>
    <t>Учимся писать цифры</t>
  </si>
  <si>
    <t>010. Серия "Раскраска малышам"</t>
  </si>
  <si>
    <t xml:space="preserve">113925     </t>
  </si>
  <si>
    <t>978-5-76680-707-0</t>
  </si>
  <si>
    <t xml:space="preserve">РМА-1     </t>
  </si>
  <si>
    <t>Барашек на поляне</t>
  </si>
  <si>
    <t>Теремок, Кострома</t>
  </si>
  <si>
    <t>200х250</t>
  </si>
  <si>
    <t>43 | 8/1</t>
  </si>
  <si>
    <t xml:space="preserve">113926     </t>
  </si>
  <si>
    <t>978-5-76680-708-7</t>
  </si>
  <si>
    <t xml:space="preserve">РМА-2     </t>
  </si>
  <si>
    <t>Бегемотик и сова</t>
  </si>
  <si>
    <t xml:space="preserve">113942     </t>
  </si>
  <si>
    <t>978-5-9850-3912-2</t>
  </si>
  <si>
    <t xml:space="preserve">РС-РМ-10  </t>
  </si>
  <si>
    <t>Ёжик</t>
  </si>
  <si>
    <t>Розовый слон, Кострома</t>
  </si>
  <si>
    <t xml:space="preserve">113941     </t>
  </si>
  <si>
    <t>978-5-9850-3911-5</t>
  </si>
  <si>
    <t xml:space="preserve">РС-РМ-9   </t>
  </si>
  <si>
    <t>Енот</t>
  </si>
  <si>
    <t xml:space="preserve">113927     </t>
  </si>
  <si>
    <t>978-5-76680-709-4</t>
  </si>
  <si>
    <t xml:space="preserve">РМА-3     </t>
  </si>
  <si>
    <t>Жирафик и попугай</t>
  </si>
  <si>
    <t xml:space="preserve">113575     </t>
  </si>
  <si>
    <t>978-5-9850-3905-4</t>
  </si>
  <si>
    <t xml:space="preserve">РС-РМ-2   </t>
  </si>
  <si>
    <t>Леопардик</t>
  </si>
  <si>
    <t xml:space="preserve">113576     </t>
  </si>
  <si>
    <t>978-5-9850-3906-1</t>
  </si>
  <si>
    <t xml:space="preserve">РС-РМ-3   </t>
  </si>
  <si>
    <t>Мышонок</t>
  </si>
  <si>
    <t xml:space="preserve">113578     </t>
  </si>
  <si>
    <t>978-5-9850-3907-8</t>
  </si>
  <si>
    <t xml:space="preserve">РС-РМ-5   </t>
  </si>
  <si>
    <t>Поросёнок</t>
  </si>
  <si>
    <t xml:space="preserve">113928     </t>
  </si>
  <si>
    <t>978-5-76680-710-0</t>
  </si>
  <si>
    <t xml:space="preserve">РМА-4     </t>
  </si>
  <si>
    <t>Рыбка и крабик</t>
  </si>
  <si>
    <t xml:space="preserve">113579     </t>
  </si>
  <si>
    <t>978-5-9850-3908-5</t>
  </si>
  <si>
    <t xml:space="preserve">РС-РМ-6   </t>
  </si>
  <si>
    <t>Слоник</t>
  </si>
  <si>
    <t xml:space="preserve">113580     </t>
  </si>
  <si>
    <t>978-5-9850-3909-2</t>
  </si>
  <si>
    <t xml:space="preserve">РС-РМ-7   </t>
  </si>
  <si>
    <t>Собачка</t>
  </si>
  <si>
    <t xml:space="preserve">113581     </t>
  </si>
  <si>
    <t>978-5-9850-3910-8</t>
  </si>
  <si>
    <t xml:space="preserve">РС-РМ-8   </t>
  </si>
  <si>
    <t>Тигрёнок</t>
  </si>
  <si>
    <t>011. Серия "Раскраска с калькой". Обведи и раскрась</t>
  </si>
  <si>
    <t xml:space="preserve">114442     </t>
  </si>
  <si>
    <t>978-5-98503-619-0</t>
  </si>
  <si>
    <t xml:space="preserve">РСК-01    </t>
  </si>
  <si>
    <t>ОАО "Кострома"</t>
  </si>
  <si>
    <t>мелов.глянц.</t>
  </si>
  <si>
    <t>8/1 | 9/1</t>
  </si>
  <si>
    <t xml:space="preserve">114447     </t>
  </si>
  <si>
    <t>978-5-98503-620-6</t>
  </si>
  <si>
    <t xml:space="preserve">РСК-02    </t>
  </si>
  <si>
    <t>Львёнок и черепаха</t>
  </si>
  <si>
    <t xml:space="preserve">114448     </t>
  </si>
  <si>
    <t>978-5-98503-621-3</t>
  </si>
  <si>
    <t xml:space="preserve">РСК-03    </t>
  </si>
  <si>
    <t>Овечка на полянке</t>
  </si>
  <si>
    <t xml:space="preserve">114449     </t>
  </si>
  <si>
    <t>978-5-98503-622-0</t>
  </si>
  <si>
    <t xml:space="preserve">РСК-04    </t>
  </si>
  <si>
    <t>Рыжий котёнок</t>
  </si>
  <si>
    <t>012. Серия "Рисуем по точкам". Книжки-раскраски. Соедини точки и раскрась)</t>
  </si>
  <si>
    <t xml:space="preserve">112548     </t>
  </si>
  <si>
    <t>978-5-98503-462-2</t>
  </si>
  <si>
    <t xml:space="preserve">Р-РТ-1    </t>
  </si>
  <si>
    <t>Рисуем по точкам от 1 до 10</t>
  </si>
  <si>
    <t>190*190</t>
  </si>
  <si>
    <t>картон+глиттер</t>
  </si>
  <si>
    <t>55 | 8/1</t>
  </si>
  <si>
    <t xml:space="preserve">112549     </t>
  </si>
  <si>
    <t>978-5-98503-463-9</t>
  </si>
  <si>
    <t xml:space="preserve">Р-РТ-2    </t>
  </si>
  <si>
    <t>Рисуем по точкам от 1 до 15</t>
  </si>
  <si>
    <t xml:space="preserve">112551     </t>
  </si>
  <si>
    <t>978-5-98503-465-3</t>
  </si>
  <si>
    <t xml:space="preserve">Р-РТ-4    </t>
  </si>
  <si>
    <t>Рисуем по точкам от 1 до 25</t>
  </si>
  <si>
    <t>013. Серия "Скоро в школу". Раскраски</t>
  </si>
  <si>
    <t xml:space="preserve">114027     </t>
  </si>
  <si>
    <t>978-5-7668-0769-8</t>
  </si>
  <si>
    <t xml:space="preserve">СВШ-02    </t>
  </si>
  <si>
    <t>40 | 8/1</t>
  </si>
  <si>
    <t xml:space="preserve">114028     </t>
  </si>
  <si>
    <t>978-5-7668-0770-4</t>
  </si>
  <si>
    <t xml:space="preserve">СВШ-03    </t>
  </si>
  <si>
    <t>Готовимся к чтению</t>
  </si>
  <si>
    <t xml:space="preserve">114026     </t>
  </si>
  <si>
    <t>978-5-7668-1132-9</t>
  </si>
  <si>
    <t xml:space="preserve">СВШ-01    </t>
  </si>
  <si>
    <t>Изучаем времена года</t>
  </si>
  <si>
    <t xml:space="preserve">114029     </t>
  </si>
  <si>
    <t>978-5-7668-0771-1</t>
  </si>
  <si>
    <t xml:space="preserve">СВШ-04    </t>
  </si>
  <si>
    <t>Изучаем животных</t>
  </si>
  <si>
    <t xml:space="preserve">114030     </t>
  </si>
  <si>
    <t>978-5-7668-1136-7</t>
  </si>
  <si>
    <t xml:space="preserve">СВШ-05    </t>
  </si>
  <si>
    <t>Начинаем считать</t>
  </si>
  <si>
    <t xml:space="preserve">114031     </t>
  </si>
  <si>
    <t>978-5-7668-1137-4</t>
  </si>
  <si>
    <t xml:space="preserve">СВШ-06    </t>
  </si>
  <si>
    <t>Развиваем мышление</t>
  </si>
  <si>
    <t xml:space="preserve">114032     </t>
  </si>
  <si>
    <t>978-5-7668-0774-2</t>
  </si>
  <si>
    <t xml:space="preserve">СВШ-07    </t>
  </si>
  <si>
    <t>Учимся считать до 20</t>
  </si>
  <si>
    <t xml:space="preserve">114033     </t>
  </si>
  <si>
    <t>978-5-7668-1139-8</t>
  </si>
  <si>
    <t xml:space="preserve">СВШ-08    </t>
  </si>
  <si>
    <t>Учимся читать</t>
  </si>
  <si>
    <t>0009 Книжки с наклейками</t>
  </si>
  <si>
    <t>001. Серия "Веселые буквы-наклейки". Книжки с наклейками</t>
  </si>
  <si>
    <t xml:space="preserve">112024     </t>
  </si>
  <si>
    <t>978-5-98503-403-5</t>
  </si>
  <si>
    <t xml:space="preserve">Р-ВБН-01  </t>
  </si>
  <si>
    <t>Атберг 98, Кострома</t>
  </si>
  <si>
    <t>165*240</t>
  </si>
  <si>
    <t>12 | 8/1</t>
  </si>
  <si>
    <t xml:space="preserve">112025     </t>
  </si>
  <si>
    <t>978-5-98503-404-2</t>
  </si>
  <si>
    <t xml:space="preserve">Р-ВБН-02  </t>
  </si>
  <si>
    <t xml:space="preserve">112027     </t>
  </si>
  <si>
    <t>978-5-98503-406-6</t>
  </si>
  <si>
    <t xml:space="preserve">Р-ВБН-04  </t>
  </si>
  <si>
    <t>Мишка</t>
  </si>
  <si>
    <t xml:space="preserve">112026     </t>
  </si>
  <si>
    <t>978-5-98503-405-9</t>
  </si>
  <si>
    <t xml:space="preserve">Р-ВБН-03  </t>
  </si>
  <si>
    <t>Щенок</t>
  </si>
  <si>
    <t>002. Серия "Веселые рожицы". Книжки с наклейками</t>
  </si>
  <si>
    <t xml:space="preserve">111483     </t>
  </si>
  <si>
    <t>978-5-98503-639-8</t>
  </si>
  <si>
    <t xml:space="preserve">Р-ВР-01   </t>
  </si>
  <si>
    <t>Маскарад</t>
  </si>
  <si>
    <t>160*240</t>
  </si>
  <si>
    <t>Картон с лам.</t>
  </si>
  <si>
    <t>11 | 8/1</t>
  </si>
  <si>
    <t xml:space="preserve">110823     </t>
  </si>
  <si>
    <t>978-5-98503-920-7</t>
  </si>
  <si>
    <t xml:space="preserve">Р-ВР-02   </t>
  </si>
  <si>
    <t>Приколы</t>
  </si>
  <si>
    <t xml:space="preserve">110826     </t>
  </si>
  <si>
    <t>978-5-98503-641-1</t>
  </si>
  <si>
    <t xml:space="preserve">Р-ВР-04   </t>
  </si>
  <si>
    <t>Сказки</t>
  </si>
  <si>
    <t xml:space="preserve">111482     </t>
  </si>
  <si>
    <t>978-5-98503-642-8</t>
  </si>
  <si>
    <t xml:space="preserve">Р-ВР-06   </t>
  </si>
  <si>
    <t>Фантазеры</t>
  </si>
  <si>
    <t>003. Серия "Витаминки". Книжки с наклейками (55 стикеров)</t>
  </si>
  <si>
    <t xml:space="preserve">113018     </t>
  </si>
  <si>
    <t>978-5-98503-491-2</t>
  </si>
  <si>
    <t xml:space="preserve">Н-ВТ-1    </t>
  </si>
  <si>
    <t>Вишенка</t>
  </si>
  <si>
    <t>Agencja Wydawnicza Jerzy Most</t>
  </si>
  <si>
    <t>230х210</t>
  </si>
  <si>
    <t>Картон+глиттер</t>
  </si>
  <si>
    <t>26 | 8/1</t>
  </si>
  <si>
    <t xml:space="preserve">113019     </t>
  </si>
  <si>
    <t>978-5-98503-492-9</t>
  </si>
  <si>
    <t xml:space="preserve">Н-ВТ-2    </t>
  </si>
  <si>
    <t>Клубничка</t>
  </si>
  <si>
    <t xml:space="preserve">113020     </t>
  </si>
  <si>
    <t>978-5-98503-493-6</t>
  </si>
  <si>
    <t xml:space="preserve">Н-ВТ-3    </t>
  </si>
  <si>
    <t>Лимончик</t>
  </si>
  <si>
    <t xml:space="preserve">113021     </t>
  </si>
  <si>
    <t>978-5-98503-494-3</t>
  </si>
  <si>
    <t xml:space="preserve">Н-ВТ-4    </t>
  </si>
  <si>
    <t>Черничка</t>
  </si>
  <si>
    <t>004. Серия "Для самых маленьких. С наклейками". Раскраски с наклейками (16 наклеек)</t>
  </si>
  <si>
    <t xml:space="preserve">113413     </t>
  </si>
  <si>
    <t>978-5-98503-525-4</t>
  </si>
  <si>
    <t xml:space="preserve">РН-ДМ-1   </t>
  </si>
  <si>
    <t>Быстрый пароходик</t>
  </si>
  <si>
    <t>ООО "Атберг 98", ОАО "Кострома</t>
  </si>
  <si>
    <t>мел.карт,глиттер</t>
  </si>
  <si>
    <t>62 | 8/1</t>
  </si>
  <si>
    <t xml:space="preserve">113414     </t>
  </si>
  <si>
    <t>978-5-98503-526-1</t>
  </si>
  <si>
    <t xml:space="preserve">РН-ДМ-2   </t>
  </si>
  <si>
    <t>Мотылёк Сеня</t>
  </si>
  <si>
    <t xml:space="preserve">113415     </t>
  </si>
  <si>
    <t>978-5-98503-527-8</t>
  </si>
  <si>
    <t xml:space="preserve">РН-ДМ-3   </t>
  </si>
  <si>
    <t>Отважный крабик</t>
  </si>
  <si>
    <t xml:space="preserve">113416     </t>
  </si>
  <si>
    <t>978-5-98503-528-5</t>
  </si>
  <si>
    <t xml:space="preserve">РН-ДМ-4   </t>
  </si>
  <si>
    <t>Страна динозавриков</t>
  </si>
  <si>
    <t>005. Серия "Истории машинок". Книжки с наклейками (вырубка)</t>
  </si>
  <si>
    <t xml:space="preserve">110924     </t>
  </si>
  <si>
    <t>978-5-9850-3604-6</t>
  </si>
  <si>
    <t xml:space="preserve">РН-ИМ-01   </t>
  </si>
  <si>
    <t>Красавица Фиатка</t>
  </si>
  <si>
    <t>225*225</t>
  </si>
  <si>
    <t>12</t>
  </si>
  <si>
    <t>39 | 8/1</t>
  </si>
  <si>
    <t>006. Серия "Маленькая принцесса". Книжки-раскраски с наклейками (16 наклеек)</t>
  </si>
  <si>
    <t xml:space="preserve">113419     </t>
  </si>
  <si>
    <t>978-5-98503-532-2</t>
  </si>
  <si>
    <t xml:space="preserve">Р-МП-4    </t>
  </si>
  <si>
    <t>52 | 8/1</t>
  </si>
  <si>
    <t>007. Серия "Маленький фантазёр". Раскраски с наклейками</t>
  </si>
  <si>
    <t xml:space="preserve">114469     </t>
  </si>
  <si>
    <t>978-5-98503-888-0</t>
  </si>
  <si>
    <t xml:space="preserve">МФ-1      </t>
  </si>
  <si>
    <t>Быстрый дельфин</t>
  </si>
  <si>
    <t>10/1 | 8/1</t>
  </si>
  <si>
    <t xml:space="preserve">114470     </t>
  </si>
  <si>
    <t>978-5-98503-889-7</t>
  </si>
  <si>
    <t xml:space="preserve">МФ-2      </t>
  </si>
  <si>
    <t>Коровка Зорька</t>
  </si>
  <si>
    <t xml:space="preserve">114471     </t>
  </si>
  <si>
    <t>978-5-98503-890-3</t>
  </si>
  <si>
    <t xml:space="preserve">МФ-3      </t>
  </si>
  <si>
    <t>Мой любимый бегемот</t>
  </si>
  <si>
    <t xml:space="preserve">114472     </t>
  </si>
  <si>
    <t>978-5-98503-891-0</t>
  </si>
  <si>
    <t xml:space="preserve">МФ-4      </t>
  </si>
  <si>
    <t>Озорница белка</t>
  </si>
  <si>
    <t>008. Серия "Многоразовые наклейки". Книжки с многоразовыми наклейками</t>
  </si>
  <si>
    <t xml:space="preserve">УТ-201484  </t>
  </si>
  <si>
    <t>978-5-98503-828-6</t>
  </si>
  <si>
    <t>МНН-1</t>
  </si>
  <si>
    <t>Любимые праздники</t>
  </si>
  <si>
    <t>АО "Кострома", ООО "Атберг 98"</t>
  </si>
  <si>
    <t>220х285</t>
  </si>
  <si>
    <t>Мелов.глянц.бумага</t>
  </si>
  <si>
    <t>11/2 | 8/1</t>
  </si>
  <si>
    <t xml:space="preserve">УТ-201486  </t>
  </si>
  <si>
    <t>978-5-98503-830-9</t>
  </si>
  <si>
    <t>МНН-3</t>
  </si>
  <si>
    <t>Мой дом</t>
  </si>
  <si>
    <t>009. Серия "Модные девчонки". Книжки-раскраски с наклейками</t>
  </si>
  <si>
    <t xml:space="preserve">113535     </t>
  </si>
  <si>
    <t>978-5-98503-868-2</t>
  </si>
  <si>
    <t xml:space="preserve">РН-МД-1   </t>
  </si>
  <si>
    <t>В кафе</t>
  </si>
  <si>
    <t>205*260</t>
  </si>
  <si>
    <t>18</t>
  </si>
  <si>
    <t>79 | 8/1</t>
  </si>
  <si>
    <t xml:space="preserve">113536     </t>
  </si>
  <si>
    <t>978-5-98503-869-9</t>
  </si>
  <si>
    <t xml:space="preserve">РН-МД-2   </t>
  </si>
  <si>
    <t>В магазине</t>
  </si>
  <si>
    <t xml:space="preserve">114104     </t>
  </si>
  <si>
    <t>978-5-98503-873-6</t>
  </si>
  <si>
    <t xml:space="preserve">РН-МД-5   </t>
  </si>
  <si>
    <t>Макияж, маникюр</t>
  </si>
  <si>
    <t xml:space="preserve">УТ-200240  </t>
  </si>
  <si>
    <t>978-5-98503-651-0</t>
  </si>
  <si>
    <t xml:space="preserve">РН-МД-7   </t>
  </si>
  <si>
    <t>Праздничный макияж</t>
  </si>
  <si>
    <t xml:space="preserve">114105     </t>
  </si>
  <si>
    <t>978-5-98503-870-5</t>
  </si>
  <si>
    <t xml:space="preserve">РН-МД-6   </t>
  </si>
  <si>
    <t>Прически</t>
  </si>
  <si>
    <t xml:space="preserve">УТ-200241  </t>
  </si>
  <si>
    <t>978-5-98503-866-8</t>
  </si>
  <si>
    <t xml:space="preserve">РН-МД-8   </t>
  </si>
  <si>
    <t>Украшения</t>
  </si>
  <si>
    <t>011. Серия "Мозаика наклеек". Книжки с наклейками (96 наклеек)</t>
  </si>
  <si>
    <t xml:space="preserve">112141     </t>
  </si>
  <si>
    <t>978-5-98503-852-1</t>
  </si>
  <si>
    <t xml:space="preserve">Р-МН-05   </t>
  </si>
  <si>
    <t>В гостях у сказки</t>
  </si>
  <si>
    <t>Бумага мелованная глянцевая</t>
  </si>
  <si>
    <t>20 | 8/1</t>
  </si>
  <si>
    <t xml:space="preserve">112142     </t>
  </si>
  <si>
    <t>978-5-98503-853-8</t>
  </si>
  <si>
    <t xml:space="preserve">Р-МН-06   </t>
  </si>
  <si>
    <t>Во саду ли в огороде</t>
  </si>
  <si>
    <t xml:space="preserve">111586     </t>
  </si>
  <si>
    <t>978-5-98503-854-5</t>
  </si>
  <si>
    <t xml:space="preserve">Р-МН-02   </t>
  </si>
  <si>
    <t>На лесной опушке</t>
  </si>
  <si>
    <t xml:space="preserve">111585     </t>
  </si>
  <si>
    <t>978-5-98503-855-2</t>
  </si>
  <si>
    <t xml:space="preserve">Р-МН-04   </t>
  </si>
  <si>
    <t>Приключения в Африке</t>
  </si>
  <si>
    <t xml:space="preserve">112140     </t>
  </si>
  <si>
    <t>978-5-98503-618-3</t>
  </si>
  <si>
    <t xml:space="preserve">Р-МН-08   </t>
  </si>
  <si>
    <t>Цирковое представление</t>
  </si>
  <si>
    <t>012. Серия "Найди отличия с наклейками". Книжки с наклейками</t>
  </si>
  <si>
    <t xml:space="preserve">112208     </t>
  </si>
  <si>
    <t>978-5-98503-653-4</t>
  </si>
  <si>
    <t xml:space="preserve">РН-НО-04  </t>
  </si>
  <si>
    <t>Забавные котята</t>
  </si>
  <si>
    <t>10 | 8/1</t>
  </si>
  <si>
    <t xml:space="preserve">112207     </t>
  </si>
  <si>
    <t>978-5-98503-654-1</t>
  </si>
  <si>
    <t xml:space="preserve">РН-НО-03  </t>
  </si>
  <si>
    <t>Золотые рыбки</t>
  </si>
  <si>
    <t xml:space="preserve">112210     </t>
  </si>
  <si>
    <t>978-5-98503-655-8</t>
  </si>
  <si>
    <t xml:space="preserve">РН-НО-02  </t>
  </si>
  <si>
    <t>Медвежата</t>
  </si>
  <si>
    <t xml:space="preserve">112209     </t>
  </si>
  <si>
    <t>978-5-98503-600-8</t>
  </si>
  <si>
    <t xml:space="preserve">РН-НО-01  </t>
  </si>
  <si>
    <t>Утята</t>
  </si>
  <si>
    <t>013. Серия "Наклей, посмотри и раскрась" "Автомобили". Раскраски с наклейками</t>
  </si>
  <si>
    <t xml:space="preserve">УТ-202209  </t>
  </si>
  <si>
    <t>978-5-98503-892-7</t>
  </si>
  <si>
    <t xml:space="preserve">НПР-01  </t>
  </si>
  <si>
    <t>Автомобили Германии</t>
  </si>
  <si>
    <t>КОСТРОМА АО</t>
  </si>
  <si>
    <t>170х255</t>
  </si>
  <si>
    <t>меловка глянцевая</t>
  </si>
  <si>
    <t>8/1 | 87</t>
  </si>
  <si>
    <t xml:space="preserve">УТ-202210  </t>
  </si>
  <si>
    <t>978‐5‐98503‐893‐4</t>
  </si>
  <si>
    <t>НПР‐02</t>
  </si>
  <si>
    <t>Автомобили США</t>
  </si>
  <si>
    <t xml:space="preserve">УТ-202211  </t>
  </si>
  <si>
    <t>978‐5‐98503‐894‐1</t>
  </si>
  <si>
    <t>НПР‐03</t>
  </si>
  <si>
    <t>Автомобили Франции</t>
  </si>
  <si>
    <t xml:space="preserve">УТ-202212  </t>
  </si>
  <si>
    <t>978‐5‐98503‐895‐8</t>
  </si>
  <si>
    <t>НПР‐04</t>
  </si>
  <si>
    <t>Автомобили Японии</t>
  </si>
  <si>
    <t xml:space="preserve">УТ-202213  </t>
  </si>
  <si>
    <t>978‐5‐98503‐896‐5</t>
  </si>
  <si>
    <t>НПР‐05</t>
  </si>
  <si>
    <t>Грузовики и тягачи</t>
  </si>
  <si>
    <t xml:space="preserve">УТ-202214  </t>
  </si>
  <si>
    <t>978‐5‐98503‐897‐2</t>
  </si>
  <si>
    <t>НПР‐06</t>
  </si>
  <si>
    <t xml:space="preserve">УТ-202215  </t>
  </si>
  <si>
    <t>978‐5‐98503‐898‐9</t>
  </si>
  <si>
    <t>НПР‐07</t>
  </si>
  <si>
    <t xml:space="preserve">УТ-202216  </t>
  </si>
  <si>
    <t>978‐5‐98503‐899‐6</t>
  </si>
  <si>
    <t>НПР‐08</t>
  </si>
  <si>
    <t>Суперкары</t>
  </si>
  <si>
    <t>014. Серия "Наклейки для самых маленьких" с загадками</t>
  </si>
  <si>
    <t xml:space="preserve">УТ-200363  </t>
  </si>
  <si>
    <t>978-5-98503-658-9</t>
  </si>
  <si>
    <t>НС3-1</t>
  </si>
  <si>
    <t>ООО "Каламин"</t>
  </si>
  <si>
    <t>Мелов.глянц.бум.230г/м2</t>
  </si>
  <si>
    <t>49 | 8/1</t>
  </si>
  <si>
    <t xml:space="preserve">УТ-200364  </t>
  </si>
  <si>
    <t>978-5-98503-659-6</t>
  </si>
  <si>
    <t>НС3-2</t>
  </si>
  <si>
    <t>Кто где живет</t>
  </si>
  <si>
    <t xml:space="preserve">УТ-200365  </t>
  </si>
  <si>
    <t>978-5-98503-660-2</t>
  </si>
  <si>
    <t>НС3-3</t>
  </si>
  <si>
    <t>Любимые зверюшки</t>
  </si>
  <si>
    <t xml:space="preserve">УТ-201848  </t>
  </si>
  <si>
    <t>978-5-98503-862-0</t>
  </si>
  <si>
    <t>НС3-6</t>
  </si>
  <si>
    <t>Мамы и малыши</t>
  </si>
  <si>
    <t>50 | 8/1</t>
  </si>
  <si>
    <t>015. Серия "Столицы моды". Книжки-раскраски с наклейками</t>
  </si>
  <si>
    <t xml:space="preserve">УТ-200393  </t>
  </si>
  <si>
    <t>978-5-98503-677-0</t>
  </si>
  <si>
    <t>РН-СМ-1</t>
  </si>
  <si>
    <t>Лондон</t>
  </si>
  <si>
    <t>ООО "Атберг 98",Jusu Flintas</t>
  </si>
  <si>
    <t>205*280</t>
  </si>
  <si>
    <t>Бумага мел.глянц.</t>
  </si>
  <si>
    <t>4 | 8/1</t>
  </si>
  <si>
    <t xml:space="preserve">УТ-200396  </t>
  </si>
  <si>
    <t>978-5-98503-678-7</t>
  </si>
  <si>
    <t>РН-СМ-2</t>
  </si>
  <si>
    <t>Милан</t>
  </si>
  <si>
    <t xml:space="preserve">УТ-200397  </t>
  </si>
  <si>
    <t>978-5-98503-679-4</t>
  </si>
  <si>
    <t>РН-СМ-3</t>
  </si>
  <si>
    <t>Нью-Йорк</t>
  </si>
  <si>
    <t xml:space="preserve">УТ-200398  </t>
  </si>
  <si>
    <t>978-5-98503-680-0</t>
  </si>
  <si>
    <t>РН-СМ-4</t>
  </si>
  <si>
    <t>Париж</t>
  </si>
  <si>
    <t>016. Серия "Супер-машины". Книжки-раскраски с наклейками</t>
  </si>
  <si>
    <t xml:space="preserve">УТ-200842  </t>
  </si>
  <si>
    <t>978-5-98503-691-6</t>
  </si>
  <si>
    <t>Внедорожники</t>
  </si>
  <si>
    <t>206*292</t>
  </si>
  <si>
    <t>Бум.мелов.250г</t>
  </si>
  <si>
    <t>8/1 | 88</t>
  </si>
  <si>
    <t xml:space="preserve">УТ-200844  </t>
  </si>
  <si>
    <t>978-5-98503-692-3</t>
  </si>
  <si>
    <t>Грузовики</t>
  </si>
  <si>
    <t xml:space="preserve">УТ-200845  </t>
  </si>
  <si>
    <t>978-5-98503-693-0</t>
  </si>
  <si>
    <t xml:space="preserve">УТ-200847  </t>
  </si>
  <si>
    <t>978-5-98503-695-4</t>
  </si>
  <si>
    <t>РН-СМ-5</t>
  </si>
  <si>
    <t>Спорткары</t>
  </si>
  <si>
    <t xml:space="preserve">УТ-200848  </t>
  </si>
  <si>
    <t>978-5-98503-696-1</t>
  </si>
  <si>
    <t>РН-СМ-6</t>
  </si>
  <si>
    <t>Тракторы</t>
  </si>
  <si>
    <t>0010 Развивающие игры, пазлы и наборы для творчества</t>
  </si>
  <si>
    <t>001. Развивающие игры из дерева</t>
  </si>
  <si>
    <t xml:space="preserve">УТ-202536  </t>
  </si>
  <si>
    <t>460-3-31243-000-6</t>
  </si>
  <si>
    <t>ДЛ-01</t>
  </si>
  <si>
    <t>Азбука. Развивающее лото (из дерева)</t>
  </si>
  <si>
    <t>ВУДВИЛЬ</t>
  </si>
  <si>
    <t>210*125*40</t>
  </si>
  <si>
    <t xml:space="preserve">УТ-202540  </t>
  </si>
  <si>
    <t>460-3-31243-004-4</t>
  </si>
  <si>
    <t>ДД-01</t>
  </si>
  <si>
    <t>Дикие животные. Развивающее домино (из дерева)</t>
  </si>
  <si>
    <t xml:space="preserve">УТ-202541  </t>
  </si>
  <si>
    <t>460-3-31243-005-1</t>
  </si>
  <si>
    <t>ДД-03</t>
  </si>
  <si>
    <t>Домашние животные. Развивающее домино (из дерева)</t>
  </si>
  <si>
    <t xml:space="preserve">УТ-202537  </t>
  </si>
  <si>
    <t>460-3-31243-001-3</t>
  </si>
  <si>
    <t>ДЛ-02</t>
  </si>
  <si>
    <t>Животные. Развивающее лото (из дерева)</t>
  </si>
  <si>
    <t xml:space="preserve">УТ-202542  </t>
  </si>
  <si>
    <t>460-3-31243-006-8</t>
  </si>
  <si>
    <t>ДД-02</t>
  </si>
  <si>
    <t>Овощи и фрукты. Развивающее домино (из дерева)</t>
  </si>
  <si>
    <t xml:space="preserve">УТ-202538  </t>
  </si>
  <si>
    <t>460-3-31243-002-0</t>
  </si>
  <si>
    <t>ДЛ-03</t>
  </si>
  <si>
    <t>Овощи и фрукты. Развивающее лото (из дерева)</t>
  </si>
  <si>
    <t xml:space="preserve">УТ-202543  </t>
  </si>
  <si>
    <t>460-3-31243-007-5</t>
  </si>
  <si>
    <t>ДД-04</t>
  </si>
  <si>
    <t>Транспорт. Развивающее домино (из дерева)</t>
  </si>
  <si>
    <t xml:space="preserve">УТ-202539  </t>
  </si>
  <si>
    <t>460-3-31243-003-7</t>
  </si>
  <si>
    <t>ДЛ-04</t>
  </si>
  <si>
    <t>Транспорт. Развивающее лото (из дерева)</t>
  </si>
  <si>
    <t>002. Развивающие пазлы для детей</t>
  </si>
  <si>
    <t>01. Наборы пазлов "Пазлы для малышей 4 в 1"</t>
  </si>
  <si>
    <t xml:space="preserve">УТ-201838  </t>
  </si>
  <si>
    <t>978-5-60462-353-4</t>
  </si>
  <si>
    <t>ПДМ-3534</t>
  </si>
  <si>
    <t>Набор мягких воздушных пазлов для малышей 4 в 1 "Лесные животные" (4 разных пазла из 4, 6, 9 и 12 элементов) (возраст 3+)</t>
  </si>
  <si>
    <t>6</t>
  </si>
  <si>
    <t>ООО "ТИК "АНТУРАЖ"</t>
  </si>
  <si>
    <t>200*200*40</t>
  </si>
  <si>
    <t>пенополистирол, картон, бумага</t>
  </si>
  <si>
    <t>38</t>
  </si>
  <si>
    <t xml:space="preserve">УТ-201839  </t>
  </si>
  <si>
    <t>978-5-60462-354-1</t>
  </si>
  <si>
    <t>ПДМ-3541</t>
  </si>
  <si>
    <t>Набор мягких воздушных пазлов для малышей 4 в 1 "Любимые герои" (4 разных пазла из 4, 6, 9 и 12 элементов) (возраст 3+)</t>
  </si>
  <si>
    <t xml:space="preserve">УТ-201840  </t>
  </si>
  <si>
    <t>978-5-60462-355-8</t>
  </si>
  <si>
    <t>ПДМ-3558</t>
  </si>
  <si>
    <t>Набор мягких воздушных пазлов для малышей 4 в 1 "Машинки" (4 разных пазла из 4, 6, 9 и 12 элементов) (возраст 3+)</t>
  </si>
  <si>
    <t xml:space="preserve">УТ-201841  </t>
  </si>
  <si>
    <t>978-5-60462-356-5</t>
  </si>
  <si>
    <t>ПДМ-3565</t>
  </si>
  <si>
    <t>Набор мягких воздушных пазлов для малышей 4 в 1 "Мои игрушки" (4 разных пазла из 4, 6, 9 и 12 элементов) (возраст 3+)</t>
  </si>
  <si>
    <t xml:space="preserve">УТ-201842  </t>
  </si>
  <si>
    <t>978-5-60462-357-2</t>
  </si>
  <si>
    <t>ПДМ-3572</t>
  </si>
  <si>
    <t>Набор мягких воздушных пазлов для малышей 4 в 1 "Сказочные герои" (4 разных пазла из 4, 6, 9 и 12 элементов) (возраст 3+)</t>
  </si>
  <si>
    <t>03. Серия "Книжка-пазл 6 картинок" (эзолон)</t>
  </si>
  <si>
    <t xml:space="preserve">УТ-200852  </t>
  </si>
  <si>
    <t>978-5-99087-340-7</t>
  </si>
  <si>
    <t>КПШК-3407</t>
  </si>
  <si>
    <t>А ну-ка,догони!</t>
  </si>
  <si>
    <t>Мозайка, Атберг 98</t>
  </si>
  <si>
    <t>150*220</t>
  </si>
  <si>
    <t>6 картинок</t>
  </si>
  <si>
    <t>эзолон</t>
  </si>
  <si>
    <t xml:space="preserve">114540     </t>
  </si>
  <si>
    <t>978-5-99087-298-1</t>
  </si>
  <si>
    <t>КПШК-2981</t>
  </si>
  <si>
    <t>Большой и маленький</t>
  </si>
  <si>
    <t xml:space="preserve">УТ-200308  </t>
  </si>
  <si>
    <t>978-5-99087-319-3</t>
  </si>
  <si>
    <t>КПШК-3193</t>
  </si>
  <si>
    <t>Весёлые машинки</t>
  </si>
  <si>
    <t xml:space="preserve">УТ-200853  </t>
  </si>
  <si>
    <t>978-5-99087-341-4</t>
  </si>
  <si>
    <t>КПШК-3414</t>
  </si>
  <si>
    <t>Грустный и Весёлый</t>
  </si>
  <si>
    <t xml:space="preserve">УТ-200092  </t>
  </si>
  <si>
    <t>978-5-99087-317-9</t>
  </si>
  <si>
    <t>Домики зверят</t>
  </si>
  <si>
    <t xml:space="preserve">114514     </t>
  </si>
  <si>
    <t>978-5-99087-297-4</t>
  </si>
  <si>
    <t>КПШК-2974</t>
  </si>
  <si>
    <t>Друзья</t>
  </si>
  <si>
    <t xml:space="preserve">114539     </t>
  </si>
  <si>
    <t>978-5-99087-299-8</t>
  </si>
  <si>
    <t>Едем-едем</t>
  </si>
  <si>
    <t xml:space="preserve">УТ-200091  </t>
  </si>
  <si>
    <t>978-5-99087-316-2</t>
  </si>
  <si>
    <t>КПШК-3162</t>
  </si>
  <si>
    <t>Зверята и птицы</t>
  </si>
  <si>
    <t xml:space="preserve">114515     </t>
  </si>
  <si>
    <t>978-5-99087-296-7</t>
  </si>
  <si>
    <t>КПШК-2967</t>
  </si>
  <si>
    <t>Мамы и дети</t>
  </si>
  <si>
    <t xml:space="preserve">УТ-200309  </t>
  </si>
  <si>
    <t>978-5-99087-318-6</t>
  </si>
  <si>
    <t>Овощи и фрукты</t>
  </si>
  <si>
    <t xml:space="preserve">114628     </t>
  </si>
  <si>
    <t>978-5-99087-300-1</t>
  </si>
  <si>
    <t>Помощники</t>
  </si>
  <si>
    <t xml:space="preserve">114624     </t>
  </si>
  <si>
    <t>978-5-99087-301-8</t>
  </si>
  <si>
    <t>КПШК-3018</t>
  </si>
  <si>
    <t>04. Серия "Книжка-пазл" (5 разворотов)</t>
  </si>
  <si>
    <t xml:space="preserve">УТ-201337  </t>
  </si>
  <si>
    <t>978-5-99087-365-0</t>
  </si>
  <si>
    <t>КНП-3650</t>
  </si>
  <si>
    <t>Азбука в картинках</t>
  </si>
  <si>
    <t>7</t>
  </si>
  <si>
    <t>200*270</t>
  </si>
  <si>
    <t>5 картинок</t>
  </si>
  <si>
    <t>7БЦ+пазлы(эзолон)</t>
  </si>
  <si>
    <t xml:space="preserve">УТ-202147  </t>
  </si>
  <si>
    <t>978-5-60462-366-4</t>
  </si>
  <si>
    <t>КНП-3664</t>
  </si>
  <si>
    <t>48 | 48/1</t>
  </si>
  <si>
    <t xml:space="preserve">УТ-201338  </t>
  </si>
  <si>
    <t>978-5-99087-366-7</t>
  </si>
  <si>
    <t>КНП-3667</t>
  </si>
  <si>
    <t>Домашние животные</t>
  </si>
  <si>
    <t xml:space="preserve">УТ-201339  </t>
  </si>
  <si>
    <t>978-5-99087-367-4</t>
  </si>
  <si>
    <t>КНП-3674</t>
  </si>
  <si>
    <t>Загадки для малышей</t>
  </si>
  <si>
    <t xml:space="preserve">УТ-201340  </t>
  </si>
  <si>
    <t>978-5-99087-368-1</t>
  </si>
  <si>
    <t>КНП-3681</t>
  </si>
  <si>
    <t xml:space="preserve">УТ-201875  </t>
  </si>
  <si>
    <t>978-5-60462-360-2</t>
  </si>
  <si>
    <t>КНП-3602</t>
  </si>
  <si>
    <t xml:space="preserve">УТ-201341  </t>
  </si>
  <si>
    <t>978-5-99087-369-8</t>
  </si>
  <si>
    <t>КНП-3698</t>
  </si>
  <si>
    <t xml:space="preserve">УТ-201870  </t>
  </si>
  <si>
    <t>978-5-60462-361-9</t>
  </si>
  <si>
    <t>КНП-3619</t>
  </si>
  <si>
    <t xml:space="preserve">УТ-201871  </t>
  </si>
  <si>
    <t>978-5-60462-362-6</t>
  </si>
  <si>
    <t>КНП-3626</t>
  </si>
  <si>
    <t>Муха-цокотуха</t>
  </si>
  <si>
    <t xml:space="preserve">УТ-201872  </t>
  </si>
  <si>
    <t>978-5-60462-363-3</t>
  </si>
  <si>
    <t>КНП-3633</t>
  </si>
  <si>
    <t>Мы машину заведём</t>
  </si>
  <si>
    <t xml:space="preserve">УТ-201873  </t>
  </si>
  <si>
    <t>978-5-60462-364-0</t>
  </si>
  <si>
    <t>КНП-3640</t>
  </si>
  <si>
    <t xml:space="preserve">УТ-201874  </t>
  </si>
  <si>
    <t>978-5-60462-365-7</t>
  </si>
  <si>
    <t>КНП-3657</t>
  </si>
  <si>
    <t>Пять любимых сказок</t>
  </si>
  <si>
    <t xml:space="preserve">УТ-201342  </t>
  </si>
  <si>
    <t>978-5-99087-370-4</t>
  </si>
  <si>
    <t>КНП-3704</t>
  </si>
  <si>
    <t>Стихи про зверят</t>
  </si>
  <si>
    <t xml:space="preserve">УТ-202504  </t>
  </si>
  <si>
    <t>978-5-60487-798-2</t>
  </si>
  <si>
    <t>КНП-7982</t>
  </si>
  <si>
    <t>Мозайка</t>
  </si>
  <si>
    <t>ШК</t>
  </si>
  <si>
    <t>Вес, кг</t>
  </si>
  <si>
    <t>Прайс, руб.</t>
  </si>
  <si>
    <t>7 мая 2024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</si>
</sst>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</numFmts>
  <fonts count="57"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i/>
      <sz val="11"/>
      <color indexed="10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6"/>
      <name val="Arial"/>
      <family val="2"/>
    </font>
    <font>
      <b/>
      <sz val="10"/>
      <color indexed="8"/>
      <name val="Courier New"/>
      <family val="3"/>
    </font>
    <font>
      <sz val="8"/>
      <color indexed="10"/>
      <name val="Arial"/>
      <family val="2"/>
    </font>
    <font>
      <b/>
      <sz val="10"/>
      <color indexed="10"/>
      <name val="Courier New"/>
      <family val="3"/>
    </font>
    <font>
      <b/>
      <u val="single"/>
      <sz val="10"/>
      <color indexed="18"/>
      <name val="Arial"/>
      <family val="2"/>
    </font>
    <font>
      <i/>
      <sz val="11"/>
      <color indexed="10"/>
      <name val="Arial"/>
      <family val="2"/>
    </font>
    <font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u val="single"/>
      <sz val="8"/>
      <color indexed="49"/>
      <name val="Arial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b/>
      <sz val="11"/>
      <color indexed="8"/>
      <name val="Aptos Narrow"/>
      <family val="2"/>
    </font>
    <font>
      <b/>
      <sz val="11"/>
      <color indexed="9"/>
      <name val="Aptos Narrow"/>
      <family val="2"/>
    </font>
    <font>
      <sz val="18"/>
      <color indexed="56"/>
      <name val="Aptos Display"/>
      <family val="2"/>
    </font>
    <font>
      <sz val="11"/>
      <color indexed="60"/>
      <name val="Aptos Narrow"/>
      <family val="2"/>
    </font>
    <font>
      <sz val="11"/>
      <color indexed="20"/>
      <name val="Aptos Narrow"/>
      <family val="2"/>
    </font>
    <font>
      <i/>
      <sz val="11"/>
      <color indexed="23"/>
      <name val="Aptos Narrow"/>
      <family val="2"/>
    </font>
    <font>
      <sz val="11"/>
      <color indexed="52"/>
      <name val="Aptos Narrow"/>
      <family val="2"/>
    </font>
    <font>
      <sz val="11"/>
      <color indexed="10"/>
      <name val="Aptos Narrow"/>
      <family val="2"/>
    </font>
    <font>
      <sz val="11"/>
      <color indexed="17"/>
      <name val="Aptos Narrow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u val="single"/>
      <sz val="8"/>
      <color theme="10"/>
      <name val="Arial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b/>
      <sz val="11"/>
      <color theme="0"/>
      <name val="Aptos Narrow"/>
      <family val="2"/>
    </font>
    <font>
      <sz val="18"/>
      <color theme="3"/>
      <name val="Aptos Display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i/>
      <sz val="11"/>
      <color rgb="FF7F7F7F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sz val="11"/>
      <color rgb="FF006100"/>
      <name val="Aptos Narrow"/>
      <family val="2"/>
    </font>
    <font>
      <b/>
      <sz val="12"/>
      <color rgb="FFFF0000"/>
      <name val="Arial"/>
      <family val="2"/>
    </font>
    <font>
      <b/>
      <sz val="9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left"/>
    </xf>
    <xf numFmtId="0" fontId="1" fillId="33" borderId="0" xfId="0" applyNumberFormat="1" applyFont="1" applyFill="1" applyAlignment="1">
      <alignment horizontal="left" wrapText="1"/>
    </xf>
    <xf numFmtId="0" fontId="2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 horizontal="left"/>
    </xf>
    <xf numFmtId="0" fontId="5" fillId="33" borderId="0" xfId="0" applyNumberFormat="1" applyFont="1" applyFill="1" applyAlignment="1">
      <alignment horizontal="left"/>
    </xf>
    <xf numFmtId="0" fontId="6" fillId="33" borderId="0" xfId="0" applyNumberFormat="1" applyFont="1" applyFill="1" applyAlignment="1">
      <alignment horizontal="center"/>
    </xf>
    <xf numFmtId="0" fontId="7" fillId="33" borderId="0" xfId="0" applyNumberFormat="1" applyFont="1" applyFill="1" applyAlignment="1">
      <alignment horizontal="right"/>
    </xf>
    <xf numFmtId="0" fontId="7" fillId="33" borderId="0" xfId="0" applyNumberFormat="1" applyFont="1" applyFill="1" applyAlignment="1">
      <alignment horizontal="left"/>
    </xf>
    <xf numFmtId="0" fontId="8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right"/>
    </xf>
    <xf numFmtId="0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 horizontal="left" wrapText="1"/>
    </xf>
    <xf numFmtId="0" fontId="1" fillId="34" borderId="10" xfId="0" applyNumberFormat="1" applyFont="1" applyFill="1" applyBorder="1" applyAlignment="1">
      <alignment horizontal="left" wrapText="1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left" vertical="center"/>
    </xf>
    <xf numFmtId="0" fontId="10" fillId="33" borderId="15" xfId="0" applyNumberFormat="1" applyFont="1" applyFill="1" applyBorder="1" applyAlignment="1">
      <alignment horizontal="left" vertical="center"/>
    </xf>
    <xf numFmtId="0" fontId="6" fillId="33" borderId="13" xfId="0" applyNumberFormat="1" applyFont="1" applyFill="1" applyBorder="1" applyAlignment="1">
      <alignment horizontal="left" vertical="center" wrapText="1"/>
    </xf>
    <xf numFmtId="0" fontId="6" fillId="34" borderId="14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/>
    </xf>
    <xf numFmtId="0" fontId="1" fillId="33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11" fillId="33" borderId="17" xfId="0" applyNumberFormat="1" applyFont="1" applyFill="1" applyBorder="1" applyAlignment="1">
      <alignment horizontal="center" vertical="center" wrapText="1"/>
    </xf>
    <xf numFmtId="0" fontId="11" fillId="33" borderId="17" xfId="0" applyNumberFormat="1" applyFont="1" applyFill="1" applyBorder="1" applyAlignment="1">
      <alignment horizontal="left" vertical="center" wrapText="1"/>
    </xf>
    <xf numFmtId="0" fontId="1" fillId="34" borderId="17" xfId="0" applyNumberFormat="1" applyFont="1" applyFill="1" applyBorder="1" applyAlignment="1">
      <alignment horizontal="center" vertical="center" wrapText="1"/>
    </xf>
    <xf numFmtId="0" fontId="1" fillId="33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12" fillId="33" borderId="17" xfId="0" applyNumberFormat="1" applyFont="1" applyFill="1" applyBorder="1" applyAlignment="1">
      <alignment horizontal="center" vertical="center" wrapText="1"/>
    </xf>
    <xf numFmtId="0" fontId="13" fillId="33" borderId="17" xfId="0" applyNumberFormat="1" applyFont="1" applyFill="1" applyBorder="1" applyAlignment="1">
      <alignment horizontal="center" vertical="center" wrapText="1"/>
    </xf>
    <xf numFmtId="0" fontId="13" fillId="33" borderId="17" xfId="0" applyNumberFormat="1" applyFont="1" applyFill="1" applyBorder="1" applyAlignment="1">
      <alignment horizontal="left" vertical="center" wrapText="1"/>
    </xf>
    <xf numFmtId="0" fontId="12" fillId="34" borderId="17" xfId="0" applyNumberFormat="1" applyFont="1" applyFill="1" applyBorder="1" applyAlignment="1">
      <alignment horizontal="center" vertical="center" wrapText="1"/>
    </xf>
    <xf numFmtId="0" fontId="12" fillId="33" borderId="17" xfId="0" applyNumberFormat="1" applyFont="1" applyFill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left" vertical="center"/>
    </xf>
    <xf numFmtId="0" fontId="14" fillId="33" borderId="20" xfId="0" applyNumberFormat="1" applyFont="1" applyFill="1" applyBorder="1" applyAlignment="1">
      <alignment horizontal="left" vertical="center"/>
    </xf>
    <xf numFmtId="0" fontId="6" fillId="33" borderId="18" xfId="0" applyNumberFormat="1" applyFont="1" applyFill="1" applyBorder="1" applyAlignment="1">
      <alignment horizontal="left" vertical="center" wrapText="1"/>
    </xf>
    <xf numFmtId="0" fontId="6" fillId="34" borderId="19" xfId="0" applyNumberFormat="1" applyFont="1" applyFill="1" applyBorder="1" applyAlignment="1">
      <alignment horizontal="left" vertical="center" wrapText="1"/>
    </xf>
    <xf numFmtId="0" fontId="6" fillId="33" borderId="21" xfId="0" applyNumberFormat="1" applyFont="1" applyFill="1" applyBorder="1" applyAlignment="1">
      <alignment horizontal="left" vertical="center"/>
    </xf>
    <xf numFmtId="0" fontId="54" fillId="33" borderId="0" xfId="0" applyNumberFormat="1" applyFont="1" applyFill="1" applyAlignment="1">
      <alignment horizontal="left"/>
    </xf>
    <xf numFmtId="0" fontId="55" fillId="33" borderId="11" xfId="0" applyNumberFormat="1" applyFont="1" applyFill="1" applyBorder="1" applyAlignment="1">
      <alignment horizontal="center" vertical="center"/>
    </xf>
    <xf numFmtId="0" fontId="56" fillId="33" borderId="17" xfId="42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Alignment="1">
      <alignment horizontal="left" wrapText="1"/>
    </xf>
    <xf numFmtId="4" fontId="1" fillId="33" borderId="17" xfId="0" applyNumberFormat="1" applyFont="1" applyFill="1" applyBorder="1" applyAlignment="1">
      <alignment horizontal="center" vertical="center" wrapText="1"/>
    </xf>
    <xf numFmtId="1" fontId="1" fillId="33" borderId="0" xfId="0" applyNumberFormat="1" applyFont="1" applyFill="1" applyAlignment="1">
      <alignment horizontal="left"/>
    </xf>
    <xf numFmtId="1" fontId="2" fillId="33" borderId="0" xfId="0" applyNumberFormat="1" applyFont="1" applyFill="1" applyAlignment="1">
      <alignment horizontal="left"/>
    </xf>
    <xf numFmtId="1" fontId="1" fillId="33" borderId="10" xfId="0" applyNumberFormat="1" applyFont="1" applyFill="1" applyBorder="1" applyAlignment="1">
      <alignment horizontal="left"/>
    </xf>
    <xf numFmtId="1" fontId="9" fillId="33" borderId="11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1" fontId="1" fillId="33" borderId="17" xfId="0" applyNumberFormat="1" applyFont="1" applyFill="1" applyBorder="1" applyAlignment="1">
      <alignment horizontal="center" vertical="center" wrapText="1"/>
    </xf>
    <xf numFmtId="1" fontId="12" fillId="33" borderId="17" xfId="0" applyNumberFormat="1" applyFont="1" applyFill="1" applyBorder="1" applyAlignment="1">
      <alignment horizontal="center" vertical="center" wrapText="1"/>
    </xf>
    <xf numFmtId="1" fontId="6" fillId="33" borderId="17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2" fontId="1" fillId="33" borderId="0" xfId="0" applyNumberFormat="1" applyFont="1" applyFill="1" applyAlignment="1">
      <alignment horizontal="left"/>
    </xf>
    <xf numFmtId="2" fontId="2" fillId="33" borderId="0" xfId="0" applyNumberFormat="1" applyFont="1" applyFill="1" applyAlignment="1">
      <alignment horizontal="left"/>
    </xf>
    <xf numFmtId="2" fontId="1" fillId="33" borderId="10" xfId="0" applyNumberFormat="1" applyFont="1" applyFill="1" applyBorder="1" applyAlignment="1">
      <alignment horizontal="left"/>
    </xf>
    <xf numFmtId="2" fontId="9" fillId="33" borderId="11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1" fillId="33" borderId="17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85725</xdr:rowOff>
    </xdr:from>
    <xdr:to>
      <xdr:col>3</xdr:col>
      <xdr:colOff>638175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71475"/>
          <a:ext cx="30670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560"/>
  <sheetViews>
    <sheetView tabSelected="1" zoomScale="84" zoomScaleNormal="84" zoomScalePageLayoutView="0" workbookViewId="0" topLeftCell="A1">
      <selection activeCell="N4" sqref="N4"/>
    </sheetView>
  </sheetViews>
  <sheetFormatPr defaultColWidth="10.66015625" defaultRowHeight="11.25"/>
  <cols>
    <col min="1" max="1" width="9.66015625" style="0" customWidth="1"/>
    <col min="2" max="2" width="17" style="0" customWidth="1"/>
    <col min="3" max="4" width="20" style="0" customWidth="1"/>
    <col min="5" max="5" width="11.16015625" style="0" customWidth="1"/>
    <col min="6" max="6" width="59.16015625" style="0" customWidth="1"/>
    <col min="7" max="7" width="15.83203125" style="0" customWidth="1"/>
    <col min="8" max="8" width="8.83203125" style="0" customWidth="1"/>
    <col min="9" max="10" width="7.83203125" style="0" customWidth="1"/>
    <col min="11" max="11" width="15.16015625" style="0" customWidth="1"/>
    <col min="12" max="12" width="10" style="0" customWidth="1"/>
    <col min="13" max="13" width="6.5" style="0" customWidth="1"/>
    <col min="14" max="15" width="9.66015625" style="0" customWidth="1"/>
    <col min="16" max="16" width="9.16015625" style="0" customWidth="1"/>
    <col min="17" max="17" width="17" style="60" customWidth="1"/>
    <col min="18" max="18" width="17" style="67" customWidth="1"/>
  </cols>
  <sheetData>
    <row r="1" spans="1:18" ht="11.25" customHeight="1">
      <c r="A1" s="1"/>
      <c r="B1" s="1"/>
      <c r="C1" s="1"/>
      <c r="D1" s="1"/>
      <c r="E1" s="1"/>
      <c r="F1" s="1"/>
      <c r="G1" s="2"/>
      <c r="H1" s="2"/>
      <c r="I1" s="1"/>
      <c r="J1" s="1"/>
      <c r="K1" s="1"/>
      <c r="L1" s="1"/>
      <c r="M1" s="1"/>
      <c r="N1" s="1"/>
      <c r="O1" s="1"/>
      <c r="P1" s="1"/>
      <c r="Q1" s="52"/>
      <c r="R1" s="61"/>
    </row>
    <row r="2" spans="1:18" ht="11.25" customHeight="1">
      <c r="A2" s="1"/>
      <c r="B2" s="1"/>
      <c r="C2" s="1"/>
      <c r="D2" s="1"/>
      <c r="E2" s="1"/>
      <c r="F2" s="1"/>
      <c r="G2" s="2"/>
      <c r="H2" s="2"/>
      <c r="I2" s="2"/>
      <c r="J2" s="1"/>
      <c r="K2" s="1"/>
      <c r="L2" s="1"/>
      <c r="M2" s="1"/>
      <c r="N2" s="1"/>
      <c r="O2" s="1"/>
      <c r="P2" s="1"/>
      <c r="Q2" s="52"/>
      <c r="R2" s="61"/>
    </row>
    <row r="3" spans="1:18" ht="15.75" customHeight="1">
      <c r="A3" s="3"/>
      <c r="B3" s="3"/>
      <c r="C3" s="1"/>
      <c r="D3" s="1"/>
      <c r="E3" s="1"/>
      <c r="F3" s="1"/>
      <c r="G3" s="1"/>
      <c r="H3" s="1"/>
      <c r="I3" s="1"/>
      <c r="J3" s="1"/>
      <c r="K3" s="4" t="s">
        <v>0</v>
      </c>
      <c r="L3" s="1"/>
      <c r="M3" s="1"/>
      <c r="N3" s="47" t="s">
        <v>2257</v>
      </c>
      <c r="O3" s="47"/>
      <c r="P3" s="47"/>
      <c r="Q3" s="53"/>
      <c r="R3" s="62"/>
    </row>
    <row r="4" spans="1:18" ht="12.75" customHeight="1">
      <c r="A4" s="3"/>
      <c r="B4" s="3"/>
      <c r="C4" s="6"/>
      <c r="D4" s="1"/>
      <c r="E4" s="1"/>
      <c r="F4" s="1"/>
      <c r="G4" s="1"/>
      <c r="H4" s="1"/>
      <c r="I4" s="1"/>
      <c r="J4" s="1"/>
      <c r="K4" s="7"/>
      <c r="L4" s="1"/>
      <c r="M4" s="1"/>
      <c r="N4" s="1"/>
      <c r="O4" s="1"/>
      <c r="P4" s="5"/>
      <c r="Q4" s="53"/>
      <c r="R4" s="62"/>
    </row>
    <row r="5" spans="1:18" ht="12.75" customHeight="1">
      <c r="A5" s="3"/>
      <c r="B5" s="3"/>
      <c r="C5" s="6"/>
      <c r="D5" s="1"/>
      <c r="E5" s="1"/>
      <c r="F5" s="1"/>
      <c r="G5" s="1"/>
      <c r="H5" s="1"/>
      <c r="I5" s="1"/>
      <c r="J5" s="8"/>
      <c r="K5" s="7"/>
      <c r="L5" s="9"/>
      <c r="M5" s="1"/>
      <c r="N5" s="1"/>
      <c r="O5" s="1"/>
      <c r="P5" s="5"/>
      <c r="Q5" s="53"/>
      <c r="R5" s="62"/>
    </row>
    <row r="6" spans="1:18" ht="14.25" customHeight="1">
      <c r="A6" s="3"/>
      <c r="B6" s="3"/>
      <c r="C6" s="6"/>
      <c r="D6" s="1"/>
      <c r="E6" s="1"/>
      <c r="F6" s="10" t="s">
        <v>1</v>
      </c>
      <c r="G6" s="1"/>
      <c r="H6" s="1"/>
      <c r="I6" s="1"/>
      <c r="J6" s="1"/>
      <c r="K6" s="1"/>
      <c r="L6" s="1"/>
      <c r="M6" s="1"/>
      <c r="N6" s="1"/>
      <c r="O6" s="1"/>
      <c r="P6" s="5"/>
      <c r="Q6" s="53"/>
      <c r="R6" s="62"/>
    </row>
    <row r="7" spans="1:18" ht="31.5" customHeight="1">
      <c r="A7" s="3"/>
      <c r="B7" s="3"/>
      <c r="C7" s="6"/>
      <c r="D7" s="11"/>
      <c r="E7" s="11"/>
      <c r="F7" s="50" t="s">
        <v>2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3"/>
      <c r="R7" s="62"/>
    </row>
    <row r="8" spans="1:18" ht="11.25" customHeight="1">
      <c r="A8" s="1"/>
      <c r="B8" s="1"/>
      <c r="C8" s="1"/>
      <c r="D8" s="1"/>
      <c r="E8" s="1"/>
      <c r="F8" s="1"/>
      <c r="G8" s="2"/>
      <c r="H8" s="2"/>
      <c r="I8" s="1"/>
      <c r="J8" s="1"/>
      <c r="K8" s="1"/>
      <c r="L8" s="1"/>
      <c r="M8" s="1"/>
      <c r="N8" s="1"/>
      <c r="O8" s="1"/>
      <c r="P8" s="1"/>
      <c r="Q8" s="52"/>
      <c r="R8" s="61"/>
    </row>
    <row r="9" spans="1:18" ht="12" customHeight="1" thickBot="1">
      <c r="A9" s="12"/>
      <c r="B9" s="12"/>
      <c r="C9" s="12"/>
      <c r="D9" s="12"/>
      <c r="E9" s="12"/>
      <c r="F9" s="12"/>
      <c r="G9" s="13"/>
      <c r="H9" s="14"/>
      <c r="I9" s="12"/>
      <c r="J9" s="12"/>
      <c r="K9" s="12"/>
      <c r="L9" s="12"/>
      <c r="M9" s="12"/>
      <c r="N9" s="12"/>
      <c r="O9" s="12"/>
      <c r="P9" s="12"/>
      <c r="Q9" s="54"/>
      <c r="R9" s="63"/>
    </row>
    <row r="10" spans="1:18" ht="39.75" customHeight="1" thickBot="1">
      <c r="A10" s="15" t="s">
        <v>3</v>
      </c>
      <c r="B10" s="15" t="s">
        <v>4</v>
      </c>
      <c r="C10" s="48" t="s">
        <v>5</v>
      </c>
      <c r="D10" s="15" t="s">
        <v>6</v>
      </c>
      <c r="E10" s="15" t="s">
        <v>7</v>
      </c>
      <c r="F10" s="15" t="s">
        <v>8</v>
      </c>
      <c r="G10" s="16" t="s">
        <v>9</v>
      </c>
      <c r="H10" s="17" t="s">
        <v>10</v>
      </c>
      <c r="I10" s="15" t="s">
        <v>11</v>
      </c>
      <c r="J10" s="16" t="s">
        <v>12</v>
      </c>
      <c r="K10" s="15" t="s">
        <v>13</v>
      </c>
      <c r="L10" s="15" t="s">
        <v>14</v>
      </c>
      <c r="M10" s="15" t="s">
        <v>15</v>
      </c>
      <c r="N10" s="15" t="s">
        <v>16</v>
      </c>
      <c r="O10" s="15" t="s">
        <v>17</v>
      </c>
      <c r="P10" s="16" t="s">
        <v>2256</v>
      </c>
      <c r="Q10" s="55" t="s">
        <v>2254</v>
      </c>
      <c r="R10" s="64" t="s">
        <v>2255</v>
      </c>
    </row>
    <row r="11" spans="1:18" ht="12.75" customHeight="1" thickBot="1">
      <c r="A11" s="18"/>
      <c r="B11" s="18"/>
      <c r="C11" s="18"/>
      <c r="D11" s="19"/>
      <c r="E11" s="20"/>
      <c r="F11" s="21" t="s">
        <v>18</v>
      </c>
      <c r="G11" s="22"/>
      <c r="H11" s="23"/>
      <c r="I11" s="20"/>
      <c r="J11" s="20"/>
      <c r="K11" s="20"/>
      <c r="L11" s="20"/>
      <c r="M11" s="20"/>
      <c r="N11" s="20"/>
      <c r="O11" s="20"/>
      <c r="P11" s="24"/>
      <c r="Q11" s="56"/>
      <c r="R11" s="65"/>
    </row>
    <row r="12" spans="1:18" ht="12.75" customHeight="1">
      <c r="A12" s="18"/>
      <c r="B12" s="18"/>
      <c r="C12" s="18"/>
      <c r="D12" s="19"/>
      <c r="E12" s="20"/>
      <c r="F12" s="21" t="s">
        <v>19</v>
      </c>
      <c r="G12" s="22"/>
      <c r="H12" s="23"/>
      <c r="I12" s="20"/>
      <c r="J12" s="20"/>
      <c r="K12" s="20"/>
      <c r="L12" s="20"/>
      <c r="M12" s="20"/>
      <c r="N12" s="20"/>
      <c r="O12" s="20"/>
      <c r="P12" s="24"/>
      <c r="Q12" s="56"/>
      <c r="R12" s="65"/>
    </row>
    <row r="13" spans="1:18" ht="21.75" customHeight="1">
      <c r="A13" s="25" t="s">
        <v>20</v>
      </c>
      <c r="B13" s="25" t="s">
        <v>21</v>
      </c>
      <c r="C13" s="49" t="str">
        <f>HYPERLINK("http://atberg.aha.ru/mir/chi-01.jpg")</f>
        <v>http://atberg.aha.ru/mir/chi-01.jpg</v>
      </c>
      <c r="D13" s="27"/>
      <c r="E13" s="25" t="s">
        <v>22</v>
      </c>
      <c r="F13" s="28" t="s">
        <v>23</v>
      </c>
      <c r="G13" s="25"/>
      <c r="H13" s="29"/>
      <c r="I13" s="30" t="s">
        <v>24</v>
      </c>
      <c r="J13" s="30">
        <v>1.5</v>
      </c>
      <c r="K13" s="25" t="s">
        <v>25</v>
      </c>
      <c r="L13" s="31" t="s">
        <v>26</v>
      </c>
      <c r="M13" s="25" t="s">
        <v>27</v>
      </c>
      <c r="N13" s="32" t="s">
        <v>28</v>
      </c>
      <c r="O13" s="32" t="s">
        <v>29</v>
      </c>
      <c r="P13" s="51">
        <v>18.333333333333336</v>
      </c>
      <c r="Q13" s="57">
        <v>9785978014945</v>
      </c>
      <c r="R13" s="66">
        <v>0.03</v>
      </c>
    </row>
    <row r="14" spans="1:18" ht="21.75" customHeight="1">
      <c r="A14" s="25" t="s">
        <v>30</v>
      </c>
      <c r="B14" s="25" t="s">
        <v>31</v>
      </c>
      <c r="C14" s="49" t="str">
        <f>HYPERLINK("http://atberg.aha.ru/mir/chi01.jpg")</f>
        <v>http://atberg.aha.ru/mir/chi01.jpg</v>
      </c>
      <c r="D14" s="27"/>
      <c r="E14" s="25" t="s">
        <v>32</v>
      </c>
      <c r="F14" s="28" t="s">
        <v>33</v>
      </c>
      <c r="G14" s="25"/>
      <c r="H14" s="29"/>
      <c r="I14" s="30" t="s">
        <v>24</v>
      </c>
      <c r="J14" s="30">
        <v>1.5</v>
      </c>
      <c r="K14" s="25" t="s">
        <v>25</v>
      </c>
      <c r="L14" s="31" t="s">
        <v>26</v>
      </c>
      <c r="M14" s="25" t="s">
        <v>27</v>
      </c>
      <c r="N14" s="32" t="s">
        <v>28</v>
      </c>
      <c r="O14" s="32" t="s">
        <v>29</v>
      </c>
      <c r="P14" s="51">
        <v>18.333333333333336</v>
      </c>
      <c r="Q14" s="57">
        <v>9785978014952</v>
      </c>
      <c r="R14" s="66">
        <v>0.03</v>
      </c>
    </row>
    <row r="15" spans="1:18" ht="21.75" customHeight="1">
      <c r="A15" s="25" t="s">
        <v>34</v>
      </c>
      <c r="B15" s="25" t="s">
        <v>35</v>
      </c>
      <c r="C15" s="49" t="str">
        <f>HYPERLINK("http://atberg.aha.ru/mir/chi07.jpg")</f>
        <v>http://atberg.aha.ru/mir/chi07.jpg</v>
      </c>
      <c r="D15" s="27"/>
      <c r="E15" s="25" t="s">
        <v>36</v>
      </c>
      <c r="F15" s="28" t="s">
        <v>37</v>
      </c>
      <c r="G15" s="25"/>
      <c r="H15" s="29"/>
      <c r="I15" s="30" t="s">
        <v>24</v>
      </c>
      <c r="J15" s="30">
        <v>1.5</v>
      </c>
      <c r="K15" s="25" t="s">
        <v>25</v>
      </c>
      <c r="L15" s="31" t="s">
        <v>26</v>
      </c>
      <c r="M15" s="25" t="s">
        <v>27</v>
      </c>
      <c r="N15" s="32" t="s">
        <v>28</v>
      </c>
      <c r="O15" s="32" t="s">
        <v>29</v>
      </c>
      <c r="P15" s="51">
        <v>18.333333333333336</v>
      </c>
      <c r="Q15" s="57">
        <v>9785978014969</v>
      </c>
      <c r="R15" s="66">
        <v>0.03</v>
      </c>
    </row>
    <row r="16" spans="1:18" ht="21.75" customHeight="1">
      <c r="A16" s="25" t="s">
        <v>38</v>
      </c>
      <c r="B16" s="25" t="s">
        <v>39</v>
      </c>
      <c r="C16" s="49" t="str">
        <f>HYPERLINK("http://atberg.aha.ru/mir/chi-03.jpg")</f>
        <v>http://atberg.aha.ru/mir/chi-03.jpg</v>
      </c>
      <c r="D16" s="27"/>
      <c r="E16" s="25" t="s">
        <v>40</v>
      </c>
      <c r="F16" s="28" t="s">
        <v>41</v>
      </c>
      <c r="G16" s="25"/>
      <c r="H16" s="29"/>
      <c r="I16" s="30" t="s">
        <v>24</v>
      </c>
      <c r="J16" s="30">
        <v>1.5</v>
      </c>
      <c r="K16" s="25" t="s">
        <v>25</v>
      </c>
      <c r="L16" s="31" t="s">
        <v>26</v>
      </c>
      <c r="M16" s="25" t="s">
        <v>27</v>
      </c>
      <c r="N16" s="32" t="s">
        <v>28</v>
      </c>
      <c r="O16" s="32" t="s">
        <v>29</v>
      </c>
      <c r="P16" s="51">
        <v>18.333333333333336</v>
      </c>
      <c r="Q16" s="57">
        <v>9785978014976</v>
      </c>
      <c r="R16" s="66">
        <v>0.03</v>
      </c>
    </row>
    <row r="17" spans="1:18" ht="21.75" customHeight="1">
      <c r="A17" s="25" t="s">
        <v>42</v>
      </c>
      <c r="B17" s="25" t="s">
        <v>43</v>
      </c>
      <c r="C17" s="49" t="str">
        <f>HYPERLINK("http://atberg.aha.ru/mir/chi03.jpg")</f>
        <v>http://atberg.aha.ru/mir/chi03.jpg</v>
      </c>
      <c r="D17" s="27"/>
      <c r="E17" s="25" t="s">
        <v>44</v>
      </c>
      <c r="F17" s="28" t="s">
        <v>45</v>
      </c>
      <c r="G17" s="25"/>
      <c r="H17" s="29"/>
      <c r="I17" s="30" t="s">
        <v>24</v>
      </c>
      <c r="J17" s="30">
        <v>1.5</v>
      </c>
      <c r="K17" s="25" t="s">
        <v>25</v>
      </c>
      <c r="L17" s="31" t="s">
        <v>26</v>
      </c>
      <c r="M17" s="25" t="s">
        <v>27</v>
      </c>
      <c r="N17" s="32" t="s">
        <v>28</v>
      </c>
      <c r="O17" s="32" t="s">
        <v>29</v>
      </c>
      <c r="P17" s="51">
        <v>18.333333333333336</v>
      </c>
      <c r="Q17" s="57">
        <v>9785978014983</v>
      </c>
      <c r="R17" s="66">
        <v>0.03</v>
      </c>
    </row>
    <row r="18" spans="1:18" ht="21.75" customHeight="1">
      <c r="A18" s="25" t="s">
        <v>46</v>
      </c>
      <c r="B18" s="25" t="s">
        <v>47</v>
      </c>
      <c r="C18" s="49" t="str">
        <f>HYPERLINK("http://atberg.aha.ru/mir/chi03.jpg")</f>
        <v>http://atberg.aha.ru/mir/chi03.jpg</v>
      </c>
      <c r="D18" s="27"/>
      <c r="E18" s="25" t="s">
        <v>48</v>
      </c>
      <c r="F18" s="28" t="s">
        <v>49</v>
      </c>
      <c r="G18" s="25"/>
      <c r="H18" s="29"/>
      <c r="I18" s="30" t="s">
        <v>24</v>
      </c>
      <c r="J18" s="30">
        <v>1.5</v>
      </c>
      <c r="K18" s="25" t="s">
        <v>25</v>
      </c>
      <c r="L18" s="31" t="s">
        <v>26</v>
      </c>
      <c r="M18" s="25" t="s">
        <v>27</v>
      </c>
      <c r="N18" s="32" t="s">
        <v>28</v>
      </c>
      <c r="O18" s="32" t="s">
        <v>29</v>
      </c>
      <c r="P18" s="51">
        <v>18.333333333333336</v>
      </c>
      <c r="Q18" s="57">
        <v>9785978014990</v>
      </c>
      <c r="R18" s="66">
        <v>0.03</v>
      </c>
    </row>
    <row r="19" spans="1:18" ht="21.75" customHeight="1">
      <c r="A19" s="25" t="s">
        <v>50</v>
      </c>
      <c r="B19" s="25" t="s">
        <v>51</v>
      </c>
      <c r="C19" s="49" t="str">
        <f>HYPERLINK("http://atberg.aha.ru/mir/chi04.jpg")</f>
        <v>http://atberg.aha.ru/mir/chi04.jpg</v>
      </c>
      <c r="D19" s="27"/>
      <c r="E19" s="25" t="s">
        <v>52</v>
      </c>
      <c r="F19" s="28" t="s">
        <v>53</v>
      </c>
      <c r="G19" s="25"/>
      <c r="H19" s="29"/>
      <c r="I19" s="30" t="s">
        <v>24</v>
      </c>
      <c r="J19" s="30">
        <v>1.5</v>
      </c>
      <c r="K19" s="25" t="s">
        <v>25</v>
      </c>
      <c r="L19" s="31" t="s">
        <v>26</v>
      </c>
      <c r="M19" s="25" t="s">
        <v>27</v>
      </c>
      <c r="N19" s="32" t="s">
        <v>28</v>
      </c>
      <c r="O19" s="32" t="s">
        <v>29</v>
      </c>
      <c r="P19" s="51">
        <v>18.333333333333336</v>
      </c>
      <c r="Q19" s="57">
        <v>9785978015003</v>
      </c>
      <c r="R19" s="66">
        <v>0.03</v>
      </c>
    </row>
    <row r="20" spans="1:18" ht="24.75" customHeight="1" thickBot="1">
      <c r="A20" s="25" t="s">
        <v>54</v>
      </c>
      <c r="B20" s="25" t="s">
        <v>55</v>
      </c>
      <c r="C20" s="49" t="str">
        <f>HYPERLINK("http://atberg.aha.ru/mir/chi06.jpg")</f>
        <v>http://atberg.aha.ru/mir/chi06.jpg</v>
      </c>
      <c r="D20" s="27"/>
      <c r="E20" s="25" t="s">
        <v>56</v>
      </c>
      <c r="F20" s="28" t="s">
        <v>57</v>
      </c>
      <c r="G20" s="25"/>
      <c r="H20" s="29"/>
      <c r="I20" s="30" t="s">
        <v>24</v>
      </c>
      <c r="J20" s="30">
        <v>1.5</v>
      </c>
      <c r="K20" s="25" t="s">
        <v>25</v>
      </c>
      <c r="L20" s="31" t="s">
        <v>26</v>
      </c>
      <c r="M20" s="25" t="s">
        <v>27</v>
      </c>
      <c r="N20" s="32" t="s">
        <v>28</v>
      </c>
      <c r="O20" s="32" t="s">
        <v>29</v>
      </c>
      <c r="P20" s="51">
        <v>18.333333333333336</v>
      </c>
      <c r="Q20" s="57">
        <v>9785978015010</v>
      </c>
      <c r="R20" s="66">
        <v>0.03</v>
      </c>
    </row>
    <row r="21" spans="1:18" ht="12.75" customHeight="1" thickBot="1">
      <c r="A21" s="18"/>
      <c r="B21" s="18"/>
      <c r="C21" s="18"/>
      <c r="D21" s="19"/>
      <c r="E21" s="20"/>
      <c r="F21" s="21" t="s">
        <v>58</v>
      </c>
      <c r="G21" s="22"/>
      <c r="H21" s="23"/>
      <c r="I21" s="20"/>
      <c r="J21" s="20"/>
      <c r="K21" s="20"/>
      <c r="L21" s="20"/>
      <c r="M21" s="20"/>
      <c r="N21" s="20"/>
      <c r="O21" s="20"/>
      <c r="P21" s="24"/>
      <c r="Q21" s="56"/>
      <c r="R21" s="66"/>
    </row>
    <row r="22" spans="1:18" ht="12.75" customHeight="1">
      <c r="A22" s="18"/>
      <c r="B22" s="18"/>
      <c r="C22" s="18"/>
      <c r="D22" s="19"/>
      <c r="E22" s="20"/>
      <c r="F22" s="21" t="s">
        <v>59</v>
      </c>
      <c r="G22" s="22"/>
      <c r="H22" s="23"/>
      <c r="I22" s="20"/>
      <c r="J22" s="20"/>
      <c r="K22" s="20"/>
      <c r="L22" s="20"/>
      <c r="M22" s="20"/>
      <c r="N22" s="20"/>
      <c r="O22" s="20"/>
      <c r="P22" s="24"/>
      <c r="Q22" s="56"/>
      <c r="R22" s="66"/>
    </row>
    <row r="23" spans="1:18" ht="21.75" customHeight="1">
      <c r="A23" s="25" t="s">
        <v>60</v>
      </c>
      <c r="B23" s="25" t="s">
        <v>61</v>
      </c>
      <c r="C23" s="49" t="str">
        <f>HYPERLINK("http://www.atberg.aha.ru/samovar/bukvar.gif")</f>
        <v>http://www.atberg.aha.ru/samovar/bukvar.gif</v>
      </c>
      <c r="D23" s="27" t="s">
        <v>62</v>
      </c>
      <c r="E23" s="25" t="s">
        <v>63</v>
      </c>
      <c r="F23" s="28" t="s">
        <v>64</v>
      </c>
      <c r="G23" s="25"/>
      <c r="H23" s="29"/>
      <c r="I23" s="30" t="s">
        <v>65</v>
      </c>
      <c r="J23" s="30">
        <v>4.86</v>
      </c>
      <c r="K23" s="25" t="s">
        <v>66</v>
      </c>
      <c r="L23" s="31" t="s">
        <v>67</v>
      </c>
      <c r="M23" s="25" t="s">
        <v>68</v>
      </c>
      <c r="N23" s="32" t="s">
        <v>69</v>
      </c>
      <c r="O23" s="32" t="s">
        <v>70</v>
      </c>
      <c r="P23" s="51">
        <v>203.31666666666666</v>
      </c>
      <c r="Q23" s="57">
        <v>9785978109665</v>
      </c>
      <c r="R23" s="66">
        <v>0.48600000000000004</v>
      </c>
    </row>
    <row r="24" spans="1:18" ht="32.25" customHeight="1">
      <c r="A24" s="25" t="s">
        <v>71</v>
      </c>
      <c r="B24" s="25" t="s">
        <v>72</v>
      </c>
      <c r="C24" s="49" t="str">
        <f>HYPERLINK("http://www.atberg.aha.ru/samovar/vpodbarto.gif")</f>
        <v>http://www.atberg.aha.ru/samovar/vpodbarto.gif</v>
      </c>
      <c r="D24" s="27" t="s">
        <v>73</v>
      </c>
      <c r="E24" s="25" t="s">
        <v>74</v>
      </c>
      <c r="F24" s="28" t="s">
        <v>75</v>
      </c>
      <c r="G24" s="25"/>
      <c r="H24" s="29"/>
      <c r="I24" s="30" t="s">
        <v>65</v>
      </c>
      <c r="J24" s="30">
        <v>4.5</v>
      </c>
      <c r="K24" s="25" t="s">
        <v>66</v>
      </c>
      <c r="L24" s="31" t="s">
        <v>67</v>
      </c>
      <c r="M24" s="25" t="s">
        <v>76</v>
      </c>
      <c r="N24" s="32" t="s">
        <v>69</v>
      </c>
      <c r="O24" s="32" t="s">
        <v>70</v>
      </c>
      <c r="P24" s="51">
        <v>203.31666666666666</v>
      </c>
      <c r="Q24" s="57">
        <v>9785978109672</v>
      </c>
      <c r="R24" s="66">
        <v>0.45</v>
      </c>
    </row>
    <row r="25" spans="1:18" ht="32.25" customHeight="1">
      <c r="A25" s="25" t="s">
        <v>77</v>
      </c>
      <c r="B25" s="25" t="s">
        <v>78</v>
      </c>
      <c r="C25" s="49" t="str">
        <f>HYPERLINK("http://www.atberg.aha.ru/samovar/vpodstich.gif")</f>
        <v>http://www.atberg.aha.ru/samovar/vpodstich.gif</v>
      </c>
      <c r="D25" s="27" t="s">
        <v>79</v>
      </c>
      <c r="E25" s="25" t="s">
        <v>80</v>
      </c>
      <c r="F25" s="28" t="s">
        <v>75</v>
      </c>
      <c r="G25" s="25"/>
      <c r="H25" s="29"/>
      <c r="I25" s="30" t="s">
        <v>65</v>
      </c>
      <c r="J25" s="30">
        <v>4.5</v>
      </c>
      <c r="K25" s="25" t="s">
        <v>66</v>
      </c>
      <c r="L25" s="31" t="s">
        <v>67</v>
      </c>
      <c r="M25" s="25" t="s">
        <v>76</v>
      </c>
      <c r="N25" s="32" t="s">
        <v>69</v>
      </c>
      <c r="O25" s="32" t="s">
        <v>70</v>
      </c>
      <c r="P25" s="51">
        <v>203.31666666666666</v>
      </c>
      <c r="Q25" s="57">
        <v>9785978109887</v>
      </c>
      <c r="R25" s="66">
        <v>0.45</v>
      </c>
    </row>
    <row r="26" spans="1:18" ht="21.75" customHeight="1">
      <c r="A26" s="25" t="s">
        <v>81</v>
      </c>
      <c r="B26" s="25" t="s">
        <v>82</v>
      </c>
      <c r="C26" s="49" t="str">
        <f>HYPERLINK("http://www.atberg.aha.ru/samovar/chuk.jpg")</f>
        <v>http://www.atberg.aha.ru/samovar/chuk.jpg</v>
      </c>
      <c r="D26" s="27" t="s">
        <v>79</v>
      </c>
      <c r="E26" s="25" t="s">
        <v>83</v>
      </c>
      <c r="F26" s="28" t="s">
        <v>84</v>
      </c>
      <c r="G26" s="25"/>
      <c r="H26" s="29"/>
      <c r="I26" s="30" t="s">
        <v>65</v>
      </c>
      <c r="J26" s="30">
        <v>5.09</v>
      </c>
      <c r="K26" s="25" t="s">
        <v>66</v>
      </c>
      <c r="L26" s="31" t="s">
        <v>67</v>
      </c>
      <c r="M26" s="25" t="s">
        <v>76</v>
      </c>
      <c r="N26" s="32" t="s">
        <v>69</v>
      </c>
      <c r="O26" s="32" t="s">
        <v>70</v>
      </c>
      <c r="P26" s="51">
        <v>203.31666666666666</v>
      </c>
      <c r="Q26" s="57">
        <v>9785978109023</v>
      </c>
      <c r="R26" s="66">
        <v>0.509</v>
      </c>
    </row>
    <row r="27" spans="1:18" ht="24.75" customHeight="1" thickBot="1">
      <c r="A27" s="33" t="s">
        <v>85</v>
      </c>
      <c r="B27" s="33" t="s">
        <v>86</v>
      </c>
      <c r="C27" s="49" t="str">
        <f>HYPERLINK("http://atberg.aha.ru/samovar/sam-kp06.jpg")</f>
        <v>http://atberg.aha.ru/samovar/sam-kp06.jpg</v>
      </c>
      <c r="D27" s="34" t="s">
        <v>87</v>
      </c>
      <c r="E27" s="33" t="s">
        <v>88</v>
      </c>
      <c r="F27" s="35" t="s">
        <v>89</v>
      </c>
      <c r="G27" s="33" t="s">
        <v>90</v>
      </c>
      <c r="H27" s="36"/>
      <c r="I27" s="37" t="s">
        <v>65</v>
      </c>
      <c r="J27" s="37">
        <v>5.25</v>
      </c>
      <c r="K27" s="33" t="s">
        <v>66</v>
      </c>
      <c r="L27" s="38" t="s">
        <v>67</v>
      </c>
      <c r="M27" s="33" t="s">
        <v>68</v>
      </c>
      <c r="N27" s="39" t="s">
        <v>69</v>
      </c>
      <c r="O27" s="39" t="s">
        <v>70</v>
      </c>
      <c r="P27" s="51">
        <v>288.2</v>
      </c>
      <c r="Q27" s="58">
        <v>9785978111736</v>
      </c>
      <c r="R27" s="66">
        <v>0.525</v>
      </c>
    </row>
    <row r="28" spans="1:18" ht="12.75" customHeight="1">
      <c r="A28" s="18"/>
      <c r="B28" s="18"/>
      <c r="C28" s="18"/>
      <c r="D28" s="19"/>
      <c r="E28" s="20"/>
      <c r="F28" s="21" t="s">
        <v>91</v>
      </c>
      <c r="G28" s="22"/>
      <c r="H28" s="23"/>
      <c r="I28" s="20"/>
      <c r="J28" s="20"/>
      <c r="K28" s="20"/>
      <c r="L28" s="20"/>
      <c r="M28" s="20"/>
      <c r="N28" s="20"/>
      <c r="O28" s="20"/>
      <c r="P28" s="24"/>
      <c r="Q28" s="56"/>
      <c r="R28" s="66"/>
    </row>
    <row r="29" spans="1:18" ht="32.25" customHeight="1">
      <c r="A29" s="25" t="s">
        <v>92</v>
      </c>
      <c r="B29" s="25" t="s">
        <v>93</v>
      </c>
      <c r="C29" s="49" t="str">
        <f>HYPERLINK("http://www.atberg.aha.ru/samovar/antoshkagotovkobedulozhku.gif")</f>
        <v>http://www.atberg.aha.ru/samovar/antoshkagotovkobedulozhku.gif</v>
      </c>
      <c r="D29" s="27" t="s">
        <v>94</v>
      </c>
      <c r="E29" s="25" t="s">
        <v>95</v>
      </c>
      <c r="F29" s="28" t="s">
        <v>96</v>
      </c>
      <c r="G29" s="25"/>
      <c r="H29" s="29"/>
      <c r="I29" s="30" t="s">
        <v>97</v>
      </c>
      <c r="J29" s="30">
        <v>4.04</v>
      </c>
      <c r="K29" s="25" t="s">
        <v>66</v>
      </c>
      <c r="L29" s="31" t="s">
        <v>98</v>
      </c>
      <c r="M29" s="25" t="s">
        <v>99</v>
      </c>
      <c r="N29" s="32" t="s">
        <v>69</v>
      </c>
      <c r="O29" s="32" t="s">
        <v>100</v>
      </c>
      <c r="P29" s="51">
        <v>177.83333333333334</v>
      </c>
      <c r="Q29" s="57">
        <v>9785978110944</v>
      </c>
      <c r="R29" s="66">
        <v>0.202</v>
      </c>
    </row>
    <row r="30" spans="1:18" ht="21.75" customHeight="1">
      <c r="A30" s="25" t="s">
        <v>101</v>
      </c>
      <c r="B30" s="25" t="s">
        <v>102</v>
      </c>
      <c r="C30" s="49" t="str">
        <f>HYPERLINK("http://www.atberg.aha.ru/samovar/klkak.gif")</f>
        <v>http://www.atberg.aha.ru/samovar/klkak.gif</v>
      </c>
      <c r="D30" s="27" t="s">
        <v>103</v>
      </c>
      <c r="E30" s="25" t="s">
        <v>104</v>
      </c>
      <c r="F30" s="28" t="s">
        <v>105</v>
      </c>
      <c r="G30" s="25"/>
      <c r="H30" s="29"/>
      <c r="I30" s="30" t="s">
        <v>97</v>
      </c>
      <c r="J30" s="30">
        <v>5.2</v>
      </c>
      <c r="K30" s="25" t="s">
        <v>66</v>
      </c>
      <c r="L30" s="31" t="s">
        <v>98</v>
      </c>
      <c r="M30" s="25" t="s">
        <v>99</v>
      </c>
      <c r="N30" s="32" t="s">
        <v>69</v>
      </c>
      <c r="O30" s="32" t="s">
        <v>106</v>
      </c>
      <c r="P30" s="51">
        <v>177.83333333333334</v>
      </c>
      <c r="Q30" s="57">
        <v>9785978110814</v>
      </c>
      <c r="R30" s="66">
        <v>0.26</v>
      </c>
    </row>
    <row r="31" spans="1:18" ht="32.25" customHeight="1">
      <c r="A31" s="25" t="s">
        <v>107</v>
      </c>
      <c r="B31" s="25" t="s">
        <v>108</v>
      </c>
      <c r="C31" s="49" t="str">
        <f>HYPERLINK("http://www.atberg.aha.ru/samovar/ktohoditvgostipoutram.gif")</f>
        <v>http://www.atberg.aha.ru/samovar/ktohoditvgostipoutram.gif</v>
      </c>
      <c r="D31" s="27" t="s">
        <v>109</v>
      </c>
      <c r="E31" s="25" t="s">
        <v>110</v>
      </c>
      <c r="F31" s="28" t="s">
        <v>111</v>
      </c>
      <c r="G31" s="25"/>
      <c r="H31" s="29"/>
      <c r="I31" s="30" t="s">
        <v>97</v>
      </c>
      <c r="J31" s="30">
        <v>5.14</v>
      </c>
      <c r="K31" s="25" t="s">
        <v>66</v>
      </c>
      <c r="L31" s="31" t="s">
        <v>98</v>
      </c>
      <c r="M31" s="25" t="s">
        <v>112</v>
      </c>
      <c r="N31" s="32" t="s">
        <v>69</v>
      </c>
      <c r="O31" s="32" t="s">
        <v>106</v>
      </c>
      <c r="P31" s="51">
        <v>177.83333333333334</v>
      </c>
      <c r="Q31" s="57">
        <v>9785978110999</v>
      </c>
      <c r="R31" s="66">
        <v>0.257</v>
      </c>
    </row>
    <row r="32" spans="1:18" ht="24.75" customHeight="1">
      <c r="A32" s="25" t="s">
        <v>113</v>
      </c>
      <c r="B32" s="25" t="s">
        <v>114</v>
      </c>
      <c r="C32" s="49" t="str">
        <f>HYPERLINK("http://atberg.aha.ru/samovar/sam-dk02.jpg")</f>
        <v>http://atberg.aha.ru/samovar/sam-dk02.jpg</v>
      </c>
      <c r="D32" s="27" t="s">
        <v>115</v>
      </c>
      <c r="E32" s="25" t="s">
        <v>116</v>
      </c>
      <c r="F32" s="28" t="s">
        <v>117</v>
      </c>
      <c r="G32" s="25"/>
      <c r="H32" s="29"/>
      <c r="I32" s="30" t="s">
        <v>97</v>
      </c>
      <c r="J32" s="30">
        <v>4.5</v>
      </c>
      <c r="K32" s="25" t="s">
        <v>66</v>
      </c>
      <c r="L32" s="31" t="s">
        <v>98</v>
      </c>
      <c r="M32" s="25" t="s">
        <v>68</v>
      </c>
      <c r="N32" s="32" t="s">
        <v>69</v>
      </c>
      <c r="O32" s="32" t="s">
        <v>106</v>
      </c>
      <c r="P32" s="51">
        <v>177.83333333333334</v>
      </c>
      <c r="Q32" s="57">
        <v>9785978109863</v>
      </c>
      <c r="R32" s="66">
        <v>0.225</v>
      </c>
    </row>
    <row r="33" spans="1:18" ht="32.25" customHeight="1">
      <c r="A33" s="25" t="s">
        <v>118</v>
      </c>
      <c r="B33" s="25" t="s">
        <v>119</v>
      </c>
      <c r="C33" s="49" t="str">
        <f>HYPERLINK("http://www.atberg.aha.ru/samovar/ulukomoryadubzelen.gif")</f>
        <v>http://www.atberg.aha.ru/samovar/ulukomoryadubzelen.gif</v>
      </c>
      <c r="D33" s="27" t="s">
        <v>87</v>
      </c>
      <c r="E33" s="25" t="s">
        <v>120</v>
      </c>
      <c r="F33" s="28" t="s">
        <v>121</v>
      </c>
      <c r="G33" s="25"/>
      <c r="H33" s="29"/>
      <c r="I33" s="30" t="s">
        <v>97</v>
      </c>
      <c r="J33" s="30">
        <v>5.4</v>
      </c>
      <c r="K33" s="25" t="s">
        <v>66</v>
      </c>
      <c r="L33" s="31" t="s">
        <v>98</v>
      </c>
      <c r="M33" s="25" t="s">
        <v>112</v>
      </c>
      <c r="N33" s="32" t="s">
        <v>69</v>
      </c>
      <c r="O33" s="32" t="s">
        <v>106</v>
      </c>
      <c r="P33" s="51">
        <v>177.83333333333334</v>
      </c>
      <c r="Q33" s="57">
        <v>9785978110104</v>
      </c>
      <c r="R33" s="66">
        <v>0.27</v>
      </c>
    </row>
    <row r="34" spans="1:18" ht="32.25" customHeight="1">
      <c r="A34" s="25" t="s">
        <v>122</v>
      </c>
      <c r="B34" s="25" t="s">
        <v>123</v>
      </c>
      <c r="C34" s="49" t="str">
        <f>HYPERLINK("http://www.atberg.aha.ru/samovar/umenyazazvoniltelef.gif")</f>
        <v>http://www.atberg.aha.ru/samovar/umenyazazvoniltelef.gif</v>
      </c>
      <c r="D34" s="27" t="s">
        <v>79</v>
      </c>
      <c r="E34" s="25" t="s">
        <v>124</v>
      </c>
      <c r="F34" s="28" t="s">
        <v>125</v>
      </c>
      <c r="G34" s="25"/>
      <c r="H34" s="29"/>
      <c r="I34" s="30" t="s">
        <v>97</v>
      </c>
      <c r="J34" s="30">
        <v>4.02</v>
      </c>
      <c r="K34" s="25" t="s">
        <v>66</v>
      </c>
      <c r="L34" s="31" t="s">
        <v>98</v>
      </c>
      <c r="M34" s="25" t="s">
        <v>126</v>
      </c>
      <c r="N34" s="32" t="s">
        <v>69</v>
      </c>
      <c r="O34" s="32" t="s">
        <v>106</v>
      </c>
      <c r="P34" s="51">
        <v>177.83333333333334</v>
      </c>
      <c r="Q34" s="57">
        <v>9785978109580</v>
      </c>
      <c r="R34" s="66">
        <v>0.20099999999999998</v>
      </c>
    </row>
    <row r="35" spans="1:18" ht="32.25" customHeight="1">
      <c r="A35" s="25" t="s">
        <v>127</v>
      </c>
      <c r="B35" s="25" t="s">
        <v>128</v>
      </c>
      <c r="C35" s="49" t="str">
        <f>HYPERLINK("http://www.atberg.aha.ru/samovar/uronilimishku.gif")</f>
        <v>http://www.atberg.aha.ru/samovar/uronilimishku.gif</v>
      </c>
      <c r="D35" s="27" t="s">
        <v>73</v>
      </c>
      <c r="E35" s="25" t="s">
        <v>129</v>
      </c>
      <c r="F35" s="28" t="s">
        <v>130</v>
      </c>
      <c r="G35" s="25"/>
      <c r="H35" s="29"/>
      <c r="I35" s="30" t="s">
        <v>97</v>
      </c>
      <c r="J35" s="30">
        <v>5.2</v>
      </c>
      <c r="K35" s="25" t="s">
        <v>66</v>
      </c>
      <c r="L35" s="31" t="s">
        <v>98</v>
      </c>
      <c r="M35" s="25" t="s">
        <v>126</v>
      </c>
      <c r="N35" s="32" t="s">
        <v>69</v>
      </c>
      <c r="O35" s="32" t="s">
        <v>106</v>
      </c>
      <c r="P35" s="51">
        <v>177.83333333333334</v>
      </c>
      <c r="Q35" s="57">
        <v>9785978109177</v>
      </c>
      <c r="R35" s="66">
        <v>0.26</v>
      </c>
    </row>
    <row r="36" spans="1:18" ht="48.75" customHeight="1">
      <c r="A36" s="25" t="s">
        <v>131</v>
      </c>
      <c r="B36" s="25" t="s">
        <v>132</v>
      </c>
      <c r="C36" s="49" t="str">
        <f>HYPERLINK("http://atberg.aha.ru/samovar/sam-dk04.gif")</f>
        <v>http://atberg.aha.ru/samovar/sam-dk04.gif</v>
      </c>
      <c r="D36" s="27" t="s">
        <v>133</v>
      </c>
      <c r="E36" s="25" t="s">
        <v>134</v>
      </c>
      <c r="F36" s="28" t="s">
        <v>135</v>
      </c>
      <c r="G36" s="25"/>
      <c r="H36" s="29"/>
      <c r="I36" s="30" t="s">
        <v>97</v>
      </c>
      <c r="J36" s="30">
        <v>4.7</v>
      </c>
      <c r="K36" s="25" t="s">
        <v>66</v>
      </c>
      <c r="L36" s="31" t="s">
        <v>98</v>
      </c>
      <c r="M36" s="25" t="s">
        <v>68</v>
      </c>
      <c r="N36" s="32" t="s">
        <v>69</v>
      </c>
      <c r="O36" s="32" t="s">
        <v>136</v>
      </c>
      <c r="P36" s="51">
        <v>177.83333333333334</v>
      </c>
      <c r="Q36" s="57">
        <v>9785978111347</v>
      </c>
      <c r="R36" s="66">
        <v>0.23500000000000001</v>
      </c>
    </row>
    <row r="37" spans="1:18" ht="32.25" customHeight="1" thickBot="1">
      <c r="A37" s="25" t="s">
        <v>137</v>
      </c>
      <c r="B37" s="25" t="s">
        <v>138</v>
      </c>
      <c r="C37" s="49" t="str">
        <f>HYPERLINK("http://www.atberg.aha.ru/samovar/yanasolnlezhu.gif")</f>
        <v>http://www.atberg.aha.ru/samovar/yanasolnlezhu.gif</v>
      </c>
      <c r="D37" s="27" t="s">
        <v>139</v>
      </c>
      <c r="E37" s="25" t="s">
        <v>140</v>
      </c>
      <c r="F37" s="28" t="s">
        <v>141</v>
      </c>
      <c r="G37" s="25"/>
      <c r="H37" s="29"/>
      <c r="I37" s="30" t="s">
        <v>97</v>
      </c>
      <c r="J37" s="30">
        <v>3.66</v>
      </c>
      <c r="K37" s="25" t="s">
        <v>66</v>
      </c>
      <c r="L37" s="31" t="s">
        <v>98</v>
      </c>
      <c r="M37" s="25" t="s">
        <v>142</v>
      </c>
      <c r="N37" s="32" t="s">
        <v>69</v>
      </c>
      <c r="O37" s="32" t="s">
        <v>106</v>
      </c>
      <c r="P37" s="51">
        <v>177.83333333333334</v>
      </c>
      <c r="Q37" s="57">
        <v>9785978111149</v>
      </c>
      <c r="R37" s="66">
        <v>0.183</v>
      </c>
    </row>
    <row r="38" spans="1:18" ht="12.75" customHeight="1">
      <c r="A38" s="18"/>
      <c r="B38" s="18"/>
      <c r="C38" s="18"/>
      <c r="D38" s="19"/>
      <c r="E38" s="20"/>
      <c r="F38" s="21" t="s">
        <v>143</v>
      </c>
      <c r="G38" s="22"/>
      <c r="H38" s="23"/>
      <c r="I38" s="20"/>
      <c r="J38" s="20"/>
      <c r="K38" s="20"/>
      <c r="L38" s="20"/>
      <c r="M38" s="20"/>
      <c r="N38" s="20"/>
      <c r="O38" s="20"/>
      <c r="P38" s="24"/>
      <c r="Q38" s="56"/>
      <c r="R38" s="66"/>
    </row>
    <row r="39" spans="1:18" ht="21.75" customHeight="1">
      <c r="A39" s="25" t="s">
        <v>144</v>
      </c>
      <c r="B39" s="25" t="s">
        <v>145</v>
      </c>
      <c r="C39" s="49" t="str">
        <f>HYPERLINK("http://atberg.aha.ru/samovar/kdk01.jpg")</f>
        <v>http://atberg.aha.ru/samovar/kdk01.jpg</v>
      </c>
      <c r="D39" s="27" t="s">
        <v>115</v>
      </c>
      <c r="E39" s="25" t="s">
        <v>146</v>
      </c>
      <c r="F39" s="28" t="s">
        <v>147</v>
      </c>
      <c r="G39" s="25"/>
      <c r="H39" s="29"/>
      <c r="I39" s="30" t="s">
        <v>97</v>
      </c>
      <c r="J39" s="30">
        <v>5.82</v>
      </c>
      <c r="K39" s="25" t="s">
        <v>66</v>
      </c>
      <c r="L39" s="31" t="s">
        <v>148</v>
      </c>
      <c r="M39" s="25" t="s">
        <v>149</v>
      </c>
      <c r="N39" s="32" t="s">
        <v>69</v>
      </c>
      <c r="O39" s="32" t="s">
        <v>150</v>
      </c>
      <c r="P39" s="51">
        <v>195.0666666666667</v>
      </c>
      <c r="Q39" s="57">
        <v>9785978111569</v>
      </c>
      <c r="R39" s="66">
        <v>0.29100000000000004</v>
      </c>
    </row>
    <row r="40" spans="1:18" ht="21.75" customHeight="1">
      <c r="A40" s="25" t="s">
        <v>151</v>
      </c>
      <c r="B40" s="25" t="s">
        <v>152</v>
      </c>
      <c r="C40" s="49" t="str">
        <f>HYPERLINK("http://atberg.aha.ru/samovar/kdk02.jpg")</f>
        <v>http://atberg.aha.ru/samovar/kdk02.jpg</v>
      </c>
      <c r="D40" s="27" t="s">
        <v>115</v>
      </c>
      <c r="E40" s="25" t="s">
        <v>153</v>
      </c>
      <c r="F40" s="28" t="s">
        <v>154</v>
      </c>
      <c r="G40" s="25"/>
      <c r="H40" s="29"/>
      <c r="I40" s="30" t="s">
        <v>97</v>
      </c>
      <c r="J40" s="30">
        <v>5.82</v>
      </c>
      <c r="K40" s="25" t="s">
        <v>66</v>
      </c>
      <c r="L40" s="31" t="s">
        <v>148</v>
      </c>
      <c r="M40" s="25" t="s">
        <v>149</v>
      </c>
      <c r="N40" s="32" t="s">
        <v>69</v>
      </c>
      <c r="O40" s="32" t="s">
        <v>150</v>
      </c>
      <c r="P40" s="51">
        <v>195.0666666666667</v>
      </c>
      <c r="Q40" s="57">
        <v>9785978111583</v>
      </c>
      <c r="R40" s="66">
        <v>0.29100000000000004</v>
      </c>
    </row>
    <row r="41" spans="1:18" ht="21.75" customHeight="1">
      <c r="A41" s="25" t="s">
        <v>155</v>
      </c>
      <c r="B41" s="25" t="s">
        <v>156</v>
      </c>
      <c r="C41" s="49" t="str">
        <f>HYPERLINK("http://atberg.aha.ru/samovar/kdk03.jpg")</f>
        <v>http://atberg.aha.ru/samovar/kdk03.jpg</v>
      </c>
      <c r="D41" s="27" t="s">
        <v>115</v>
      </c>
      <c r="E41" s="25" t="s">
        <v>157</v>
      </c>
      <c r="F41" s="28" t="s">
        <v>158</v>
      </c>
      <c r="G41" s="25"/>
      <c r="H41" s="29"/>
      <c r="I41" s="30" t="s">
        <v>97</v>
      </c>
      <c r="J41" s="30">
        <v>6.145</v>
      </c>
      <c r="K41" s="25" t="s">
        <v>66</v>
      </c>
      <c r="L41" s="31" t="s">
        <v>148</v>
      </c>
      <c r="M41" s="25" t="s">
        <v>149</v>
      </c>
      <c r="N41" s="32" t="s">
        <v>69</v>
      </c>
      <c r="O41" s="32" t="s">
        <v>150</v>
      </c>
      <c r="P41" s="51">
        <v>195.0666666666667</v>
      </c>
      <c r="Q41" s="57">
        <v>9785978111576</v>
      </c>
      <c r="R41" s="66">
        <v>0.30724999999999997</v>
      </c>
    </row>
    <row r="42" spans="1:18" ht="21.75" customHeight="1">
      <c r="A42" s="25" t="s">
        <v>159</v>
      </c>
      <c r="B42" s="25" t="s">
        <v>160</v>
      </c>
      <c r="C42" s="49" t="str">
        <f>HYPERLINK("http://atberg.aha.ru/samovar/kdk06.jpg")</f>
        <v>http://atberg.aha.ru/samovar/kdk06.jpg</v>
      </c>
      <c r="D42" s="27" t="s">
        <v>115</v>
      </c>
      <c r="E42" s="25" t="s">
        <v>161</v>
      </c>
      <c r="F42" s="28" t="s">
        <v>162</v>
      </c>
      <c r="G42" s="25"/>
      <c r="H42" s="29"/>
      <c r="I42" s="30" t="s">
        <v>97</v>
      </c>
      <c r="J42" s="30">
        <v>5.82</v>
      </c>
      <c r="K42" s="25" t="s">
        <v>66</v>
      </c>
      <c r="L42" s="31" t="s">
        <v>148</v>
      </c>
      <c r="M42" s="25" t="s">
        <v>149</v>
      </c>
      <c r="N42" s="32" t="s">
        <v>69</v>
      </c>
      <c r="O42" s="32" t="s">
        <v>163</v>
      </c>
      <c r="P42" s="51">
        <v>195.0666666666667</v>
      </c>
      <c r="Q42" s="57">
        <v>9785978111613</v>
      </c>
      <c r="R42" s="66">
        <v>0.29100000000000004</v>
      </c>
    </row>
    <row r="43" spans="1:18" ht="21.75" customHeight="1">
      <c r="A43" s="25" t="s">
        <v>164</v>
      </c>
      <c r="B43" s="25" t="s">
        <v>165</v>
      </c>
      <c r="C43" s="49" t="str">
        <f>HYPERLINK("http://atberg.aha.ru/samovar/kdk05.jpg")</f>
        <v>http://atberg.aha.ru/samovar/kdk05.jpg</v>
      </c>
      <c r="D43" s="27" t="s">
        <v>115</v>
      </c>
      <c r="E43" s="25" t="s">
        <v>166</v>
      </c>
      <c r="F43" s="28" t="s">
        <v>167</v>
      </c>
      <c r="G43" s="25"/>
      <c r="H43" s="29"/>
      <c r="I43" s="30" t="s">
        <v>97</v>
      </c>
      <c r="J43" s="30">
        <v>6.07</v>
      </c>
      <c r="K43" s="25" t="s">
        <v>66</v>
      </c>
      <c r="L43" s="31" t="s">
        <v>148</v>
      </c>
      <c r="M43" s="25" t="s">
        <v>149</v>
      </c>
      <c r="N43" s="32" t="s">
        <v>69</v>
      </c>
      <c r="O43" s="32" t="s">
        <v>163</v>
      </c>
      <c r="P43" s="51">
        <v>195.0666666666667</v>
      </c>
      <c r="Q43" s="57">
        <v>9785978111606</v>
      </c>
      <c r="R43" s="66">
        <v>0.3035</v>
      </c>
    </row>
    <row r="44" spans="1:18" ht="21.75" customHeight="1" thickBot="1">
      <c r="A44" s="25" t="s">
        <v>168</v>
      </c>
      <c r="B44" s="25" t="s">
        <v>169</v>
      </c>
      <c r="C44" s="49" t="str">
        <f>HYPERLINK("http://atberg.aha.ru/samovar/kdk04.jpg")</f>
        <v>http://atberg.aha.ru/samovar/kdk04.jpg</v>
      </c>
      <c r="D44" s="27" t="s">
        <v>115</v>
      </c>
      <c r="E44" s="25" t="s">
        <v>170</v>
      </c>
      <c r="F44" s="28" t="s">
        <v>171</v>
      </c>
      <c r="G44" s="25"/>
      <c r="H44" s="29"/>
      <c r="I44" s="30" t="s">
        <v>97</v>
      </c>
      <c r="J44" s="30">
        <v>6.22</v>
      </c>
      <c r="K44" s="25" t="s">
        <v>66</v>
      </c>
      <c r="L44" s="31" t="s">
        <v>148</v>
      </c>
      <c r="M44" s="25" t="s">
        <v>149</v>
      </c>
      <c r="N44" s="32" t="s">
        <v>69</v>
      </c>
      <c r="O44" s="32" t="s">
        <v>163</v>
      </c>
      <c r="P44" s="51">
        <v>195.0666666666667</v>
      </c>
      <c r="Q44" s="57">
        <v>9785978111590</v>
      </c>
      <c r="R44" s="66">
        <v>0.311</v>
      </c>
    </row>
    <row r="45" spans="1:18" ht="12.75" customHeight="1">
      <c r="A45" s="18"/>
      <c r="B45" s="18"/>
      <c r="C45" s="18"/>
      <c r="D45" s="19"/>
      <c r="E45" s="20"/>
      <c r="F45" s="21" t="s">
        <v>172</v>
      </c>
      <c r="G45" s="22"/>
      <c r="H45" s="23"/>
      <c r="I45" s="20"/>
      <c r="J45" s="20"/>
      <c r="K45" s="20"/>
      <c r="L45" s="20"/>
      <c r="M45" s="20"/>
      <c r="N45" s="20"/>
      <c r="O45" s="20"/>
      <c r="P45" s="24"/>
      <c r="Q45" s="56"/>
      <c r="R45" s="66"/>
    </row>
    <row r="46" spans="1:18" ht="21.75" customHeight="1">
      <c r="A46" s="25" t="s">
        <v>173</v>
      </c>
      <c r="B46" s="25" t="s">
        <v>174</v>
      </c>
      <c r="C46" s="49" t="str">
        <f>HYPERLINK("http://atberg.aha.ru/samovar/sam-bds06.jpg")</f>
        <v>http://atberg.aha.ru/samovar/sam-bds06.jpg</v>
      </c>
      <c r="D46" s="27" t="s">
        <v>73</v>
      </c>
      <c r="E46" s="25" t="s">
        <v>175</v>
      </c>
      <c r="F46" s="28" t="s">
        <v>176</v>
      </c>
      <c r="G46" s="25"/>
      <c r="H46" s="29"/>
      <c r="I46" s="30" t="s">
        <v>97</v>
      </c>
      <c r="J46" s="30">
        <v>6.685</v>
      </c>
      <c r="K46" s="25" t="s">
        <v>66</v>
      </c>
      <c r="L46" s="31" t="s">
        <v>98</v>
      </c>
      <c r="M46" s="25" t="s">
        <v>149</v>
      </c>
      <c r="N46" s="32" t="s">
        <v>69</v>
      </c>
      <c r="O46" s="32" t="s">
        <v>177</v>
      </c>
      <c r="P46" s="51">
        <v>214.5</v>
      </c>
      <c r="Q46" s="57">
        <v>9785978110623</v>
      </c>
      <c r="R46" s="66">
        <v>0.33425</v>
      </c>
    </row>
    <row r="47" spans="1:18" ht="36.75" customHeight="1">
      <c r="A47" s="25" t="s">
        <v>178</v>
      </c>
      <c r="B47" s="25" t="s">
        <v>179</v>
      </c>
      <c r="C47" s="49" t="str">
        <f>HYPERLINK("http://atberg.aha.ru/samovar/sam-bds05.jpg")</f>
        <v>http://atberg.aha.ru/samovar/sam-bds05.jpg</v>
      </c>
      <c r="D47" s="27" t="s">
        <v>62</v>
      </c>
      <c r="E47" s="25" t="s">
        <v>180</v>
      </c>
      <c r="F47" s="28" t="s">
        <v>181</v>
      </c>
      <c r="G47" s="25"/>
      <c r="H47" s="29"/>
      <c r="I47" s="30" t="s">
        <v>97</v>
      </c>
      <c r="J47" s="30">
        <v>6.685</v>
      </c>
      <c r="K47" s="25" t="s">
        <v>66</v>
      </c>
      <c r="L47" s="31" t="s">
        <v>98</v>
      </c>
      <c r="M47" s="25" t="s">
        <v>149</v>
      </c>
      <c r="N47" s="32" t="s">
        <v>69</v>
      </c>
      <c r="O47" s="32" t="s">
        <v>177</v>
      </c>
      <c r="P47" s="51">
        <v>214.5</v>
      </c>
      <c r="Q47" s="57">
        <v>9785978109405</v>
      </c>
      <c r="R47" s="66">
        <v>0.33425</v>
      </c>
    </row>
    <row r="48" spans="1:18" ht="21.75" customHeight="1">
      <c r="A48" s="25" t="s">
        <v>182</v>
      </c>
      <c r="B48" s="25" t="s">
        <v>183</v>
      </c>
      <c r="C48" s="49" t="str">
        <f>HYPERLINK("http://atberg.aha.ru/samovar/sam-bds09.jpg")</f>
        <v>http://atberg.aha.ru/samovar/sam-bds09.jpg</v>
      </c>
      <c r="D48" s="27" t="s">
        <v>115</v>
      </c>
      <c r="E48" s="25" t="s">
        <v>184</v>
      </c>
      <c r="F48" s="28" t="s">
        <v>185</v>
      </c>
      <c r="G48" s="25"/>
      <c r="H48" s="29"/>
      <c r="I48" s="30" t="s">
        <v>97</v>
      </c>
      <c r="J48" s="30">
        <v>3.785</v>
      </c>
      <c r="K48" s="25" t="s">
        <v>66</v>
      </c>
      <c r="L48" s="31" t="s">
        <v>98</v>
      </c>
      <c r="M48" s="25" t="s">
        <v>76</v>
      </c>
      <c r="N48" s="32" t="s">
        <v>69</v>
      </c>
      <c r="O48" s="32" t="s">
        <v>177</v>
      </c>
      <c r="P48" s="51">
        <v>95.15</v>
      </c>
      <c r="Q48" s="57">
        <v>9785978111026</v>
      </c>
      <c r="R48" s="66">
        <v>0.18925</v>
      </c>
    </row>
    <row r="49" spans="1:18" ht="21.75" customHeight="1">
      <c r="A49" s="25" t="s">
        <v>186</v>
      </c>
      <c r="B49" s="25" t="s">
        <v>187</v>
      </c>
      <c r="C49" s="49" t="str">
        <f>HYPERLINK("http://atberg.aha.ru/samovar/sam-bds07.jpg")</f>
        <v>http://atberg.aha.ru/samovar/sam-bds07.jpg</v>
      </c>
      <c r="D49" s="27" t="s">
        <v>79</v>
      </c>
      <c r="E49" s="25" t="s">
        <v>188</v>
      </c>
      <c r="F49" s="28" t="s">
        <v>189</v>
      </c>
      <c r="G49" s="25"/>
      <c r="H49" s="29"/>
      <c r="I49" s="30" t="s">
        <v>97</v>
      </c>
      <c r="J49" s="30">
        <v>6.685</v>
      </c>
      <c r="K49" s="25" t="s">
        <v>66</v>
      </c>
      <c r="L49" s="31" t="s">
        <v>98</v>
      </c>
      <c r="M49" s="25" t="s">
        <v>149</v>
      </c>
      <c r="N49" s="32" t="s">
        <v>69</v>
      </c>
      <c r="O49" s="32" t="s">
        <v>177</v>
      </c>
      <c r="P49" s="51">
        <v>214.5</v>
      </c>
      <c r="Q49" s="57">
        <v>9785978110739</v>
      </c>
      <c r="R49" s="66">
        <v>0.33425</v>
      </c>
    </row>
    <row r="50" spans="1:18" ht="21.75" customHeight="1">
      <c r="A50" s="25" t="s">
        <v>190</v>
      </c>
      <c r="B50" s="25" t="s">
        <v>191</v>
      </c>
      <c r="C50" s="49" t="str">
        <f>HYPERLINK("http://atberg.aha.ru/samovar/sam-bds08.jpg")</f>
        <v>http://atberg.aha.ru/samovar/sam-bds08.jpg</v>
      </c>
      <c r="D50" s="27" t="s">
        <v>115</v>
      </c>
      <c r="E50" s="25" t="s">
        <v>192</v>
      </c>
      <c r="F50" s="28" t="s">
        <v>193</v>
      </c>
      <c r="G50" s="25"/>
      <c r="H50" s="29"/>
      <c r="I50" s="30" t="s">
        <v>97</v>
      </c>
      <c r="J50" s="30">
        <v>3.785</v>
      </c>
      <c r="K50" s="25" t="s">
        <v>66</v>
      </c>
      <c r="L50" s="31" t="s">
        <v>98</v>
      </c>
      <c r="M50" s="25" t="s">
        <v>76</v>
      </c>
      <c r="N50" s="32" t="s">
        <v>69</v>
      </c>
      <c r="O50" s="32" t="s">
        <v>177</v>
      </c>
      <c r="P50" s="51">
        <v>95.15</v>
      </c>
      <c r="Q50" s="57">
        <v>9785978111033</v>
      </c>
      <c r="R50" s="66">
        <v>0.18925</v>
      </c>
    </row>
    <row r="51" spans="1:18" ht="21.75" customHeight="1">
      <c r="A51" s="25" t="s">
        <v>194</v>
      </c>
      <c r="B51" s="25" t="s">
        <v>195</v>
      </c>
      <c r="C51" s="49" t="str">
        <f>HYPERLINK("http://atberg.aha.ru/samovar/sam-bds12.jpg")</f>
        <v>http://atberg.aha.ru/samovar/sam-bds12.jpg</v>
      </c>
      <c r="D51" s="27" t="s">
        <v>115</v>
      </c>
      <c r="E51" s="25" t="s">
        <v>196</v>
      </c>
      <c r="F51" s="28" t="s">
        <v>197</v>
      </c>
      <c r="G51" s="25"/>
      <c r="H51" s="29"/>
      <c r="I51" s="30" t="s">
        <v>97</v>
      </c>
      <c r="J51" s="30">
        <v>6.685</v>
      </c>
      <c r="K51" s="25" t="s">
        <v>66</v>
      </c>
      <c r="L51" s="31" t="s">
        <v>98</v>
      </c>
      <c r="M51" s="25" t="s">
        <v>198</v>
      </c>
      <c r="N51" s="32" t="s">
        <v>69</v>
      </c>
      <c r="O51" s="32" t="s">
        <v>177</v>
      </c>
      <c r="P51" s="51">
        <v>214.5</v>
      </c>
      <c r="Q51" s="57">
        <v>9785978111231</v>
      </c>
      <c r="R51" s="66">
        <v>0.33425</v>
      </c>
    </row>
    <row r="52" spans="1:18" ht="21.75" customHeight="1">
      <c r="A52" s="25" t="s">
        <v>199</v>
      </c>
      <c r="B52" s="25" t="s">
        <v>200</v>
      </c>
      <c r="C52" s="49" t="str">
        <f>HYPERLINK("http://atberg.aha.ru/samovar/sam-bds10.jpg")</f>
        <v>http://atberg.aha.ru/samovar/sam-bds10.jpg</v>
      </c>
      <c r="D52" s="27" t="s">
        <v>115</v>
      </c>
      <c r="E52" s="25" t="s">
        <v>201</v>
      </c>
      <c r="F52" s="28" t="s">
        <v>202</v>
      </c>
      <c r="G52" s="25"/>
      <c r="H52" s="29"/>
      <c r="I52" s="30" t="s">
        <v>97</v>
      </c>
      <c r="J52" s="30">
        <v>6.685</v>
      </c>
      <c r="K52" s="25" t="s">
        <v>66</v>
      </c>
      <c r="L52" s="31" t="s">
        <v>98</v>
      </c>
      <c r="M52" s="25" t="s">
        <v>203</v>
      </c>
      <c r="N52" s="32" t="s">
        <v>69</v>
      </c>
      <c r="O52" s="32" t="s">
        <v>177</v>
      </c>
      <c r="P52" s="51">
        <v>214.5</v>
      </c>
      <c r="Q52" s="57">
        <v>9785978111040</v>
      </c>
      <c r="R52" s="66">
        <v>0.33425</v>
      </c>
    </row>
    <row r="53" spans="1:18" ht="36.75" customHeight="1">
      <c r="A53" s="25" t="s">
        <v>204</v>
      </c>
      <c r="B53" s="25" t="s">
        <v>205</v>
      </c>
      <c r="C53" s="49" t="str">
        <f>HYPERLINK("http://atberg.aha.ru/samovar/sam-bds03.jpg")</f>
        <v>http://atberg.aha.ru/samovar/sam-bds03.jpg</v>
      </c>
      <c r="D53" s="27" t="s">
        <v>115</v>
      </c>
      <c r="E53" s="25" t="s">
        <v>206</v>
      </c>
      <c r="F53" s="28" t="s">
        <v>207</v>
      </c>
      <c r="G53" s="25"/>
      <c r="H53" s="29"/>
      <c r="I53" s="30" t="s">
        <v>97</v>
      </c>
      <c r="J53" s="30">
        <v>6.665</v>
      </c>
      <c r="K53" s="25" t="s">
        <v>66</v>
      </c>
      <c r="L53" s="31" t="s">
        <v>98</v>
      </c>
      <c r="M53" s="25" t="s">
        <v>149</v>
      </c>
      <c r="N53" s="32" t="s">
        <v>69</v>
      </c>
      <c r="O53" s="32" t="s">
        <v>177</v>
      </c>
      <c r="P53" s="51">
        <v>214.5</v>
      </c>
      <c r="Q53" s="57">
        <v>9785978108897</v>
      </c>
      <c r="R53" s="66">
        <v>0.33325</v>
      </c>
    </row>
    <row r="54" spans="1:18" ht="36.75" customHeight="1">
      <c r="A54" s="25" t="s">
        <v>208</v>
      </c>
      <c r="B54" s="25" t="s">
        <v>209</v>
      </c>
      <c r="C54" s="49" t="str">
        <f>HYPERLINK("http://atberg.aha.ru/samovar/sam-bds04.jpg")</f>
        <v>http://atberg.aha.ru/samovar/sam-bds04.jpg</v>
      </c>
      <c r="D54" s="27" t="s">
        <v>115</v>
      </c>
      <c r="E54" s="25" t="s">
        <v>210</v>
      </c>
      <c r="F54" s="28" t="s">
        <v>211</v>
      </c>
      <c r="G54" s="25"/>
      <c r="H54" s="29"/>
      <c r="I54" s="30" t="s">
        <v>27</v>
      </c>
      <c r="J54" s="30">
        <v>6.3</v>
      </c>
      <c r="K54" s="25" t="s">
        <v>66</v>
      </c>
      <c r="L54" s="31" t="s">
        <v>98</v>
      </c>
      <c r="M54" s="25" t="s">
        <v>212</v>
      </c>
      <c r="N54" s="32" t="s">
        <v>69</v>
      </c>
      <c r="O54" s="32" t="s">
        <v>177</v>
      </c>
      <c r="P54" s="51">
        <v>214.5</v>
      </c>
      <c r="Q54" s="57">
        <v>9785978108903</v>
      </c>
      <c r="R54" s="66">
        <v>0.39375</v>
      </c>
    </row>
    <row r="55" spans="1:18" ht="36.75" customHeight="1">
      <c r="A55" s="25" t="s">
        <v>213</v>
      </c>
      <c r="B55" s="25" t="s">
        <v>214</v>
      </c>
      <c r="C55" s="49" t="str">
        <f>HYPERLINK("http://atberg.aha.ru/samovar/sam-bds02.jpg")</f>
        <v>http://atberg.aha.ru/samovar/sam-bds02.jpg</v>
      </c>
      <c r="D55" s="27" t="s">
        <v>115</v>
      </c>
      <c r="E55" s="25" t="s">
        <v>215</v>
      </c>
      <c r="F55" s="28" t="s">
        <v>216</v>
      </c>
      <c r="G55" s="25"/>
      <c r="H55" s="29"/>
      <c r="I55" s="30" t="s">
        <v>27</v>
      </c>
      <c r="J55" s="30">
        <v>6.1</v>
      </c>
      <c r="K55" s="25" t="s">
        <v>66</v>
      </c>
      <c r="L55" s="31" t="s">
        <v>98</v>
      </c>
      <c r="M55" s="25" t="s">
        <v>217</v>
      </c>
      <c r="N55" s="32" t="s">
        <v>69</v>
      </c>
      <c r="O55" s="32" t="s">
        <v>177</v>
      </c>
      <c r="P55" s="51">
        <v>214.5</v>
      </c>
      <c r="Q55" s="57">
        <v>9785978109634</v>
      </c>
      <c r="R55" s="66">
        <v>0.38125</v>
      </c>
    </row>
    <row r="56" spans="1:18" ht="36.75" customHeight="1" thickBot="1">
      <c r="A56" s="25" t="s">
        <v>218</v>
      </c>
      <c r="B56" s="25" t="s">
        <v>219</v>
      </c>
      <c r="C56" s="49" t="str">
        <f>HYPERLINK("http://www.atberg.aha.ru/samovar/sam-bds01.jpg")</f>
        <v>http://www.atberg.aha.ru/samovar/sam-bds01.jpg</v>
      </c>
      <c r="D56" s="27" t="s">
        <v>115</v>
      </c>
      <c r="E56" s="25" t="s">
        <v>220</v>
      </c>
      <c r="F56" s="28" t="s">
        <v>221</v>
      </c>
      <c r="G56" s="25"/>
      <c r="H56" s="29"/>
      <c r="I56" s="30" t="s">
        <v>27</v>
      </c>
      <c r="J56" s="30">
        <v>6.1</v>
      </c>
      <c r="K56" s="25" t="s">
        <v>66</v>
      </c>
      <c r="L56" s="31" t="s">
        <v>98</v>
      </c>
      <c r="M56" s="25" t="s">
        <v>212</v>
      </c>
      <c r="N56" s="32" t="s">
        <v>69</v>
      </c>
      <c r="O56" s="32" t="s">
        <v>177</v>
      </c>
      <c r="P56" s="51">
        <v>214.5</v>
      </c>
      <c r="Q56" s="57">
        <v>9785978109191</v>
      </c>
      <c r="R56" s="66">
        <v>0.38125</v>
      </c>
    </row>
    <row r="57" spans="1:18" ht="12.75" customHeight="1">
      <c r="A57" s="18"/>
      <c r="B57" s="18"/>
      <c r="C57" s="18"/>
      <c r="D57" s="19"/>
      <c r="E57" s="20"/>
      <c r="F57" s="21" t="s">
        <v>222</v>
      </c>
      <c r="G57" s="22"/>
      <c r="H57" s="23"/>
      <c r="I57" s="20"/>
      <c r="J57" s="20"/>
      <c r="K57" s="20"/>
      <c r="L57" s="20"/>
      <c r="M57" s="20"/>
      <c r="N57" s="20"/>
      <c r="O57" s="20"/>
      <c r="P57" s="24"/>
      <c r="Q57" s="56"/>
      <c r="R57" s="66"/>
    </row>
    <row r="58" spans="1:18" ht="32.25" customHeight="1">
      <c r="A58" s="25" t="s">
        <v>223</v>
      </c>
      <c r="B58" s="25" t="s">
        <v>224</v>
      </c>
      <c r="C58" s="49" t="str">
        <f>HYPERLINK("http://www.atberg.aha.ru/samovar/shkalisa.gif")</f>
        <v>http://www.atberg.aha.ru/samovar/shkalisa.gif</v>
      </c>
      <c r="D58" s="27" t="s">
        <v>225</v>
      </c>
      <c r="E58" s="25" t="s">
        <v>226</v>
      </c>
      <c r="F58" s="28" t="s">
        <v>227</v>
      </c>
      <c r="G58" s="25"/>
      <c r="H58" s="29"/>
      <c r="I58" s="30" t="s">
        <v>97</v>
      </c>
      <c r="J58" s="30">
        <v>5</v>
      </c>
      <c r="K58" s="25" t="s">
        <v>66</v>
      </c>
      <c r="L58" s="31" t="s">
        <v>98</v>
      </c>
      <c r="M58" s="25" t="s">
        <v>228</v>
      </c>
      <c r="N58" s="32" t="s">
        <v>69</v>
      </c>
      <c r="O58" s="32" t="s">
        <v>229</v>
      </c>
      <c r="P58" s="51">
        <v>177.83333333333334</v>
      </c>
      <c r="Q58" s="57">
        <v>9785978109726</v>
      </c>
      <c r="R58" s="66">
        <v>0.25</v>
      </c>
    </row>
    <row r="59" spans="1:18" ht="32.25" customHeight="1">
      <c r="A59" s="25" t="s">
        <v>230</v>
      </c>
      <c r="B59" s="25" t="s">
        <v>231</v>
      </c>
      <c r="C59" s="49" t="str">
        <f>HYPERLINK("http://www.atberg.aha.ru/samovar/alyiidrugierasskazy.gif")</f>
        <v>http://www.atberg.aha.ru/samovar/alyiidrugierasskazy.gif</v>
      </c>
      <c r="D59" s="27" t="s">
        <v>232</v>
      </c>
      <c r="E59" s="25" t="s">
        <v>233</v>
      </c>
      <c r="F59" s="28" t="s">
        <v>234</v>
      </c>
      <c r="G59" s="25"/>
      <c r="H59" s="29"/>
      <c r="I59" s="30" t="s">
        <v>97</v>
      </c>
      <c r="J59" s="30">
        <v>4.84</v>
      </c>
      <c r="K59" s="25" t="s">
        <v>66</v>
      </c>
      <c r="L59" s="31" t="s">
        <v>98</v>
      </c>
      <c r="M59" s="25" t="s">
        <v>235</v>
      </c>
      <c r="N59" s="32" t="s">
        <v>69</v>
      </c>
      <c r="O59" s="32" t="s">
        <v>229</v>
      </c>
      <c r="P59" s="51">
        <v>177.83333333333334</v>
      </c>
      <c r="Q59" s="57">
        <v>9785978110098</v>
      </c>
      <c r="R59" s="66">
        <v>0.242</v>
      </c>
    </row>
    <row r="60" spans="1:18" ht="21.75" customHeight="1">
      <c r="A60" s="25" t="s">
        <v>236</v>
      </c>
      <c r="B60" s="25" t="s">
        <v>237</v>
      </c>
      <c r="C60" s="49" t="str">
        <f>HYPERLINK("http://atberg.aha.ru/samovar/sam-shb24.jpg")</f>
        <v>http://atberg.aha.ru/samovar/sam-shb24.jpg</v>
      </c>
      <c r="D60" s="27" t="s">
        <v>115</v>
      </c>
      <c r="E60" s="25" t="s">
        <v>238</v>
      </c>
      <c r="F60" s="28" t="s">
        <v>239</v>
      </c>
      <c r="G60" s="25"/>
      <c r="H60" s="29"/>
      <c r="I60" s="30" t="s">
        <v>97</v>
      </c>
      <c r="J60" s="30">
        <v>4.56</v>
      </c>
      <c r="K60" s="25" t="s">
        <v>66</v>
      </c>
      <c r="L60" s="31" t="s">
        <v>98</v>
      </c>
      <c r="M60" s="25" t="s">
        <v>68</v>
      </c>
      <c r="N60" s="32" t="s">
        <v>69</v>
      </c>
      <c r="O60" s="32" t="s">
        <v>240</v>
      </c>
      <c r="P60" s="51">
        <v>177.83333333333334</v>
      </c>
      <c r="Q60" s="57">
        <v>9785978111453</v>
      </c>
      <c r="R60" s="66">
        <v>0.22799999999999998</v>
      </c>
    </row>
    <row r="61" spans="1:18" ht="32.25" customHeight="1">
      <c r="A61" s="25" t="s">
        <v>241</v>
      </c>
      <c r="B61" s="25" t="s">
        <v>242</v>
      </c>
      <c r="C61" s="49" t="str">
        <f>HYPERLINK("http://www.atberg.aha.ru/samovar/barankinbudchel.gif")</f>
        <v>http://www.atberg.aha.ru/samovar/barankinbudchel.gif</v>
      </c>
      <c r="D61" s="27" t="s">
        <v>243</v>
      </c>
      <c r="E61" s="25" t="s">
        <v>244</v>
      </c>
      <c r="F61" s="28" t="s">
        <v>245</v>
      </c>
      <c r="G61" s="25"/>
      <c r="H61" s="29"/>
      <c r="I61" s="30" t="s">
        <v>97</v>
      </c>
      <c r="J61" s="30">
        <v>5.6</v>
      </c>
      <c r="K61" s="25" t="s">
        <v>66</v>
      </c>
      <c r="L61" s="31" t="s">
        <v>98</v>
      </c>
      <c r="M61" s="25" t="s">
        <v>246</v>
      </c>
      <c r="N61" s="32" t="s">
        <v>69</v>
      </c>
      <c r="O61" s="32" t="s">
        <v>229</v>
      </c>
      <c r="P61" s="51">
        <v>177.83333333333334</v>
      </c>
      <c r="Q61" s="57">
        <v>9785978109207</v>
      </c>
      <c r="R61" s="66">
        <v>0.27999999999999997</v>
      </c>
    </row>
    <row r="62" spans="1:18" ht="32.25" customHeight="1">
      <c r="A62" s="25" t="s">
        <v>247</v>
      </c>
      <c r="B62" s="25" t="s">
        <v>248</v>
      </c>
      <c r="C62" s="49" t="str">
        <f>HYPERLINK("http://www.atberg.aha.ru/samovar/basnikrylova.gif")</f>
        <v>http://www.atberg.aha.ru/samovar/basnikrylova.gif</v>
      </c>
      <c r="D62" s="27" t="s">
        <v>249</v>
      </c>
      <c r="E62" s="25" t="s">
        <v>250</v>
      </c>
      <c r="F62" s="28" t="s">
        <v>251</v>
      </c>
      <c r="G62" s="25"/>
      <c r="H62" s="29"/>
      <c r="I62" s="30" t="s">
        <v>97</v>
      </c>
      <c r="J62" s="30">
        <v>4.9</v>
      </c>
      <c r="K62" s="25" t="s">
        <v>66</v>
      </c>
      <c r="L62" s="31" t="s">
        <v>98</v>
      </c>
      <c r="M62" s="25" t="s">
        <v>252</v>
      </c>
      <c r="N62" s="32" t="s">
        <v>69</v>
      </c>
      <c r="O62" s="32" t="s">
        <v>240</v>
      </c>
      <c r="P62" s="51">
        <v>177.83333333333334</v>
      </c>
      <c r="Q62" s="57">
        <v>9785978108835</v>
      </c>
      <c r="R62" s="66">
        <v>0.24500000000000002</v>
      </c>
    </row>
    <row r="63" spans="1:18" ht="32.25" customHeight="1">
      <c r="A63" s="25" t="s">
        <v>253</v>
      </c>
      <c r="B63" s="25" t="s">
        <v>254</v>
      </c>
      <c r="C63" s="49" t="str">
        <f>HYPERLINK("http://www.atberg.aha.ru/samovar/shkbelklyk.gif")</f>
        <v>http://www.atberg.aha.ru/samovar/shkbelklyk.gif</v>
      </c>
      <c r="D63" s="27" t="s">
        <v>255</v>
      </c>
      <c r="E63" s="25" t="s">
        <v>256</v>
      </c>
      <c r="F63" s="28" t="s">
        <v>257</v>
      </c>
      <c r="G63" s="25"/>
      <c r="H63" s="29"/>
      <c r="I63" s="30" t="s">
        <v>97</v>
      </c>
      <c r="J63" s="30">
        <v>6.76</v>
      </c>
      <c r="K63" s="25" t="s">
        <v>66</v>
      </c>
      <c r="L63" s="31" t="s">
        <v>98</v>
      </c>
      <c r="M63" s="25" t="s">
        <v>217</v>
      </c>
      <c r="N63" s="32" t="s">
        <v>69</v>
      </c>
      <c r="O63" s="32" t="s">
        <v>229</v>
      </c>
      <c r="P63" s="51">
        <v>177.83333333333334</v>
      </c>
      <c r="Q63" s="57">
        <v>9785978109535</v>
      </c>
      <c r="R63" s="66">
        <v>0.33799999999999997</v>
      </c>
    </row>
    <row r="64" spans="1:18" ht="21.75" customHeight="1">
      <c r="A64" s="33" t="s">
        <v>258</v>
      </c>
      <c r="B64" s="33" t="s">
        <v>259</v>
      </c>
      <c r="C64" s="49" t="str">
        <f>HYPERLINK("http://atberg.aha.ru/samovar/sam-shb28.jpg")</f>
        <v>http://atberg.aha.ru/samovar/sam-shb28.jpg</v>
      </c>
      <c r="D64" s="34" t="s">
        <v>260</v>
      </c>
      <c r="E64" s="33" t="s">
        <v>261</v>
      </c>
      <c r="F64" s="35" t="s">
        <v>262</v>
      </c>
      <c r="G64" s="33" t="s">
        <v>90</v>
      </c>
      <c r="H64" s="36"/>
      <c r="I64" s="37" t="s">
        <v>97</v>
      </c>
      <c r="J64" s="37">
        <v>4.2</v>
      </c>
      <c r="K64" s="33" t="s">
        <v>66</v>
      </c>
      <c r="L64" s="38" t="s">
        <v>98</v>
      </c>
      <c r="M64" s="33" t="s">
        <v>68</v>
      </c>
      <c r="N64" s="39" t="s">
        <v>69</v>
      </c>
      <c r="O64" s="39" t="s">
        <v>229</v>
      </c>
      <c r="P64" s="51">
        <v>177.83333333333334</v>
      </c>
      <c r="Q64" s="58">
        <v>9785978111682</v>
      </c>
      <c r="R64" s="66">
        <v>0.21000000000000002</v>
      </c>
    </row>
    <row r="65" spans="1:18" ht="21.75" customHeight="1">
      <c r="A65" s="25" t="s">
        <v>263</v>
      </c>
      <c r="B65" s="25" t="s">
        <v>264</v>
      </c>
      <c r="C65" s="49" t="str">
        <f>HYPERLINK("http://www.atberg.aha.ru/samovar/byliny.gif")</f>
        <v>http://www.atberg.aha.ru/samovar/byliny.gif</v>
      </c>
      <c r="D65" s="27" t="s">
        <v>265</v>
      </c>
      <c r="E65" s="25" t="s">
        <v>266</v>
      </c>
      <c r="F65" s="28" t="s">
        <v>267</v>
      </c>
      <c r="G65" s="25"/>
      <c r="H65" s="29"/>
      <c r="I65" s="30" t="s">
        <v>97</v>
      </c>
      <c r="J65" s="30">
        <v>4.5</v>
      </c>
      <c r="K65" s="25" t="s">
        <v>66</v>
      </c>
      <c r="L65" s="31" t="s">
        <v>98</v>
      </c>
      <c r="M65" s="25" t="s">
        <v>68</v>
      </c>
      <c r="N65" s="32" t="s">
        <v>69</v>
      </c>
      <c r="O65" s="32" t="s">
        <v>240</v>
      </c>
      <c r="P65" s="51">
        <v>177.83333333333334</v>
      </c>
      <c r="Q65" s="57">
        <v>9785978110111</v>
      </c>
      <c r="R65" s="66">
        <v>0.225</v>
      </c>
    </row>
    <row r="66" spans="1:18" ht="21.75" customHeight="1">
      <c r="A66" s="25" t="s">
        <v>268</v>
      </c>
      <c r="B66" s="25" t="s">
        <v>269</v>
      </c>
      <c r="C66" s="49" t="str">
        <f>HYPERLINK("http://atberg.aha.ru/samovar/sam-shb13.jpg")</f>
        <v>http://atberg.aha.ru/samovar/sam-shb13.jpg</v>
      </c>
      <c r="D66" s="27" t="s">
        <v>270</v>
      </c>
      <c r="E66" s="25" t="s">
        <v>271</v>
      </c>
      <c r="F66" s="28" t="s">
        <v>272</v>
      </c>
      <c r="G66" s="25"/>
      <c r="H66" s="29"/>
      <c r="I66" s="30" t="s">
        <v>97</v>
      </c>
      <c r="J66" s="30">
        <v>5.6</v>
      </c>
      <c r="K66" s="25" t="s">
        <v>66</v>
      </c>
      <c r="L66" s="31" t="s">
        <v>98</v>
      </c>
      <c r="M66" s="25" t="s">
        <v>273</v>
      </c>
      <c r="N66" s="32" t="s">
        <v>69</v>
      </c>
      <c r="O66" s="32" t="s">
        <v>229</v>
      </c>
      <c r="P66" s="51">
        <v>177.83333333333334</v>
      </c>
      <c r="Q66" s="57">
        <v>9785978110760</v>
      </c>
      <c r="R66" s="66">
        <v>0.27999999999999997</v>
      </c>
    </row>
    <row r="67" spans="1:18" ht="32.25" customHeight="1">
      <c r="A67" s="25" t="s">
        <v>274</v>
      </c>
      <c r="B67" s="25" t="s">
        <v>275</v>
      </c>
      <c r="C67" s="49" t="str">
        <f>HYPERLINK("http://www.atberg.aha.ru/samovar/vstranenevyuchurokov.gif")</f>
        <v>http://www.atberg.aha.ru/samovar/vstranenevyuchurokov.gif</v>
      </c>
      <c r="D67" s="27" t="s">
        <v>276</v>
      </c>
      <c r="E67" s="25" t="s">
        <v>277</v>
      </c>
      <c r="F67" s="28" t="s">
        <v>278</v>
      </c>
      <c r="G67" s="25"/>
      <c r="H67" s="29"/>
      <c r="I67" s="30" t="s">
        <v>97</v>
      </c>
      <c r="J67" s="30">
        <v>3.2</v>
      </c>
      <c r="K67" s="25" t="s">
        <v>66</v>
      </c>
      <c r="L67" s="31" t="s">
        <v>98</v>
      </c>
      <c r="M67" s="25" t="s">
        <v>246</v>
      </c>
      <c r="N67" s="32" t="s">
        <v>69</v>
      </c>
      <c r="O67" s="32" t="s">
        <v>229</v>
      </c>
      <c r="P67" s="51">
        <v>177.83333333333334</v>
      </c>
      <c r="Q67" s="57">
        <v>9785978111057</v>
      </c>
      <c r="R67" s="66">
        <v>0.16</v>
      </c>
    </row>
    <row r="68" spans="1:18" ht="32.25" customHeight="1">
      <c r="A68" s="25" t="s">
        <v>279</v>
      </c>
      <c r="B68" s="25" t="s">
        <v>280</v>
      </c>
      <c r="C68" s="49" t="str">
        <f>HYPERLINK("http://atberg.aha.ru/samovar/vstranenevyuchurokov2.jpg")</f>
        <v>http://atberg.aha.ru/samovar/vstranenevyuchurokov2.jpg</v>
      </c>
      <c r="D68" s="27" t="s">
        <v>276</v>
      </c>
      <c r="E68" s="25" t="s">
        <v>281</v>
      </c>
      <c r="F68" s="28" t="s">
        <v>282</v>
      </c>
      <c r="G68" s="25"/>
      <c r="H68" s="29"/>
      <c r="I68" s="30" t="s">
        <v>97</v>
      </c>
      <c r="J68" s="30">
        <v>3.86</v>
      </c>
      <c r="K68" s="25" t="s">
        <v>66</v>
      </c>
      <c r="L68" s="31" t="s">
        <v>98</v>
      </c>
      <c r="M68" s="25" t="s">
        <v>252</v>
      </c>
      <c r="N68" s="32" t="s">
        <v>69</v>
      </c>
      <c r="O68" s="32" t="s">
        <v>229</v>
      </c>
      <c r="P68" s="51">
        <v>177.83333333333334</v>
      </c>
      <c r="Q68" s="57">
        <v>9785978111132</v>
      </c>
      <c r="R68" s="66">
        <v>0.193</v>
      </c>
    </row>
    <row r="69" spans="1:18" ht="60.75" customHeight="1">
      <c r="A69" s="25" t="s">
        <v>283</v>
      </c>
      <c r="B69" s="25" t="s">
        <v>284</v>
      </c>
      <c r="C69" s="49" t="str">
        <f>HYPERLINK("http://www.atberg.aha.ru/samovar/sam-shb05.jpg")</f>
        <v>http://www.atberg.aha.ru/samovar/sam-shb05.jpg</v>
      </c>
      <c r="D69" s="27" t="s">
        <v>285</v>
      </c>
      <c r="E69" s="25" t="s">
        <v>286</v>
      </c>
      <c r="F69" s="28" t="s">
        <v>287</v>
      </c>
      <c r="G69" s="25"/>
      <c r="H69" s="29"/>
      <c r="I69" s="30" t="s">
        <v>97</v>
      </c>
      <c r="J69" s="30">
        <v>5.52</v>
      </c>
      <c r="K69" s="25" t="s">
        <v>66</v>
      </c>
      <c r="L69" s="31" t="s">
        <v>98</v>
      </c>
      <c r="M69" s="25" t="s">
        <v>99</v>
      </c>
      <c r="N69" s="32" t="s">
        <v>69</v>
      </c>
      <c r="O69" s="32" t="s">
        <v>229</v>
      </c>
      <c r="P69" s="51">
        <v>177.83333333333334</v>
      </c>
      <c r="Q69" s="57">
        <v>9785978109559</v>
      </c>
      <c r="R69" s="66">
        <v>0.27599999999999997</v>
      </c>
    </row>
    <row r="70" spans="1:18" ht="32.25" customHeight="1">
      <c r="A70" s="25" t="s">
        <v>288</v>
      </c>
      <c r="B70" s="25" t="s">
        <v>289</v>
      </c>
      <c r="C70" s="49" t="str">
        <f>HYPERLINK("http://www.atberg.aha.ru/samovar/sam-shb03.jpg")</f>
        <v>http://www.atberg.aha.ru/samovar/sam-shb03.jpg</v>
      </c>
      <c r="D70" s="27" t="s">
        <v>290</v>
      </c>
      <c r="E70" s="25" t="s">
        <v>291</v>
      </c>
      <c r="F70" s="28" t="s">
        <v>292</v>
      </c>
      <c r="G70" s="25"/>
      <c r="H70" s="29"/>
      <c r="I70" s="30" t="s">
        <v>97</v>
      </c>
      <c r="J70" s="30">
        <v>6.22</v>
      </c>
      <c r="K70" s="25" t="s">
        <v>66</v>
      </c>
      <c r="L70" s="31" t="s">
        <v>98</v>
      </c>
      <c r="M70" s="25" t="s">
        <v>149</v>
      </c>
      <c r="N70" s="32" t="s">
        <v>69</v>
      </c>
      <c r="O70" s="32" t="s">
        <v>229</v>
      </c>
      <c r="P70" s="51">
        <v>177.83333333333334</v>
      </c>
      <c r="Q70" s="57">
        <v>9785978108767</v>
      </c>
      <c r="R70" s="66">
        <v>0.311</v>
      </c>
    </row>
    <row r="71" spans="1:18" ht="60.75" customHeight="1">
      <c r="A71" s="25" t="s">
        <v>293</v>
      </c>
      <c r="B71" s="25" t="s">
        <v>294</v>
      </c>
      <c r="C71" s="49" t="str">
        <f>HYPERLINK("http://www.atberg.aha.ru/samovar/shkvnekcht1.gif")</f>
        <v>http://www.atberg.aha.ru/samovar/shkvnekcht1.gif</v>
      </c>
      <c r="D71" s="27" t="s">
        <v>295</v>
      </c>
      <c r="E71" s="25" t="s">
        <v>296</v>
      </c>
      <c r="F71" s="28" t="s">
        <v>297</v>
      </c>
      <c r="G71" s="25"/>
      <c r="H71" s="29"/>
      <c r="I71" s="30" t="s">
        <v>97</v>
      </c>
      <c r="J71" s="30">
        <v>4.5</v>
      </c>
      <c r="K71" s="25" t="s">
        <v>66</v>
      </c>
      <c r="L71" s="31" t="s">
        <v>98</v>
      </c>
      <c r="M71" s="25" t="s">
        <v>126</v>
      </c>
      <c r="N71" s="32" t="s">
        <v>69</v>
      </c>
      <c r="O71" s="32" t="s">
        <v>240</v>
      </c>
      <c r="P71" s="51">
        <v>177.83333333333334</v>
      </c>
      <c r="Q71" s="57">
        <v>9785978108729</v>
      </c>
      <c r="R71" s="66">
        <v>0.225</v>
      </c>
    </row>
    <row r="72" spans="1:18" ht="48.75" customHeight="1">
      <c r="A72" s="25" t="s">
        <v>298</v>
      </c>
      <c r="B72" s="25" t="s">
        <v>299</v>
      </c>
      <c r="C72" s="49" t="str">
        <f>HYPERLINK("http://www.atberg.aha.ru/samovar/shkvnekcht2.gif")</f>
        <v>http://www.atberg.aha.ru/samovar/shkvnekcht2.gif</v>
      </c>
      <c r="D72" s="27" t="s">
        <v>300</v>
      </c>
      <c r="E72" s="25" t="s">
        <v>301</v>
      </c>
      <c r="F72" s="28" t="s">
        <v>302</v>
      </c>
      <c r="G72" s="25"/>
      <c r="H72" s="29"/>
      <c r="I72" s="30" t="s">
        <v>97</v>
      </c>
      <c r="J72" s="30">
        <v>4.5</v>
      </c>
      <c r="K72" s="25" t="s">
        <v>66</v>
      </c>
      <c r="L72" s="31" t="s">
        <v>98</v>
      </c>
      <c r="M72" s="25" t="s">
        <v>126</v>
      </c>
      <c r="N72" s="32" t="s">
        <v>69</v>
      </c>
      <c r="O72" s="32" t="s">
        <v>240</v>
      </c>
      <c r="P72" s="51">
        <v>177.83333333333334</v>
      </c>
      <c r="Q72" s="57">
        <v>9785978109153</v>
      </c>
      <c r="R72" s="66">
        <v>0.225</v>
      </c>
    </row>
    <row r="73" spans="1:18" ht="48.75" customHeight="1">
      <c r="A73" s="25" t="s">
        <v>303</v>
      </c>
      <c r="B73" s="25" t="s">
        <v>304</v>
      </c>
      <c r="C73" s="49" t="str">
        <f>HYPERLINK("http://atberg.aha.ru/samovar/sam-shb10.jpg")</f>
        <v>http://atberg.aha.ru/samovar/sam-shb10.jpg</v>
      </c>
      <c r="D73" s="27" t="s">
        <v>115</v>
      </c>
      <c r="E73" s="25" t="s">
        <v>305</v>
      </c>
      <c r="F73" s="28" t="s">
        <v>306</v>
      </c>
      <c r="G73" s="25"/>
      <c r="H73" s="29"/>
      <c r="I73" s="30" t="s">
        <v>97</v>
      </c>
      <c r="J73" s="30">
        <v>4.84</v>
      </c>
      <c r="K73" s="25" t="s">
        <v>66</v>
      </c>
      <c r="L73" s="31" t="s">
        <v>98</v>
      </c>
      <c r="M73" s="25" t="s">
        <v>99</v>
      </c>
      <c r="N73" s="32" t="s">
        <v>69</v>
      </c>
      <c r="O73" s="32" t="s">
        <v>240</v>
      </c>
      <c r="P73" s="51">
        <v>177.83333333333334</v>
      </c>
      <c r="Q73" s="57">
        <v>9785978110173</v>
      </c>
      <c r="R73" s="66">
        <v>0.242</v>
      </c>
    </row>
    <row r="74" spans="1:18" ht="48.75" customHeight="1">
      <c r="A74" s="25" t="s">
        <v>307</v>
      </c>
      <c r="B74" s="25" t="s">
        <v>308</v>
      </c>
      <c r="C74" s="49" t="str">
        <f>HYPERLINK("http://atberg.aha.ru/samovar/sam-shb11.jpg")</f>
        <v>http://atberg.aha.ru/samovar/sam-shb11.jpg</v>
      </c>
      <c r="D74" s="27" t="s">
        <v>115</v>
      </c>
      <c r="E74" s="25" t="s">
        <v>309</v>
      </c>
      <c r="F74" s="28" t="s">
        <v>310</v>
      </c>
      <c r="G74" s="25"/>
      <c r="H74" s="29"/>
      <c r="I74" s="30" t="s">
        <v>97</v>
      </c>
      <c r="J74" s="30">
        <v>4.765</v>
      </c>
      <c r="K74" s="25" t="s">
        <v>66</v>
      </c>
      <c r="L74" s="31" t="s">
        <v>98</v>
      </c>
      <c r="M74" s="25" t="s">
        <v>99</v>
      </c>
      <c r="N74" s="32" t="s">
        <v>69</v>
      </c>
      <c r="O74" s="32" t="s">
        <v>229</v>
      </c>
      <c r="P74" s="51">
        <v>177.83333333333334</v>
      </c>
      <c r="Q74" s="57">
        <v>9785978110180</v>
      </c>
      <c r="R74" s="66">
        <v>0.23825</v>
      </c>
    </row>
    <row r="75" spans="1:18" ht="24.75" customHeight="1">
      <c r="A75" s="25" t="s">
        <v>311</v>
      </c>
      <c r="B75" s="25" t="s">
        <v>312</v>
      </c>
      <c r="C75" s="49" t="str">
        <f>HYPERLINK("http://atberg.aha.ru/samovar/shkvnekch5.jpg")</f>
        <v>http://atberg.aha.ru/samovar/shkvnekch5.jpg</v>
      </c>
      <c r="D75" s="27" t="s">
        <v>115</v>
      </c>
      <c r="E75" s="25" t="s">
        <v>313</v>
      </c>
      <c r="F75" s="28" t="s">
        <v>314</v>
      </c>
      <c r="G75" s="25"/>
      <c r="H75" s="29"/>
      <c r="I75" s="30" t="s">
        <v>97</v>
      </c>
      <c r="J75" s="30">
        <v>6.995</v>
      </c>
      <c r="K75" s="25" t="s">
        <v>66</v>
      </c>
      <c r="L75" s="31" t="s">
        <v>98</v>
      </c>
      <c r="M75" s="25" t="s">
        <v>126</v>
      </c>
      <c r="N75" s="32" t="s">
        <v>69</v>
      </c>
      <c r="O75" s="32" t="s">
        <v>229</v>
      </c>
      <c r="P75" s="51">
        <v>177.83333333333334</v>
      </c>
      <c r="Q75" s="57">
        <v>9785978110197</v>
      </c>
      <c r="R75" s="66">
        <v>0.34975</v>
      </c>
    </row>
    <row r="76" spans="1:18" ht="21.75" customHeight="1">
      <c r="A76" s="25" t="s">
        <v>315</v>
      </c>
      <c r="B76" s="25" t="s">
        <v>316</v>
      </c>
      <c r="C76" s="49" t="str">
        <f>HYPERLINK("http://www.atberg.aha.ru/samovar/Vogdkr.gif")</f>
        <v>http://www.atberg.aha.ru/samovar/Vogdkr.gif</v>
      </c>
      <c r="D76" s="27" t="s">
        <v>317</v>
      </c>
      <c r="E76" s="25" t="s">
        <v>318</v>
      </c>
      <c r="F76" s="28" t="s">
        <v>319</v>
      </c>
      <c r="G76" s="25"/>
      <c r="H76" s="29"/>
      <c r="I76" s="30" t="s">
        <v>97</v>
      </c>
      <c r="J76" s="30">
        <v>4.82</v>
      </c>
      <c r="K76" s="25" t="s">
        <v>66</v>
      </c>
      <c r="L76" s="31" t="s">
        <v>98</v>
      </c>
      <c r="M76" s="25" t="s">
        <v>99</v>
      </c>
      <c r="N76" s="32" t="s">
        <v>69</v>
      </c>
      <c r="O76" s="32" t="s">
        <v>229</v>
      </c>
      <c r="P76" s="51">
        <v>177.83333333333334</v>
      </c>
      <c r="Q76" s="57">
        <v>9785978109979</v>
      </c>
      <c r="R76" s="66">
        <v>0.24100000000000002</v>
      </c>
    </row>
    <row r="77" spans="1:18" ht="32.25" customHeight="1">
      <c r="A77" s="25" t="s">
        <v>320</v>
      </c>
      <c r="B77" s="25" t="s">
        <v>321</v>
      </c>
      <c r="C77" s="49" t="str">
        <f>HYPERLINK("http://www.atberg.aha.ru/samovar/volshebnikizumrgoroda.gif")</f>
        <v>http://www.atberg.aha.ru/samovar/volshebnikizumrgoroda.gif</v>
      </c>
      <c r="D77" s="27" t="s">
        <v>322</v>
      </c>
      <c r="E77" s="25" t="s">
        <v>323</v>
      </c>
      <c r="F77" s="28" t="s">
        <v>324</v>
      </c>
      <c r="G77" s="25"/>
      <c r="H77" s="29"/>
      <c r="I77" s="30" t="s">
        <v>97</v>
      </c>
      <c r="J77" s="30">
        <v>5.46</v>
      </c>
      <c r="K77" s="25" t="s">
        <v>66</v>
      </c>
      <c r="L77" s="31" t="s">
        <v>98</v>
      </c>
      <c r="M77" s="25" t="s">
        <v>228</v>
      </c>
      <c r="N77" s="32" t="s">
        <v>69</v>
      </c>
      <c r="O77" s="32" t="s">
        <v>229</v>
      </c>
      <c r="P77" s="51">
        <v>177.83333333333334</v>
      </c>
      <c r="Q77" s="57">
        <v>9785978108965</v>
      </c>
      <c r="R77" s="66">
        <v>0.273</v>
      </c>
    </row>
    <row r="78" spans="1:18" ht="32.25" customHeight="1">
      <c r="A78" s="25" t="s">
        <v>325</v>
      </c>
      <c r="B78" s="25" t="s">
        <v>326</v>
      </c>
      <c r="C78" s="49" t="str">
        <f>HYPERLINK("http://www.atberg.aha.ru/samovar/volshebnoeslovo.gif")</f>
        <v>http://www.atberg.aha.ru/samovar/volshebnoeslovo.gif</v>
      </c>
      <c r="D78" s="27" t="s">
        <v>327</v>
      </c>
      <c r="E78" s="25" t="s">
        <v>328</v>
      </c>
      <c r="F78" s="28" t="s">
        <v>329</v>
      </c>
      <c r="G78" s="25"/>
      <c r="H78" s="29"/>
      <c r="I78" s="30" t="s">
        <v>97</v>
      </c>
      <c r="J78" s="30">
        <v>3.5</v>
      </c>
      <c r="K78" s="25" t="s">
        <v>66</v>
      </c>
      <c r="L78" s="31" t="s">
        <v>98</v>
      </c>
      <c r="M78" s="25" t="s">
        <v>252</v>
      </c>
      <c r="N78" s="32" t="s">
        <v>69</v>
      </c>
      <c r="O78" s="32" t="s">
        <v>240</v>
      </c>
      <c r="P78" s="51">
        <v>177.83333333333334</v>
      </c>
      <c r="Q78" s="57">
        <v>9785978108743</v>
      </c>
      <c r="R78" s="66">
        <v>0.175</v>
      </c>
    </row>
    <row r="79" spans="1:18" ht="32.25" customHeight="1">
      <c r="A79" s="25" t="s">
        <v>330</v>
      </c>
      <c r="B79" s="25" t="s">
        <v>331</v>
      </c>
      <c r="C79" s="49" t="str">
        <f>HYPERLINK("http://www.atberg.aha.ru/samovar/vremenagoda.gif")</f>
        <v>http://www.atberg.aha.ru/samovar/vremenagoda.gif</v>
      </c>
      <c r="D79" s="27" t="s">
        <v>332</v>
      </c>
      <c r="E79" s="25" t="s">
        <v>333</v>
      </c>
      <c r="F79" s="28" t="s">
        <v>334</v>
      </c>
      <c r="G79" s="25"/>
      <c r="H79" s="29"/>
      <c r="I79" s="30" t="s">
        <v>97</v>
      </c>
      <c r="J79" s="30">
        <v>4.44</v>
      </c>
      <c r="K79" s="25" t="s">
        <v>66</v>
      </c>
      <c r="L79" s="31" t="s">
        <v>98</v>
      </c>
      <c r="M79" s="25" t="s">
        <v>68</v>
      </c>
      <c r="N79" s="32" t="s">
        <v>69</v>
      </c>
      <c r="O79" s="32" t="s">
        <v>240</v>
      </c>
      <c r="P79" s="51">
        <v>177.83333333333334</v>
      </c>
      <c r="Q79" s="57">
        <v>9785978108712</v>
      </c>
      <c r="R79" s="66">
        <v>0.22200000000000003</v>
      </c>
    </row>
    <row r="80" spans="1:18" ht="21.75" customHeight="1">
      <c r="A80" s="25" t="s">
        <v>335</v>
      </c>
      <c r="B80" s="25" t="s">
        <v>336</v>
      </c>
      <c r="C80" s="49" t="str">
        <f>HYPERLINK("http://www.atberg.aha.ru/samovar/gevges.gif")</f>
        <v>http://www.atberg.aha.ru/samovar/gevges.gif</v>
      </c>
      <c r="D80" s="27" t="s">
        <v>337</v>
      </c>
      <c r="E80" s="25" t="s">
        <v>338</v>
      </c>
      <c r="F80" s="28" t="s">
        <v>339</v>
      </c>
      <c r="G80" s="25"/>
      <c r="H80" s="29"/>
      <c r="I80" s="30" t="s">
        <v>97</v>
      </c>
      <c r="J80" s="30">
        <v>6.2</v>
      </c>
      <c r="K80" s="25" t="s">
        <v>66</v>
      </c>
      <c r="L80" s="31" t="s">
        <v>98</v>
      </c>
      <c r="M80" s="25" t="s">
        <v>340</v>
      </c>
      <c r="N80" s="32" t="s">
        <v>69</v>
      </c>
      <c r="O80" s="32" t="s">
        <v>229</v>
      </c>
      <c r="P80" s="51">
        <v>177.83333333333334</v>
      </c>
      <c r="Q80" s="57">
        <v>9785978109146</v>
      </c>
      <c r="R80" s="66">
        <v>0.31</v>
      </c>
    </row>
    <row r="81" spans="1:18" ht="32.25" customHeight="1">
      <c r="A81" s="33" t="s">
        <v>341</v>
      </c>
      <c r="B81" s="33" t="s">
        <v>342</v>
      </c>
      <c r="C81" s="49" t="str">
        <f>HYPERLINK("http://www.atberg.aha.ru/samovar/sam-shb04.jpg")</f>
        <v>http://www.atberg.aha.ru/samovar/sam-shb04.jpg</v>
      </c>
      <c r="D81" s="34" t="s">
        <v>343</v>
      </c>
      <c r="E81" s="33" t="s">
        <v>344</v>
      </c>
      <c r="F81" s="35" t="s">
        <v>345</v>
      </c>
      <c r="G81" s="33" t="s">
        <v>90</v>
      </c>
      <c r="H81" s="36"/>
      <c r="I81" s="37" t="s">
        <v>97</v>
      </c>
      <c r="J81" s="37">
        <v>6.4</v>
      </c>
      <c r="K81" s="33" t="s">
        <v>66</v>
      </c>
      <c r="L81" s="38" t="s">
        <v>98</v>
      </c>
      <c r="M81" s="33" t="s">
        <v>273</v>
      </c>
      <c r="N81" s="39" t="s">
        <v>69</v>
      </c>
      <c r="O81" s="39" t="s">
        <v>229</v>
      </c>
      <c r="P81" s="51">
        <v>177.83333333333334</v>
      </c>
      <c r="Q81" s="58">
        <v>9785978111729</v>
      </c>
      <c r="R81" s="66">
        <v>0.32</v>
      </c>
    </row>
    <row r="82" spans="1:18" ht="32.25" customHeight="1">
      <c r="A82" s="25" t="s">
        <v>346</v>
      </c>
      <c r="B82" s="25" t="s">
        <v>347</v>
      </c>
      <c r="C82" s="49" t="str">
        <f>HYPERLINK("http://www.atberg.aha.ru/samovar/shkdevszem.gif")</f>
        <v>http://www.atberg.aha.ru/samovar/shkdevszem.gif</v>
      </c>
      <c r="D82" s="27" t="s">
        <v>348</v>
      </c>
      <c r="E82" s="25" t="s">
        <v>349</v>
      </c>
      <c r="F82" s="28" t="s">
        <v>350</v>
      </c>
      <c r="G82" s="25"/>
      <c r="H82" s="29"/>
      <c r="I82" s="30" t="s">
        <v>97</v>
      </c>
      <c r="J82" s="30">
        <v>6.64</v>
      </c>
      <c r="K82" s="25" t="s">
        <v>66</v>
      </c>
      <c r="L82" s="31" t="s">
        <v>98</v>
      </c>
      <c r="M82" s="25" t="s">
        <v>149</v>
      </c>
      <c r="N82" s="32" t="s">
        <v>69</v>
      </c>
      <c r="O82" s="32" t="s">
        <v>229</v>
      </c>
      <c r="P82" s="51">
        <v>177.83333333333334</v>
      </c>
      <c r="Q82" s="57">
        <v>9785978109139</v>
      </c>
      <c r="R82" s="66">
        <v>0.33199999999999996</v>
      </c>
    </row>
    <row r="83" spans="1:18" ht="32.25" customHeight="1">
      <c r="A83" s="25" t="s">
        <v>351</v>
      </c>
      <c r="B83" s="25" t="s">
        <v>352</v>
      </c>
      <c r="C83" s="49" t="str">
        <f>HYPERLINK("http://www.atberg.aha.ru/samovar/deniskinyrasskazy.gif")</f>
        <v>http://www.atberg.aha.ru/samovar/deniskinyrasskazy.gif</v>
      </c>
      <c r="D83" s="27" t="s">
        <v>337</v>
      </c>
      <c r="E83" s="25" t="s">
        <v>353</v>
      </c>
      <c r="F83" s="28" t="s">
        <v>354</v>
      </c>
      <c r="G83" s="25"/>
      <c r="H83" s="29"/>
      <c r="I83" s="30" t="s">
        <v>97</v>
      </c>
      <c r="J83" s="30">
        <v>4.12</v>
      </c>
      <c r="K83" s="25" t="s">
        <v>66</v>
      </c>
      <c r="L83" s="31" t="s">
        <v>98</v>
      </c>
      <c r="M83" s="25" t="s">
        <v>99</v>
      </c>
      <c r="N83" s="32" t="s">
        <v>69</v>
      </c>
      <c r="O83" s="32" t="s">
        <v>229</v>
      </c>
      <c r="P83" s="51">
        <v>177.83333333333334</v>
      </c>
      <c r="Q83" s="57">
        <v>9785978109566</v>
      </c>
      <c r="R83" s="66">
        <v>0.20600000000000002</v>
      </c>
    </row>
    <row r="84" spans="1:18" ht="21.75" customHeight="1">
      <c r="A84" s="25" t="s">
        <v>355</v>
      </c>
      <c r="B84" s="25" t="s">
        <v>356</v>
      </c>
      <c r="C84" s="49" t="str">
        <f>HYPERLINK("http://atberg.aha.ru/samovar/sam-shb08.jpg")</f>
        <v>http://atberg.aha.ru/samovar/sam-shb08.jpg</v>
      </c>
      <c r="D84" s="27" t="s">
        <v>357</v>
      </c>
      <c r="E84" s="25" t="s">
        <v>358</v>
      </c>
      <c r="F84" s="28" t="s">
        <v>359</v>
      </c>
      <c r="G84" s="25"/>
      <c r="H84" s="29"/>
      <c r="I84" s="30" t="s">
        <v>97</v>
      </c>
      <c r="J84" s="30">
        <v>6.995</v>
      </c>
      <c r="K84" s="25" t="s">
        <v>66</v>
      </c>
      <c r="L84" s="31" t="s">
        <v>98</v>
      </c>
      <c r="M84" s="25" t="s">
        <v>99</v>
      </c>
      <c r="N84" s="32" t="s">
        <v>69</v>
      </c>
      <c r="O84" s="32" t="s">
        <v>229</v>
      </c>
      <c r="P84" s="51">
        <v>177.83333333333334</v>
      </c>
      <c r="Q84" s="57">
        <v>9785978109771</v>
      </c>
      <c r="R84" s="66">
        <v>0.34975</v>
      </c>
    </row>
    <row r="85" spans="1:18" ht="32.25" customHeight="1">
      <c r="A85" s="25" t="s">
        <v>360</v>
      </c>
      <c r="B85" s="25" t="s">
        <v>361</v>
      </c>
      <c r="C85" s="49" t="str">
        <f>HYPERLINK("http://www.atberg.aha.ru/samovar/doktoraybolit.gif")</f>
        <v>http://www.atberg.aha.ru/samovar/doktoraybolit.gif</v>
      </c>
      <c r="D85" s="27" t="s">
        <v>79</v>
      </c>
      <c r="E85" s="25" t="s">
        <v>362</v>
      </c>
      <c r="F85" s="28" t="s">
        <v>363</v>
      </c>
      <c r="G85" s="25"/>
      <c r="H85" s="29"/>
      <c r="I85" s="30" t="s">
        <v>97</v>
      </c>
      <c r="J85" s="30">
        <v>4.4</v>
      </c>
      <c r="K85" s="25" t="s">
        <v>66</v>
      </c>
      <c r="L85" s="31" t="s">
        <v>98</v>
      </c>
      <c r="M85" s="25" t="s">
        <v>68</v>
      </c>
      <c r="N85" s="32" t="s">
        <v>69</v>
      </c>
      <c r="O85" s="32" t="s">
        <v>240</v>
      </c>
      <c r="P85" s="51">
        <v>177.83333333333334</v>
      </c>
      <c r="Q85" s="57">
        <v>9785978110951</v>
      </c>
      <c r="R85" s="66">
        <v>0.22000000000000003</v>
      </c>
    </row>
    <row r="86" spans="1:18" ht="32.25" customHeight="1">
      <c r="A86" s="25" t="s">
        <v>364</v>
      </c>
      <c r="B86" s="25" t="s">
        <v>365</v>
      </c>
      <c r="C86" s="49" t="str">
        <f>HYPERLINK("http://www.atberg.aha.ru/samovar/domovenok.gif")</f>
        <v>http://www.atberg.aha.ru/samovar/domovenok.gif</v>
      </c>
      <c r="D86" s="27" t="s">
        <v>366</v>
      </c>
      <c r="E86" s="25" t="s">
        <v>367</v>
      </c>
      <c r="F86" s="28" t="s">
        <v>368</v>
      </c>
      <c r="G86" s="25"/>
      <c r="H86" s="29"/>
      <c r="I86" s="30" t="s">
        <v>97</v>
      </c>
      <c r="J86" s="30">
        <v>5.18</v>
      </c>
      <c r="K86" s="25" t="s">
        <v>66</v>
      </c>
      <c r="L86" s="31" t="s">
        <v>98</v>
      </c>
      <c r="M86" s="25" t="s">
        <v>369</v>
      </c>
      <c r="N86" s="32" t="s">
        <v>69</v>
      </c>
      <c r="O86" s="32" t="s">
        <v>229</v>
      </c>
      <c r="P86" s="51">
        <v>177.83333333333334</v>
      </c>
      <c r="Q86" s="57">
        <v>9785978109603</v>
      </c>
      <c r="R86" s="66">
        <v>0.259</v>
      </c>
    </row>
    <row r="87" spans="1:18" ht="32.25" customHeight="1">
      <c r="A87" s="25" t="s">
        <v>370</v>
      </c>
      <c r="B87" s="25" t="s">
        <v>371</v>
      </c>
      <c r="C87" s="49" t="str">
        <f>HYPERLINK("http://www.atberg.aha.ru/samovar/zheltyituman.gif")</f>
        <v>http://www.atberg.aha.ru/samovar/zheltyituman.gif</v>
      </c>
      <c r="D87" s="27" t="s">
        <v>322</v>
      </c>
      <c r="E87" s="25" t="s">
        <v>372</v>
      </c>
      <c r="F87" s="28" t="s">
        <v>373</v>
      </c>
      <c r="G87" s="25"/>
      <c r="H87" s="29"/>
      <c r="I87" s="30" t="s">
        <v>97</v>
      </c>
      <c r="J87" s="30">
        <v>5.06</v>
      </c>
      <c r="K87" s="25" t="s">
        <v>66</v>
      </c>
      <c r="L87" s="31" t="s">
        <v>98</v>
      </c>
      <c r="M87" s="25" t="s">
        <v>273</v>
      </c>
      <c r="N87" s="32" t="s">
        <v>69</v>
      </c>
      <c r="O87" s="32" t="s">
        <v>229</v>
      </c>
      <c r="P87" s="51">
        <v>177.83333333333334</v>
      </c>
      <c r="Q87" s="57">
        <v>9785978110050</v>
      </c>
      <c r="R87" s="66">
        <v>0.253</v>
      </c>
    </row>
    <row r="88" spans="1:18" ht="32.25" customHeight="1">
      <c r="A88" s="25" t="s">
        <v>374</v>
      </c>
      <c r="B88" s="25" t="s">
        <v>375</v>
      </c>
      <c r="C88" s="49" t="str">
        <f>HYPERLINK("http://www.atberg.aha.ru/samovar/zhenkamoskvichov.gif")</f>
        <v>http://www.atberg.aha.ru/samovar/zhenkamoskvichov.gif</v>
      </c>
      <c r="D88" s="27" t="s">
        <v>376</v>
      </c>
      <c r="E88" s="25" t="s">
        <v>377</v>
      </c>
      <c r="F88" s="28" t="s">
        <v>378</v>
      </c>
      <c r="G88" s="25"/>
      <c r="H88" s="29"/>
      <c r="I88" s="30" t="s">
        <v>97</v>
      </c>
      <c r="J88" s="30">
        <v>4.86</v>
      </c>
      <c r="K88" s="25" t="s">
        <v>66</v>
      </c>
      <c r="L88" s="31" t="s">
        <v>98</v>
      </c>
      <c r="M88" s="25" t="s">
        <v>99</v>
      </c>
      <c r="N88" s="32" t="s">
        <v>69</v>
      </c>
      <c r="O88" s="32" t="s">
        <v>229</v>
      </c>
      <c r="P88" s="51">
        <v>177.83333333333334</v>
      </c>
      <c r="Q88" s="57">
        <v>9785978110005</v>
      </c>
      <c r="R88" s="66">
        <v>0.24300000000000002</v>
      </c>
    </row>
    <row r="89" spans="1:18" ht="32.25" customHeight="1">
      <c r="A89" s="25" t="s">
        <v>379</v>
      </c>
      <c r="B89" s="25" t="s">
        <v>380</v>
      </c>
      <c r="C89" s="49" t="str">
        <f>HYPERLINK("http://www.atberg.aha.ru/samovar/shkkruzo.gif")</f>
        <v>http://www.atberg.aha.ru/samovar/shkkruzo.gif</v>
      </c>
      <c r="D89" s="27" t="s">
        <v>381</v>
      </c>
      <c r="E89" s="25" t="s">
        <v>382</v>
      </c>
      <c r="F89" s="28" t="s">
        <v>383</v>
      </c>
      <c r="G89" s="25"/>
      <c r="H89" s="29"/>
      <c r="I89" s="30" t="s">
        <v>97</v>
      </c>
      <c r="J89" s="30">
        <v>6.445</v>
      </c>
      <c r="K89" s="25" t="s">
        <v>66</v>
      </c>
      <c r="L89" s="31" t="s">
        <v>98</v>
      </c>
      <c r="M89" s="25" t="s">
        <v>149</v>
      </c>
      <c r="N89" s="32" t="s">
        <v>69</v>
      </c>
      <c r="O89" s="32" t="s">
        <v>229</v>
      </c>
      <c r="P89" s="51">
        <v>177.83333333333334</v>
      </c>
      <c r="Q89" s="57">
        <v>9785978109900</v>
      </c>
      <c r="R89" s="66">
        <v>0.32225000000000004</v>
      </c>
    </row>
    <row r="90" spans="1:18" ht="32.25" customHeight="1">
      <c r="A90" s="25" t="s">
        <v>384</v>
      </c>
      <c r="B90" s="25" t="s">
        <v>385</v>
      </c>
      <c r="C90" s="49" t="str">
        <f>HYPERLINK("http://www.atberg.aha.ru/samovar/kashtanka.gif")</f>
        <v>http://www.atberg.aha.ru/samovar/kashtanka.gif</v>
      </c>
      <c r="D90" s="27" t="s">
        <v>386</v>
      </c>
      <c r="E90" s="25" t="s">
        <v>387</v>
      </c>
      <c r="F90" s="28" t="s">
        <v>388</v>
      </c>
      <c r="G90" s="25"/>
      <c r="H90" s="29"/>
      <c r="I90" s="30" t="s">
        <v>97</v>
      </c>
      <c r="J90" s="30">
        <v>4.84</v>
      </c>
      <c r="K90" s="25" t="s">
        <v>66</v>
      </c>
      <c r="L90" s="31" t="s">
        <v>98</v>
      </c>
      <c r="M90" s="25" t="s">
        <v>68</v>
      </c>
      <c r="N90" s="32" t="s">
        <v>69</v>
      </c>
      <c r="O90" s="32" t="s">
        <v>240</v>
      </c>
      <c r="P90" s="51">
        <v>177.83333333333334</v>
      </c>
      <c r="Q90" s="57">
        <v>9785978109993</v>
      </c>
      <c r="R90" s="66">
        <v>0.242</v>
      </c>
    </row>
    <row r="91" spans="1:18" ht="21.75" customHeight="1">
      <c r="A91" s="25" t="s">
        <v>389</v>
      </c>
      <c r="B91" s="25" t="s">
        <v>390</v>
      </c>
      <c r="C91" s="49" t="str">
        <f>HYPERLINK("http://atberg.aha.ru/samovar/sam-shb26.jpg")</f>
        <v>http://atberg.aha.ru/samovar/sam-shb26.jpg</v>
      </c>
      <c r="D91" s="27" t="s">
        <v>391</v>
      </c>
      <c r="E91" s="25" t="s">
        <v>392</v>
      </c>
      <c r="F91" s="28" t="s">
        <v>393</v>
      </c>
      <c r="G91" s="25"/>
      <c r="H91" s="29"/>
      <c r="I91" s="30" t="s">
        <v>97</v>
      </c>
      <c r="J91" s="30">
        <v>6.995</v>
      </c>
      <c r="K91" s="25" t="s">
        <v>66</v>
      </c>
      <c r="L91" s="31" t="s">
        <v>98</v>
      </c>
      <c r="M91" s="25" t="s">
        <v>99</v>
      </c>
      <c r="N91" s="32" t="s">
        <v>69</v>
      </c>
      <c r="O91" s="32" t="s">
        <v>240</v>
      </c>
      <c r="P91" s="51">
        <v>177.83333333333334</v>
      </c>
      <c r="Q91" s="57">
        <v>9785978111538</v>
      </c>
      <c r="R91" s="66">
        <v>0.34975</v>
      </c>
    </row>
    <row r="92" spans="1:18" ht="32.25" customHeight="1">
      <c r="A92" s="25" t="s">
        <v>394</v>
      </c>
      <c r="B92" s="25" t="s">
        <v>395</v>
      </c>
      <c r="C92" s="49" t="str">
        <f>HYPERLINK("http://www.atberg.aha.ru/samovar/konekgorbunokSB.gif")</f>
        <v>http://www.atberg.aha.ru/samovar/konekgorbunokSB.gif</v>
      </c>
      <c r="D92" s="27" t="s">
        <v>396</v>
      </c>
      <c r="E92" s="25" t="s">
        <v>397</v>
      </c>
      <c r="F92" s="28" t="s">
        <v>398</v>
      </c>
      <c r="G92" s="25"/>
      <c r="H92" s="29"/>
      <c r="I92" s="30" t="s">
        <v>97</v>
      </c>
      <c r="J92" s="30">
        <v>6.22</v>
      </c>
      <c r="K92" s="25" t="s">
        <v>66</v>
      </c>
      <c r="L92" s="31" t="s">
        <v>98</v>
      </c>
      <c r="M92" s="25" t="s">
        <v>99</v>
      </c>
      <c r="N92" s="32" t="s">
        <v>69</v>
      </c>
      <c r="O92" s="32" t="s">
        <v>229</v>
      </c>
      <c r="P92" s="51">
        <v>177.83333333333334</v>
      </c>
      <c r="Q92" s="57">
        <v>9785978111163</v>
      </c>
      <c r="R92" s="66">
        <v>0.311</v>
      </c>
    </row>
    <row r="93" spans="1:18" ht="32.25" customHeight="1">
      <c r="A93" s="25" t="s">
        <v>399</v>
      </c>
      <c r="B93" s="25" t="s">
        <v>400</v>
      </c>
      <c r="C93" s="49" t="str">
        <f>HYPERLINK("http://www.atberg.aha.ru/samovar/korkrivzerkal.gif")</f>
        <v>http://www.atberg.aha.ru/samovar/korkrivzerkal.gif</v>
      </c>
      <c r="D93" s="27" t="s">
        <v>401</v>
      </c>
      <c r="E93" s="25" t="s">
        <v>402</v>
      </c>
      <c r="F93" s="28" t="s">
        <v>403</v>
      </c>
      <c r="G93" s="25"/>
      <c r="H93" s="29"/>
      <c r="I93" s="30" t="s">
        <v>97</v>
      </c>
      <c r="J93" s="30">
        <v>4.96</v>
      </c>
      <c r="K93" s="25" t="s">
        <v>66</v>
      </c>
      <c r="L93" s="31" t="s">
        <v>98</v>
      </c>
      <c r="M93" s="25" t="s">
        <v>369</v>
      </c>
      <c r="N93" s="32" t="s">
        <v>69</v>
      </c>
      <c r="O93" s="32" t="s">
        <v>229</v>
      </c>
      <c r="P93" s="51">
        <v>177.83333333333334</v>
      </c>
      <c r="Q93" s="57">
        <v>9785978109917</v>
      </c>
      <c r="R93" s="66">
        <v>0.248</v>
      </c>
    </row>
    <row r="94" spans="1:18" ht="60.75" customHeight="1">
      <c r="A94" s="25" t="s">
        <v>404</v>
      </c>
      <c r="B94" s="25" t="s">
        <v>405</v>
      </c>
      <c r="C94" s="49" t="str">
        <f>HYPERLINK("http://atberg.aha.ru/samovar/sam-shb25.jpg")</f>
        <v>http://atberg.aha.ru/samovar/sam-shb25.jpg</v>
      </c>
      <c r="D94" s="27" t="s">
        <v>406</v>
      </c>
      <c r="E94" s="25" t="s">
        <v>407</v>
      </c>
      <c r="F94" s="28" t="s">
        <v>408</v>
      </c>
      <c r="G94" s="25"/>
      <c r="H94" s="29"/>
      <c r="I94" s="30" t="s">
        <v>97</v>
      </c>
      <c r="J94" s="30">
        <v>4.034</v>
      </c>
      <c r="K94" s="25" t="s">
        <v>66</v>
      </c>
      <c r="L94" s="31" t="s">
        <v>98</v>
      </c>
      <c r="M94" s="25" t="s">
        <v>252</v>
      </c>
      <c r="N94" s="32" t="s">
        <v>69</v>
      </c>
      <c r="O94" s="32" t="s">
        <v>409</v>
      </c>
      <c r="P94" s="51">
        <v>177.83333333333334</v>
      </c>
      <c r="Q94" s="57">
        <v>9785978111484</v>
      </c>
      <c r="R94" s="66">
        <v>0.2017</v>
      </c>
    </row>
    <row r="95" spans="1:18" ht="32.25" customHeight="1">
      <c r="A95" s="25" t="s">
        <v>410</v>
      </c>
      <c r="B95" s="25" t="s">
        <v>411</v>
      </c>
      <c r="C95" s="49" t="str">
        <f>HYPERLINK("http://www.atberg.aha.ru/samovar/kurolesovimatros.gif")</f>
        <v>http://www.atberg.aha.ru/samovar/kurolesovimatros.gif</v>
      </c>
      <c r="D95" s="27" t="s">
        <v>232</v>
      </c>
      <c r="E95" s="25" t="s">
        <v>412</v>
      </c>
      <c r="F95" s="28" t="s">
        <v>413</v>
      </c>
      <c r="G95" s="25"/>
      <c r="H95" s="29"/>
      <c r="I95" s="30" t="s">
        <v>97</v>
      </c>
      <c r="J95" s="30">
        <v>3.32</v>
      </c>
      <c r="K95" s="25" t="s">
        <v>66</v>
      </c>
      <c r="L95" s="31" t="s">
        <v>98</v>
      </c>
      <c r="M95" s="25" t="s">
        <v>414</v>
      </c>
      <c r="N95" s="32" t="s">
        <v>69</v>
      </c>
      <c r="O95" s="32" t="s">
        <v>229</v>
      </c>
      <c r="P95" s="51">
        <v>177.83333333333334</v>
      </c>
      <c r="Q95" s="57">
        <v>9785978111064</v>
      </c>
      <c r="R95" s="66">
        <v>0.16599999999999998</v>
      </c>
    </row>
    <row r="96" spans="1:18" ht="32.25" customHeight="1">
      <c r="A96" s="25" t="s">
        <v>415</v>
      </c>
      <c r="B96" s="25" t="s">
        <v>416</v>
      </c>
      <c r="C96" s="49" t="str">
        <f>HYPERLINK("http://www.atberg.aha.ru/samovar/mifyilegendydrevneygretsyi.gif")</f>
        <v>http://www.atberg.aha.ru/samovar/mifyilegendydrevneygretsyi.gif</v>
      </c>
      <c r="D96" s="27"/>
      <c r="E96" s="25" t="s">
        <v>417</v>
      </c>
      <c r="F96" s="28" t="s">
        <v>418</v>
      </c>
      <c r="G96" s="25"/>
      <c r="H96" s="29"/>
      <c r="I96" s="30" t="s">
        <v>97</v>
      </c>
      <c r="J96" s="30">
        <v>5.06</v>
      </c>
      <c r="K96" s="25" t="s">
        <v>66</v>
      </c>
      <c r="L96" s="31" t="s">
        <v>98</v>
      </c>
      <c r="M96" s="25" t="s">
        <v>126</v>
      </c>
      <c r="N96" s="32" t="s">
        <v>69</v>
      </c>
      <c r="O96" s="32" t="s">
        <v>229</v>
      </c>
      <c r="P96" s="51">
        <v>177.83333333333334</v>
      </c>
      <c r="Q96" s="57">
        <v>9785978109733</v>
      </c>
      <c r="R96" s="66">
        <v>0.253</v>
      </c>
    </row>
    <row r="97" spans="1:18" ht="21.75" customHeight="1">
      <c r="A97" s="25" t="s">
        <v>419</v>
      </c>
      <c r="B97" s="25" t="s">
        <v>420</v>
      </c>
      <c r="C97" s="49" t="str">
        <f>HYPERLINK("http://atberg.aha.ru/samovar/sam-shb16.jpg")</f>
        <v>http://atberg.aha.ru/samovar/sam-shb16.jpg</v>
      </c>
      <c r="D97" s="27" t="s">
        <v>421</v>
      </c>
      <c r="E97" s="25" t="s">
        <v>422</v>
      </c>
      <c r="F97" s="28" t="s">
        <v>423</v>
      </c>
      <c r="G97" s="25"/>
      <c r="H97" s="29"/>
      <c r="I97" s="30" t="s">
        <v>97</v>
      </c>
      <c r="J97" s="30">
        <v>6.44</v>
      </c>
      <c r="K97" s="25" t="s">
        <v>66</v>
      </c>
      <c r="L97" s="31" t="s">
        <v>98</v>
      </c>
      <c r="M97" s="25" t="s">
        <v>149</v>
      </c>
      <c r="N97" s="32" t="s">
        <v>69</v>
      </c>
      <c r="O97" s="32" t="s">
        <v>229</v>
      </c>
      <c r="P97" s="51">
        <v>177.83333333333334</v>
      </c>
      <c r="Q97" s="57">
        <v>9785978111118</v>
      </c>
      <c r="R97" s="66">
        <v>0.322</v>
      </c>
    </row>
    <row r="98" spans="1:18" ht="21.75" customHeight="1">
      <c r="A98" s="25" t="s">
        <v>424</v>
      </c>
      <c r="B98" s="25" t="s">
        <v>425</v>
      </c>
      <c r="C98" s="49" t="str">
        <f>HYPERLINK("http://atberg.aha.ru/samovar/sam-shb09.jpg")</f>
        <v>http://atberg.aha.ru/samovar/sam-shb09.jpg</v>
      </c>
      <c r="D98" s="27" t="s">
        <v>426</v>
      </c>
      <c r="E98" s="25" t="s">
        <v>358</v>
      </c>
      <c r="F98" s="28" t="s">
        <v>427</v>
      </c>
      <c r="G98" s="25"/>
      <c r="H98" s="29"/>
      <c r="I98" s="30" t="s">
        <v>97</v>
      </c>
      <c r="J98" s="30">
        <v>6.995</v>
      </c>
      <c r="K98" s="25" t="s">
        <v>66</v>
      </c>
      <c r="L98" s="31" t="s">
        <v>98</v>
      </c>
      <c r="M98" s="25" t="s">
        <v>99</v>
      </c>
      <c r="N98" s="32" t="s">
        <v>69</v>
      </c>
      <c r="O98" s="32" t="s">
        <v>240</v>
      </c>
      <c r="P98" s="51">
        <v>177.83333333333334</v>
      </c>
      <c r="Q98" s="57">
        <v>9785978110883</v>
      </c>
      <c r="R98" s="66">
        <v>0.34975</v>
      </c>
    </row>
    <row r="99" spans="1:18" ht="24.75" customHeight="1">
      <c r="A99" s="33" t="s">
        <v>428</v>
      </c>
      <c r="B99" s="33" t="s">
        <v>429</v>
      </c>
      <c r="C99" s="49" t="str">
        <f>HYPERLINK("http://atberg.aha.ru/samovar/sam-shb29.jpg")</f>
        <v>http://atberg.aha.ru/samovar/sam-shb29.jpg</v>
      </c>
      <c r="D99" s="34" t="s">
        <v>430</v>
      </c>
      <c r="E99" s="33" t="s">
        <v>431</v>
      </c>
      <c r="F99" s="35" t="s">
        <v>432</v>
      </c>
      <c r="G99" s="33" t="s">
        <v>90</v>
      </c>
      <c r="H99" s="36"/>
      <c r="I99" s="37" t="s">
        <v>97</v>
      </c>
      <c r="J99" s="37">
        <v>6.995</v>
      </c>
      <c r="K99" s="33" t="s">
        <v>66</v>
      </c>
      <c r="L99" s="38" t="s">
        <v>98</v>
      </c>
      <c r="M99" s="33" t="s">
        <v>149</v>
      </c>
      <c r="N99" s="39" t="s">
        <v>69</v>
      </c>
      <c r="O99" s="39" t="s">
        <v>229</v>
      </c>
      <c r="P99" s="51">
        <v>177.83333333333334</v>
      </c>
      <c r="Q99" s="58">
        <v>9785978111712</v>
      </c>
      <c r="R99" s="66">
        <v>0.34975</v>
      </c>
    </row>
    <row r="100" spans="1:18" ht="32.25" customHeight="1">
      <c r="A100" s="25" t="s">
        <v>433</v>
      </c>
      <c r="B100" s="25" t="s">
        <v>434</v>
      </c>
      <c r="C100" s="49" t="str">
        <f>HYPERLINK("http://www.atberg.aha.ru/samovar/myagkiyharakter.gif")</f>
        <v>http://www.atberg.aha.ru/samovar/myagkiyharakter.gif</v>
      </c>
      <c r="D100" s="27" t="s">
        <v>276</v>
      </c>
      <c r="E100" s="25" t="s">
        <v>435</v>
      </c>
      <c r="F100" s="28" t="s">
        <v>436</v>
      </c>
      <c r="G100" s="25"/>
      <c r="H100" s="29"/>
      <c r="I100" s="30" t="s">
        <v>97</v>
      </c>
      <c r="J100" s="30">
        <v>6.4</v>
      </c>
      <c r="K100" s="25" t="s">
        <v>66</v>
      </c>
      <c r="L100" s="31" t="s">
        <v>98</v>
      </c>
      <c r="M100" s="25" t="s">
        <v>217</v>
      </c>
      <c r="N100" s="32" t="s">
        <v>69</v>
      </c>
      <c r="O100" s="32" t="s">
        <v>229</v>
      </c>
      <c r="P100" s="51">
        <v>177.83333333333334</v>
      </c>
      <c r="Q100" s="57">
        <v>9785978111125</v>
      </c>
      <c r="R100" s="66">
        <v>0.32</v>
      </c>
    </row>
    <row r="101" spans="1:18" ht="32.25" customHeight="1">
      <c r="A101" s="25" t="s">
        <v>437</v>
      </c>
      <c r="B101" s="25" t="s">
        <v>438</v>
      </c>
      <c r="C101" s="49" t="str">
        <f>HYPERLINK("http://www.atberg.aha.ru/samovar/novpriklzheltogochemod.gif")</f>
        <v>http://www.atberg.aha.ru/samovar/novpriklzheltogochemod.gif</v>
      </c>
      <c r="D101" s="27" t="s">
        <v>439</v>
      </c>
      <c r="E101" s="25" t="s">
        <v>440</v>
      </c>
      <c r="F101" s="28" t="s">
        <v>441</v>
      </c>
      <c r="G101" s="25"/>
      <c r="H101" s="29"/>
      <c r="I101" s="30" t="s">
        <v>97</v>
      </c>
      <c r="J101" s="30">
        <v>4.48</v>
      </c>
      <c r="K101" s="25" t="s">
        <v>66</v>
      </c>
      <c r="L101" s="31" t="s">
        <v>98</v>
      </c>
      <c r="M101" s="25" t="s">
        <v>68</v>
      </c>
      <c r="N101" s="32" t="s">
        <v>69</v>
      </c>
      <c r="O101" s="32" t="s">
        <v>240</v>
      </c>
      <c r="P101" s="51">
        <v>177.83333333333334</v>
      </c>
      <c r="Q101" s="57">
        <v>9785978110746</v>
      </c>
      <c r="R101" s="66">
        <v>0.22400000000000003</v>
      </c>
    </row>
    <row r="102" spans="1:18" ht="32.25" customHeight="1">
      <c r="A102" s="25" t="s">
        <v>442</v>
      </c>
      <c r="B102" s="25" t="s">
        <v>443</v>
      </c>
      <c r="C102" s="49" t="str">
        <f>HYPERLINK("http://www.atberg.aha.ru/samovar/ognbogmaranov.gif")</f>
        <v>http://www.atberg.aha.ru/samovar/ognbogmaranov.gif</v>
      </c>
      <c r="D102" s="27" t="s">
        <v>322</v>
      </c>
      <c r="E102" s="25" t="s">
        <v>444</v>
      </c>
      <c r="F102" s="28" t="s">
        <v>445</v>
      </c>
      <c r="G102" s="25"/>
      <c r="H102" s="29"/>
      <c r="I102" s="30" t="s">
        <v>97</v>
      </c>
      <c r="J102" s="30">
        <v>6.52</v>
      </c>
      <c r="K102" s="25" t="s">
        <v>66</v>
      </c>
      <c r="L102" s="31" t="s">
        <v>98</v>
      </c>
      <c r="M102" s="25" t="s">
        <v>273</v>
      </c>
      <c r="N102" s="32" t="s">
        <v>69</v>
      </c>
      <c r="O102" s="32" t="s">
        <v>229</v>
      </c>
      <c r="P102" s="51">
        <v>177.83333333333334</v>
      </c>
      <c r="Q102" s="57">
        <v>9785978109719</v>
      </c>
      <c r="R102" s="66">
        <v>0.32599999999999996</v>
      </c>
    </row>
    <row r="103" spans="1:18" ht="32.25" customHeight="1">
      <c r="A103" s="25" t="s">
        <v>446</v>
      </c>
      <c r="B103" s="25" t="s">
        <v>447</v>
      </c>
      <c r="C103" s="49" t="str">
        <f>HYPERLINK("http://www.atberg.aha.ru/samovar/sam-shb15.jpg")</f>
        <v>http://www.atberg.aha.ru/samovar/sam-shb15.jpg</v>
      </c>
      <c r="D103" s="27" t="s">
        <v>448</v>
      </c>
      <c r="E103" s="25" t="s">
        <v>449</v>
      </c>
      <c r="F103" s="28" t="s">
        <v>450</v>
      </c>
      <c r="G103" s="25"/>
      <c r="H103" s="29"/>
      <c r="I103" s="30" t="s">
        <v>97</v>
      </c>
      <c r="J103" s="30">
        <v>6.8</v>
      </c>
      <c r="K103" s="25" t="s">
        <v>66</v>
      </c>
      <c r="L103" s="31" t="s">
        <v>98</v>
      </c>
      <c r="M103" s="25" t="s">
        <v>217</v>
      </c>
      <c r="N103" s="32" t="s">
        <v>69</v>
      </c>
      <c r="O103" s="32" t="s">
        <v>229</v>
      </c>
      <c r="P103" s="51">
        <v>177.83333333333334</v>
      </c>
      <c r="Q103" s="57">
        <v>9785978111200</v>
      </c>
      <c r="R103" s="66">
        <v>0.33999999999999997</v>
      </c>
    </row>
    <row r="104" spans="1:18" ht="32.25" customHeight="1">
      <c r="A104" s="25" t="s">
        <v>451</v>
      </c>
      <c r="B104" s="25" t="s">
        <v>452</v>
      </c>
      <c r="C104" s="49" t="str">
        <f>HYPERLINK("http://www.atberg.aha.ru/samovar/baronmunhgauz.gif")</f>
        <v>http://www.atberg.aha.ru/samovar/baronmunhgauz.gif</v>
      </c>
      <c r="D104" s="27" t="s">
        <v>453</v>
      </c>
      <c r="E104" s="25" t="s">
        <v>454</v>
      </c>
      <c r="F104" s="28" t="s">
        <v>455</v>
      </c>
      <c r="G104" s="25"/>
      <c r="H104" s="29"/>
      <c r="I104" s="30" t="s">
        <v>97</v>
      </c>
      <c r="J104" s="30">
        <v>4.14</v>
      </c>
      <c r="K104" s="25" t="s">
        <v>66</v>
      </c>
      <c r="L104" s="31" t="s">
        <v>98</v>
      </c>
      <c r="M104" s="25" t="s">
        <v>68</v>
      </c>
      <c r="N104" s="32" t="s">
        <v>69</v>
      </c>
      <c r="O104" s="32" t="s">
        <v>229</v>
      </c>
      <c r="P104" s="51">
        <v>177.83333333333334</v>
      </c>
      <c r="Q104" s="57">
        <v>9785978109245</v>
      </c>
      <c r="R104" s="66">
        <v>0.207</v>
      </c>
    </row>
    <row r="105" spans="1:18" ht="32.25" customHeight="1">
      <c r="A105" s="25" t="s">
        <v>456</v>
      </c>
      <c r="B105" s="25" t="s">
        <v>457</v>
      </c>
      <c r="C105" s="49" t="str">
        <f>HYPERLINK("http://www.atberg.aha.ru/samovar/priklburatino.gif")</f>
        <v>http://www.atberg.aha.ru/samovar/priklburatino.gif</v>
      </c>
      <c r="D105" s="27" t="s">
        <v>458</v>
      </c>
      <c r="E105" s="25" t="s">
        <v>459</v>
      </c>
      <c r="F105" s="28" t="s">
        <v>460</v>
      </c>
      <c r="G105" s="25"/>
      <c r="H105" s="29"/>
      <c r="I105" s="30" t="s">
        <v>97</v>
      </c>
      <c r="J105" s="30">
        <v>5.22</v>
      </c>
      <c r="K105" s="25" t="s">
        <v>66</v>
      </c>
      <c r="L105" s="31" t="s">
        <v>98</v>
      </c>
      <c r="M105" s="25" t="s">
        <v>126</v>
      </c>
      <c r="N105" s="32" t="s">
        <v>69</v>
      </c>
      <c r="O105" s="32" t="s">
        <v>229</v>
      </c>
      <c r="P105" s="51">
        <v>177.83333333333334</v>
      </c>
      <c r="Q105" s="57">
        <v>9785978109924</v>
      </c>
      <c r="R105" s="66">
        <v>0.261</v>
      </c>
    </row>
    <row r="106" spans="1:18" ht="32.25" customHeight="1">
      <c r="A106" s="25" t="s">
        <v>461</v>
      </c>
      <c r="B106" s="25" t="s">
        <v>462</v>
      </c>
      <c r="C106" s="49" t="str">
        <f>HYPERLINK("http://www.atberg.aha.ru/samovar/prikluchvasikurolesova.gif")</f>
        <v>http://www.atberg.aha.ru/samovar/prikluchvasikurolesova.gif</v>
      </c>
      <c r="D106" s="27" t="s">
        <v>232</v>
      </c>
      <c r="E106" s="25" t="s">
        <v>463</v>
      </c>
      <c r="F106" s="28" t="s">
        <v>464</v>
      </c>
      <c r="G106" s="25"/>
      <c r="H106" s="29"/>
      <c r="I106" s="30" t="s">
        <v>97</v>
      </c>
      <c r="J106" s="30">
        <v>5.56</v>
      </c>
      <c r="K106" s="25" t="s">
        <v>66</v>
      </c>
      <c r="L106" s="31" t="s">
        <v>98</v>
      </c>
      <c r="M106" s="25" t="s">
        <v>414</v>
      </c>
      <c r="N106" s="32" t="s">
        <v>69</v>
      </c>
      <c r="O106" s="32" t="s">
        <v>229</v>
      </c>
      <c r="P106" s="51">
        <v>177.83333333333334</v>
      </c>
      <c r="Q106" s="57">
        <v>9785978109252</v>
      </c>
      <c r="R106" s="66">
        <v>0.27799999999999997</v>
      </c>
    </row>
    <row r="107" spans="1:18" ht="32.25" customHeight="1">
      <c r="A107" s="25" t="s">
        <v>465</v>
      </c>
      <c r="B107" s="25" t="s">
        <v>466</v>
      </c>
      <c r="C107" s="49" t="str">
        <f>HYPERLINK("http://www.atberg.aha.ru/samovar/shkprikzhch.gif")</f>
        <v>http://www.atberg.aha.ru/samovar/shkprikzhch.gif</v>
      </c>
      <c r="D107" s="27" t="s">
        <v>439</v>
      </c>
      <c r="E107" s="25" t="s">
        <v>467</v>
      </c>
      <c r="F107" s="28" t="s">
        <v>468</v>
      </c>
      <c r="G107" s="25"/>
      <c r="H107" s="29"/>
      <c r="I107" s="30" t="s">
        <v>97</v>
      </c>
      <c r="J107" s="30">
        <v>5</v>
      </c>
      <c r="K107" s="25" t="s">
        <v>66</v>
      </c>
      <c r="L107" s="31" t="s">
        <v>98</v>
      </c>
      <c r="M107" s="25" t="s">
        <v>68</v>
      </c>
      <c r="N107" s="32" t="s">
        <v>69</v>
      </c>
      <c r="O107" s="32" t="s">
        <v>240</v>
      </c>
      <c r="P107" s="51">
        <v>177.83333333333334</v>
      </c>
      <c r="Q107" s="57">
        <v>9785978109412</v>
      </c>
      <c r="R107" s="66">
        <v>0.25</v>
      </c>
    </row>
    <row r="108" spans="1:18" ht="21.75" customHeight="1">
      <c r="A108" s="25" t="s">
        <v>469</v>
      </c>
      <c r="B108" s="25" t="s">
        <v>470</v>
      </c>
      <c r="C108" s="49" t="str">
        <f>HYPERLINK("http://atberg.aha.ru/samovar/sam-shb23.jpg")</f>
        <v>http://atberg.aha.ru/samovar/sam-shb23.jpg</v>
      </c>
      <c r="D108" s="27" t="s">
        <v>471</v>
      </c>
      <c r="E108" s="25" t="s">
        <v>472</v>
      </c>
      <c r="F108" s="28" t="s">
        <v>473</v>
      </c>
      <c r="G108" s="25"/>
      <c r="H108" s="29"/>
      <c r="I108" s="30" t="s">
        <v>97</v>
      </c>
      <c r="J108" s="30">
        <v>5.66</v>
      </c>
      <c r="K108" s="25" t="s">
        <v>66</v>
      </c>
      <c r="L108" s="31" t="s">
        <v>98</v>
      </c>
      <c r="M108" s="25" t="s">
        <v>474</v>
      </c>
      <c r="N108" s="32" t="s">
        <v>69</v>
      </c>
      <c r="O108" s="32" t="s">
        <v>475</v>
      </c>
      <c r="P108" s="51">
        <v>177.83333333333334</v>
      </c>
      <c r="Q108" s="57">
        <v>9785978111460</v>
      </c>
      <c r="R108" s="66">
        <v>0.28300000000000003</v>
      </c>
    </row>
    <row r="109" spans="1:18" ht="32.25" customHeight="1">
      <c r="A109" s="25" t="s">
        <v>476</v>
      </c>
      <c r="B109" s="25" t="s">
        <v>477</v>
      </c>
      <c r="C109" s="49" t="str">
        <f>HYPERLINK("http://www.atberg.aha.ru/samovar/shktomsoyer.gif")</f>
        <v>http://www.atberg.aha.ru/samovar/shktomsoyer.gif</v>
      </c>
      <c r="D109" s="27" t="s">
        <v>478</v>
      </c>
      <c r="E109" s="25" t="s">
        <v>479</v>
      </c>
      <c r="F109" s="28" t="s">
        <v>480</v>
      </c>
      <c r="G109" s="25"/>
      <c r="H109" s="29"/>
      <c r="I109" s="30" t="s">
        <v>97</v>
      </c>
      <c r="J109" s="30">
        <v>6.54</v>
      </c>
      <c r="K109" s="25" t="s">
        <v>66</v>
      </c>
      <c r="L109" s="31" t="s">
        <v>98</v>
      </c>
      <c r="M109" s="25" t="s">
        <v>217</v>
      </c>
      <c r="N109" s="32" t="s">
        <v>69</v>
      </c>
      <c r="O109" s="32" t="s">
        <v>229</v>
      </c>
      <c r="P109" s="51">
        <v>177.83333333333334</v>
      </c>
      <c r="Q109" s="57">
        <v>9785978109061</v>
      </c>
      <c r="R109" s="66">
        <v>0.327</v>
      </c>
    </row>
    <row r="110" spans="1:18" ht="32.25" customHeight="1">
      <c r="A110" s="25" t="s">
        <v>481</v>
      </c>
      <c r="B110" s="25" t="s">
        <v>482</v>
      </c>
      <c r="C110" s="49" t="str">
        <f>HYPERLINK("http://www.atberg.aha.ru/samovar/shkprikel.gif")</f>
        <v>http://www.atberg.aha.ru/samovar/shkprikel.gif</v>
      </c>
      <c r="D110" s="27" t="s">
        <v>483</v>
      </c>
      <c r="E110" s="25" t="s">
        <v>484</v>
      </c>
      <c r="F110" s="28" t="s">
        <v>485</v>
      </c>
      <c r="G110" s="25"/>
      <c r="H110" s="29"/>
      <c r="I110" s="30" t="s">
        <v>97</v>
      </c>
      <c r="J110" s="30">
        <v>5.7</v>
      </c>
      <c r="K110" s="25" t="s">
        <v>66</v>
      </c>
      <c r="L110" s="31" t="s">
        <v>98</v>
      </c>
      <c r="M110" s="25" t="s">
        <v>486</v>
      </c>
      <c r="N110" s="32" t="s">
        <v>69</v>
      </c>
      <c r="O110" s="32" t="s">
        <v>229</v>
      </c>
      <c r="P110" s="51">
        <v>177.83333333333334</v>
      </c>
      <c r="Q110" s="57">
        <v>9785978109894</v>
      </c>
      <c r="R110" s="66">
        <v>0.28500000000000003</v>
      </c>
    </row>
    <row r="111" spans="1:18" ht="32.25" customHeight="1">
      <c r="A111" s="25" t="s">
        <v>487</v>
      </c>
      <c r="B111" s="25" t="s">
        <v>488</v>
      </c>
      <c r="C111" s="49" t="str">
        <f>HYPERLINK("http://www.atberg.aha.ru/samovar/prinzinishiy.gif")</f>
        <v>http://www.atberg.aha.ru/samovar/prinzinishiy.gif</v>
      </c>
      <c r="D111" s="27" t="s">
        <v>478</v>
      </c>
      <c r="E111" s="25" t="s">
        <v>489</v>
      </c>
      <c r="F111" s="28" t="s">
        <v>490</v>
      </c>
      <c r="G111" s="25"/>
      <c r="H111" s="29"/>
      <c r="I111" s="30" t="s">
        <v>27</v>
      </c>
      <c r="J111" s="30">
        <v>5.876</v>
      </c>
      <c r="K111" s="25" t="s">
        <v>66</v>
      </c>
      <c r="L111" s="31" t="s">
        <v>98</v>
      </c>
      <c r="M111" s="25" t="s">
        <v>369</v>
      </c>
      <c r="N111" s="32" t="s">
        <v>69</v>
      </c>
      <c r="O111" s="32" t="s">
        <v>229</v>
      </c>
      <c r="P111" s="51">
        <v>177.83333333333334</v>
      </c>
      <c r="Q111" s="57">
        <v>9785978110043</v>
      </c>
      <c r="R111" s="66">
        <v>0.36725</v>
      </c>
    </row>
    <row r="112" spans="1:18" ht="21.75" customHeight="1">
      <c r="A112" s="25" t="s">
        <v>491</v>
      </c>
      <c r="B112" s="25" t="s">
        <v>492</v>
      </c>
      <c r="C112" s="49" t="str">
        <f>HYPERLINK("http://atberg.aha.ru/samovar/sam-shb27.jpg")</f>
        <v>http://atberg.aha.ru/samovar/sam-shb27.jpg</v>
      </c>
      <c r="D112" s="27" t="s">
        <v>493</v>
      </c>
      <c r="E112" s="25" t="s">
        <v>494</v>
      </c>
      <c r="F112" s="28" t="s">
        <v>495</v>
      </c>
      <c r="G112" s="25"/>
      <c r="H112" s="29"/>
      <c r="I112" s="30" t="s">
        <v>97</v>
      </c>
      <c r="J112" s="30">
        <v>4.5</v>
      </c>
      <c r="K112" s="25" t="s">
        <v>66</v>
      </c>
      <c r="L112" s="31" t="s">
        <v>98</v>
      </c>
      <c r="M112" s="25" t="s">
        <v>273</v>
      </c>
      <c r="N112" s="32" t="s">
        <v>69</v>
      </c>
      <c r="O112" s="32" t="s">
        <v>229</v>
      </c>
      <c r="P112" s="51">
        <v>177.83333333333334</v>
      </c>
      <c r="Q112" s="57">
        <v>9785978111507</v>
      </c>
      <c r="R112" s="66">
        <v>0.225</v>
      </c>
    </row>
    <row r="113" spans="1:18" ht="24.75" customHeight="1">
      <c r="A113" s="25" t="s">
        <v>496</v>
      </c>
      <c r="B113" s="25" t="s">
        <v>497</v>
      </c>
      <c r="C113" s="49" t="str">
        <f>HYPERLINK("http://www.atberg.aha.ru/samovar/guliver.gif")</f>
        <v>http://www.atberg.aha.ru/samovar/guliver.gif</v>
      </c>
      <c r="D113" s="27" t="s">
        <v>498</v>
      </c>
      <c r="E113" s="25" t="s">
        <v>499</v>
      </c>
      <c r="F113" s="28" t="s">
        <v>500</v>
      </c>
      <c r="G113" s="25"/>
      <c r="H113" s="29"/>
      <c r="I113" s="30" t="s">
        <v>97</v>
      </c>
      <c r="J113" s="30">
        <v>5.06</v>
      </c>
      <c r="K113" s="25" t="s">
        <v>66</v>
      </c>
      <c r="L113" s="31" t="s">
        <v>98</v>
      </c>
      <c r="M113" s="25" t="s">
        <v>501</v>
      </c>
      <c r="N113" s="32" t="s">
        <v>69</v>
      </c>
      <c r="O113" s="32" t="s">
        <v>229</v>
      </c>
      <c r="P113" s="51">
        <v>177.83333333333334</v>
      </c>
      <c r="Q113" s="57">
        <v>9785978109269</v>
      </c>
      <c r="R113" s="66">
        <v>0.253</v>
      </c>
    </row>
    <row r="114" spans="1:18" ht="32.25" customHeight="1">
      <c r="A114" s="25" t="s">
        <v>502</v>
      </c>
      <c r="B114" s="25" t="s">
        <v>503</v>
      </c>
      <c r="C114" s="49" t="str">
        <f>HYPERLINK("http://www.atberg.aha.ru/samovar/rasskazyzhitkov.gif")</f>
        <v>http://www.atberg.aha.ru/samovar/rasskazyzhitkov.gif</v>
      </c>
      <c r="D114" s="27" t="s">
        <v>504</v>
      </c>
      <c r="E114" s="25" t="s">
        <v>505</v>
      </c>
      <c r="F114" s="28" t="s">
        <v>506</v>
      </c>
      <c r="G114" s="25"/>
      <c r="H114" s="29"/>
      <c r="I114" s="30" t="s">
        <v>97</v>
      </c>
      <c r="J114" s="30">
        <v>5.5</v>
      </c>
      <c r="K114" s="25" t="s">
        <v>66</v>
      </c>
      <c r="L114" s="31" t="s">
        <v>98</v>
      </c>
      <c r="M114" s="25" t="s">
        <v>228</v>
      </c>
      <c r="N114" s="32" t="s">
        <v>69</v>
      </c>
      <c r="O114" s="32" t="s">
        <v>229</v>
      </c>
      <c r="P114" s="51">
        <v>177.83333333333334</v>
      </c>
      <c r="Q114" s="57">
        <v>9785978110562</v>
      </c>
      <c r="R114" s="66">
        <v>0.275</v>
      </c>
    </row>
    <row r="115" spans="1:18" ht="48.75" customHeight="1">
      <c r="A115" s="25" t="s">
        <v>507</v>
      </c>
      <c r="B115" s="25" t="s">
        <v>508</v>
      </c>
      <c r="C115" s="49" t="str">
        <f>HYPERLINK("http://www.atberg.aha.ru/samovar/rasskazyovoyne.gif")</f>
        <v>http://www.atberg.aha.ru/samovar/rasskazyovoyne.gif</v>
      </c>
      <c r="D115" s="27" t="s">
        <v>509</v>
      </c>
      <c r="E115" s="25" t="s">
        <v>510</v>
      </c>
      <c r="F115" s="28" t="s">
        <v>511</v>
      </c>
      <c r="G115" s="25"/>
      <c r="H115" s="29"/>
      <c r="I115" s="30" t="s">
        <v>97</v>
      </c>
      <c r="J115" s="30">
        <v>4.78</v>
      </c>
      <c r="K115" s="25" t="s">
        <v>66</v>
      </c>
      <c r="L115" s="31" t="s">
        <v>98</v>
      </c>
      <c r="M115" s="25" t="s">
        <v>149</v>
      </c>
      <c r="N115" s="32" t="s">
        <v>69</v>
      </c>
      <c r="O115" s="32" t="s">
        <v>229</v>
      </c>
      <c r="P115" s="51">
        <v>177.83333333333334</v>
      </c>
      <c r="Q115" s="57">
        <v>9785978109757</v>
      </c>
      <c r="R115" s="66">
        <v>0.23900000000000002</v>
      </c>
    </row>
    <row r="116" spans="1:18" ht="32.25" customHeight="1">
      <c r="A116" s="25" t="s">
        <v>512</v>
      </c>
      <c r="B116" s="25" t="s">
        <v>513</v>
      </c>
      <c r="C116" s="49" t="str">
        <f>HYPERLINK("http://www.atberg.aha.ru/samovar/shkrasis.gif")</f>
        <v>http://www.atberg.aha.ru/samovar/shkrasis.gif</v>
      </c>
      <c r="D116" s="27" t="s">
        <v>514</v>
      </c>
      <c r="E116" s="25" t="s">
        <v>515</v>
      </c>
      <c r="F116" s="28" t="s">
        <v>516</v>
      </c>
      <c r="G116" s="25"/>
      <c r="H116" s="29"/>
      <c r="I116" s="30" t="s">
        <v>97</v>
      </c>
      <c r="J116" s="30">
        <v>4.74</v>
      </c>
      <c r="K116" s="25" t="s">
        <v>66</v>
      </c>
      <c r="L116" s="31" t="s">
        <v>98</v>
      </c>
      <c r="M116" s="25" t="s">
        <v>99</v>
      </c>
      <c r="N116" s="32" t="s">
        <v>69</v>
      </c>
      <c r="O116" s="32" t="s">
        <v>240</v>
      </c>
      <c r="P116" s="51">
        <v>177.83333333333334</v>
      </c>
      <c r="Q116" s="57">
        <v>9785978109122</v>
      </c>
      <c r="R116" s="66">
        <v>0.23700000000000002</v>
      </c>
    </row>
    <row r="117" spans="1:18" ht="60.75" customHeight="1">
      <c r="A117" s="25" t="s">
        <v>517</v>
      </c>
      <c r="B117" s="25" t="s">
        <v>518</v>
      </c>
      <c r="C117" s="49" t="str">
        <f>HYPERLINK("http://www.atberg.aha.ru/samovar/rasskozhivotn.gif")</f>
        <v>http://www.atberg.aha.ru/samovar/rasskozhivotn.gif</v>
      </c>
      <c r="D117" s="27" t="s">
        <v>519</v>
      </c>
      <c r="E117" s="25" t="s">
        <v>520</v>
      </c>
      <c r="F117" s="28" t="s">
        <v>521</v>
      </c>
      <c r="G117" s="25"/>
      <c r="H117" s="29"/>
      <c r="I117" s="30" t="s">
        <v>97</v>
      </c>
      <c r="J117" s="30">
        <v>5.16</v>
      </c>
      <c r="K117" s="25" t="s">
        <v>66</v>
      </c>
      <c r="L117" s="31" t="s">
        <v>98</v>
      </c>
      <c r="M117" s="25" t="s">
        <v>99</v>
      </c>
      <c r="N117" s="32" t="s">
        <v>69</v>
      </c>
      <c r="O117" s="32" t="s">
        <v>229</v>
      </c>
      <c r="P117" s="51">
        <v>177.83333333333334</v>
      </c>
      <c r="Q117" s="57">
        <v>9785978109276</v>
      </c>
      <c r="R117" s="66">
        <v>0.258</v>
      </c>
    </row>
    <row r="118" spans="1:18" ht="36.75" customHeight="1">
      <c r="A118" s="25" t="s">
        <v>522</v>
      </c>
      <c r="B118" s="25" t="s">
        <v>523</v>
      </c>
      <c r="C118" s="49" t="str">
        <f>HYPERLINK("http://www.atberg.aha.ru/samovar/rasskazyoprirode.gif")</f>
        <v>http://www.atberg.aha.ru/samovar/rasskazyoprirode.gif</v>
      </c>
      <c r="D118" s="27" t="s">
        <v>524</v>
      </c>
      <c r="E118" s="25" t="s">
        <v>525</v>
      </c>
      <c r="F118" s="28" t="s">
        <v>526</v>
      </c>
      <c r="G118" s="25"/>
      <c r="H118" s="29"/>
      <c r="I118" s="30" t="s">
        <v>97</v>
      </c>
      <c r="J118" s="30">
        <v>5.8</v>
      </c>
      <c r="K118" s="25" t="s">
        <v>66</v>
      </c>
      <c r="L118" s="31" t="s">
        <v>98</v>
      </c>
      <c r="M118" s="25" t="s">
        <v>527</v>
      </c>
      <c r="N118" s="32" t="s">
        <v>69</v>
      </c>
      <c r="O118" s="32" t="s">
        <v>240</v>
      </c>
      <c r="P118" s="51">
        <v>177.83333333333334</v>
      </c>
      <c r="Q118" s="57">
        <v>9785978109788</v>
      </c>
      <c r="R118" s="66">
        <v>0.29</v>
      </c>
    </row>
    <row r="119" spans="1:18" ht="32.25" customHeight="1">
      <c r="A119" s="25" t="s">
        <v>528</v>
      </c>
      <c r="B119" s="25" t="s">
        <v>529</v>
      </c>
      <c r="C119" s="49" t="str">
        <f>HYPERLINK("http://www.atberg.aha.ru/samovar/sherlokholms.gif")</f>
        <v>http://www.atberg.aha.ru/samovar/sherlokholms.gif</v>
      </c>
      <c r="D119" s="27" t="s">
        <v>530</v>
      </c>
      <c r="E119" s="25" t="s">
        <v>531</v>
      </c>
      <c r="F119" s="28" t="s">
        <v>532</v>
      </c>
      <c r="G119" s="25"/>
      <c r="H119" s="29"/>
      <c r="I119" s="30" t="s">
        <v>97</v>
      </c>
      <c r="J119" s="30">
        <v>5.9</v>
      </c>
      <c r="K119" s="25" t="s">
        <v>66</v>
      </c>
      <c r="L119" s="31" t="s">
        <v>98</v>
      </c>
      <c r="M119" s="25" t="s">
        <v>533</v>
      </c>
      <c r="N119" s="32" t="s">
        <v>69</v>
      </c>
      <c r="O119" s="32" t="s">
        <v>229</v>
      </c>
      <c r="P119" s="51">
        <v>177.83333333333334</v>
      </c>
      <c r="Q119" s="57">
        <v>9785978110128</v>
      </c>
      <c r="R119" s="66">
        <v>0.29500000000000004</v>
      </c>
    </row>
    <row r="120" spans="1:18" ht="32.25" customHeight="1">
      <c r="A120" s="25" t="s">
        <v>534</v>
      </c>
      <c r="B120" s="25" t="s">
        <v>535</v>
      </c>
      <c r="C120" s="49" t="str">
        <f>HYPERLINK("http://www.atberg.aha.ru/samovar/rasskazyprozvereyiptits.gif")</f>
        <v>http://www.atberg.aha.ru/samovar/rasskazyprozvereyiptits.gif</v>
      </c>
      <c r="D120" s="27" t="s">
        <v>536</v>
      </c>
      <c r="E120" s="25" t="s">
        <v>537</v>
      </c>
      <c r="F120" s="28" t="s">
        <v>538</v>
      </c>
      <c r="G120" s="25"/>
      <c r="H120" s="29"/>
      <c r="I120" s="30" t="s">
        <v>97</v>
      </c>
      <c r="J120" s="30">
        <v>3.42</v>
      </c>
      <c r="K120" s="25" t="s">
        <v>66</v>
      </c>
      <c r="L120" s="31" t="s">
        <v>98</v>
      </c>
      <c r="M120" s="25" t="s">
        <v>68</v>
      </c>
      <c r="N120" s="32" t="s">
        <v>69</v>
      </c>
      <c r="O120" s="32" t="s">
        <v>240</v>
      </c>
      <c r="P120" s="51">
        <v>177.83333333333334</v>
      </c>
      <c r="Q120" s="57">
        <v>9785978109115</v>
      </c>
      <c r="R120" s="66">
        <v>0.17099999999999999</v>
      </c>
    </row>
    <row r="121" spans="1:18" ht="32.25" customHeight="1">
      <c r="A121" s="25" t="s">
        <v>539</v>
      </c>
      <c r="B121" s="25" t="s">
        <v>540</v>
      </c>
      <c r="C121" s="49" t="str">
        <f>HYPERLINK("http://www.atberg.aha.ru/samovar/rasskazyrusskihpisateley.gif")</f>
        <v>http://www.atberg.aha.ru/samovar/rasskazyrusskihpisateley.gif</v>
      </c>
      <c r="D121" s="27" t="s">
        <v>115</v>
      </c>
      <c r="E121" s="25" t="s">
        <v>541</v>
      </c>
      <c r="F121" s="28" t="s">
        <v>542</v>
      </c>
      <c r="G121" s="25"/>
      <c r="H121" s="29"/>
      <c r="I121" s="30" t="s">
        <v>97</v>
      </c>
      <c r="J121" s="30">
        <v>6.7</v>
      </c>
      <c r="K121" s="25" t="s">
        <v>66</v>
      </c>
      <c r="L121" s="31" t="s">
        <v>98</v>
      </c>
      <c r="M121" s="25" t="s">
        <v>149</v>
      </c>
      <c r="N121" s="32" t="s">
        <v>69</v>
      </c>
      <c r="O121" s="32" t="s">
        <v>229</v>
      </c>
      <c r="P121" s="51">
        <v>177.83333333333334</v>
      </c>
      <c r="Q121" s="57">
        <v>9785978109467</v>
      </c>
      <c r="R121" s="66">
        <v>0.335</v>
      </c>
    </row>
    <row r="122" spans="1:18" ht="21.75" customHeight="1">
      <c r="A122" s="25" t="s">
        <v>543</v>
      </c>
      <c r="B122" s="25" t="s">
        <v>544</v>
      </c>
      <c r="C122" s="49" t="str">
        <f>HYPERLINK("http://atberg.aha.ru/samovar/sam-shb20.jpg")</f>
        <v>http://atberg.aha.ru/samovar/sam-shb20.jpg</v>
      </c>
      <c r="D122" s="27" t="s">
        <v>545</v>
      </c>
      <c r="E122" s="25" t="s">
        <v>546</v>
      </c>
      <c r="F122" s="28" t="s">
        <v>547</v>
      </c>
      <c r="G122" s="25"/>
      <c r="H122" s="29"/>
      <c r="I122" s="30" t="s">
        <v>97</v>
      </c>
      <c r="J122" s="30">
        <v>4.96</v>
      </c>
      <c r="K122" s="25" t="s">
        <v>66</v>
      </c>
      <c r="L122" s="31" t="s">
        <v>98</v>
      </c>
      <c r="M122" s="25" t="s">
        <v>252</v>
      </c>
      <c r="N122" s="32" t="s">
        <v>69</v>
      </c>
      <c r="O122" s="32" t="s">
        <v>240</v>
      </c>
      <c r="P122" s="51">
        <v>177.83333333333334</v>
      </c>
      <c r="Q122" s="57">
        <v>9785978111316</v>
      </c>
      <c r="R122" s="66">
        <v>0.248</v>
      </c>
    </row>
    <row r="123" spans="1:18" ht="32.25" customHeight="1">
      <c r="A123" s="25" t="s">
        <v>548</v>
      </c>
      <c r="B123" s="25" t="s">
        <v>549</v>
      </c>
      <c r="C123" s="49" t="str">
        <f>HYPERLINK("http://www.atberg.aha.ru/samovar/sempodzemnihkor.gif")</f>
        <v>http://www.atberg.aha.ru/samovar/sempodzemnihkor.gif</v>
      </c>
      <c r="D123" s="27" t="s">
        <v>322</v>
      </c>
      <c r="E123" s="25" t="s">
        <v>550</v>
      </c>
      <c r="F123" s="28" t="s">
        <v>551</v>
      </c>
      <c r="G123" s="25"/>
      <c r="H123" s="29"/>
      <c r="I123" s="30" t="s">
        <v>97</v>
      </c>
      <c r="J123" s="30">
        <v>5.6</v>
      </c>
      <c r="K123" s="25" t="s">
        <v>66</v>
      </c>
      <c r="L123" s="31" t="s">
        <v>98</v>
      </c>
      <c r="M123" s="25" t="s">
        <v>198</v>
      </c>
      <c r="N123" s="32" t="s">
        <v>69</v>
      </c>
      <c r="O123" s="32" t="s">
        <v>229</v>
      </c>
      <c r="P123" s="51">
        <v>177.83333333333334</v>
      </c>
      <c r="Q123" s="57">
        <v>9785978110500</v>
      </c>
      <c r="R123" s="66">
        <v>0.27999999999999997</v>
      </c>
    </row>
    <row r="124" spans="1:18" ht="32.25" customHeight="1">
      <c r="A124" s="25" t="s">
        <v>552</v>
      </c>
      <c r="B124" s="25" t="s">
        <v>553</v>
      </c>
      <c r="C124" s="49" t="str">
        <f>HYPERLINK("http://www.atberg.aha.ru/samovar/skazopotervremeni.gif")</f>
        <v>http://www.atberg.aha.ru/samovar/skazopotervremeni.gif</v>
      </c>
      <c r="D124" s="27" t="s">
        <v>554</v>
      </c>
      <c r="E124" s="25" t="s">
        <v>555</v>
      </c>
      <c r="F124" s="28" t="s">
        <v>556</v>
      </c>
      <c r="G124" s="25"/>
      <c r="H124" s="29"/>
      <c r="I124" s="30" t="s">
        <v>97</v>
      </c>
      <c r="J124" s="30">
        <v>4.804</v>
      </c>
      <c r="K124" s="25" t="s">
        <v>66</v>
      </c>
      <c r="L124" s="31" t="s">
        <v>98</v>
      </c>
      <c r="M124" s="25" t="s">
        <v>68</v>
      </c>
      <c r="N124" s="32" t="s">
        <v>69</v>
      </c>
      <c r="O124" s="32" t="s">
        <v>240</v>
      </c>
      <c r="P124" s="51">
        <v>177.83333333333334</v>
      </c>
      <c r="Q124" s="57">
        <v>9785978109573</v>
      </c>
      <c r="R124" s="66">
        <v>0.24020000000000002</v>
      </c>
    </row>
    <row r="125" spans="1:18" ht="32.25" customHeight="1">
      <c r="A125" s="25" t="s">
        <v>557</v>
      </c>
      <c r="B125" s="25" t="s">
        <v>558</v>
      </c>
      <c r="C125" s="49" t="str">
        <f>HYPERLINK("http://www.atberg.aha.ru/samovar/skazkiizlesa.gif")</f>
        <v>http://www.atberg.aha.ru/samovar/skazkiizlesa.gif</v>
      </c>
      <c r="D125" s="27"/>
      <c r="E125" s="25" t="s">
        <v>559</v>
      </c>
      <c r="F125" s="28" t="s">
        <v>560</v>
      </c>
      <c r="G125" s="25"/>
      <c r="H125" s="29"/>
      <c r="I125" s="30" t="s">
        <v>97</v>
      </c>
      <c r="J125" s="30">
        <v>4.36</v>
      </c>
      <c r="K125" s="25" t="s">
        <v>66</v>
      </c>
      <c r="L125" s="31" t="s">
        <v>98</v>
      </c>
      <c r="M125" s="25" t="s">
        <v>68</v>
      </c>
      <c r="N125" s="32" t="s">
        <v>69</v>
      </c>
      <c r="O125" s="32" t="s">
        <v>240</v>
      </c>
      <c r="P125" s="51">
        <v>177.83333333333334</v>
      </c>
      <c r="Q125" s="57">
        <v>9785978110357</v>
      </c>
      <c r="R125" s="66">
        <v>0.21800000000000003</v>
      </c>
    </row>
    <row r="126" spans="1:18" ht="32.25" customHeight="1">
      <c r="A126" s="25" t="s">
        <v>561</v>
      </c>
      <c r="B126" s="25" t="s">
        <v>562</v>
      </c>
      <c r="C126" s="49" t="str">
        <f>HYPERLINK("http://www.atberg.aha.ru/samovar/skazkirusskihpisateley.gif")</f>
        <v>http://www.atberg.aha.ru/samovar/skazkirusskihpisateley.gif</v>
      </c>
      <c r="D126" s="27" t="s">
        <v>115</v>
      </c>
      <c r="E126" s="25" t="s">
        <v>563</v>
      </c>
      <c r="F126" s="28" t="s">
        <v>564</v>
      </c>
      <c r="G126" s="25"/>
      <c r="H126" s="29"/>
      <c r="I126" s="30" t="s">
        <v>97</v>
      </c>
      <c r="J126" s="30">
        <v>6.995</v>
      </c>
      <c r="K126" s="25" t="s">
        <v>66</v>
      </c>
      <c r="L126" s="31" t="s">
        <v>98</v>
      </c>
      <c r="M126" s="25" t="s">
        <v>198</v>
      </c>
      <c r="N126" s="32" t="s">
        <v>69</v>
      </c>
      <c r="O126" s="32" t="s">
        <v>240</v>
      </c>
      <c r="P126" s="51">
        <v>177.83333333333334</v>
      </c>
      <c r="Q126" s="57">
        <v>9785978109825</v>
      </c>
      <c r="R126" s="66">
        <v>0.34975</v>
      </c>
    </row>
    <row r="127" spans="1:18" ht="36.75" customHeight="1">
      <c r="A127" s="25" t="s">
        <v>565</v>
      </c>
      <c r="B127" s="25" t="s">
        <v>566</v>
      </c>
      <c r="C127" s="49" t="str">
        <f>HYPERLINK("http://www.atberg.aha.ru/samovar/shksmrass.gif")</f>
        <v>http://www.atberg.aha.ru/samovar/shksmrass.gif</v>
      </c>
      <c r="D127" s="27" t="s">
        <v>567</v>
      </c>
      <c r="E127" s="25" t="s">
        <v>568</v>
      </c>
      <c r="F127" s="28" t="s">
        <v>569</v>
      </c>
      <c r="G127" s="25"/>
      <c r="H127" s="29"/>
      <c r="I127" s="30" t="s">
        <v>97</v>
      </c>
      <c r="J127" s="30">
        <v>4.84</v>
      </c>
      <c r="K127" s="25" t="s">
        <v>66</v>
      </c>
      <c r="L127" s="31" t="s">
        <v>98</v>
      </c>
      <c r="M127" s="25" t="s">
        <v>99</v>
      </c>
      <c r="N127" s="32" t="s">
        <v>69</v>
      </c>
      <c r="O127" s="32" t="s">
        <v>240</v>
      </c>
      <c r="P127" s="51">
        <v>177.83333333333334</v>
      </c>
      <c r="Q127" s="57">
        <v>9785978109443</v>
      </c>
      <c r="R127" s="66">
        <v>0.242</v>
      </c>
    </row>
    <row r="128" spans="1:18" ht="36.75" customHeight="1">
      <c r="A128" s="25" t="s">
        <v>570</v>
      </c>
      <c r="B128" s="25" t="s">
        <v>571</v>
      </c>
      <c r="C128" s="49" t="str">
        <f>HYPERLINK("http://www.atberg.aha.ru/samovar/shksmrosh.gif")</f>
        <v>http://www.atberg.aha.ru/samovar/shksmrosh.gif</v>
      </c>
      <c r="D128" s="27" t="s">
        <v>572</v>
      </c>
      <c r="E128" s="25" t="s">
        <v>573</v>
      </c>
      <c r="F128" s="28" t="s">
        <v>574</v>
      </c>
      <c r="G128" s="25"/>
      <c r="H128" s="29"/>
      <c r="I128" s="30" t="s">
        <v>97</v>
      </c>
      <c r="J128" s="30">
        <v>4.05</v>
      </c>
      <c r="K128" s="25" t="s">
        <v>66</v>
      </c>
      <c r="L128" s="31" t="s">
        <v>98</v>
      </c>
      <c r="M128" s="25" t="s">
        <v>99</v>
      </c>
      <c r="N128" s="32" t="s">
        <v>69</v>
      </c>
      <c r="O128" s="32" t="s">
        <v>240</v>
      </c>
      <c r="P128" s="51">
        <v>177.83333333333334</v>
      </c>
      <c r="Q128" s="57">
        <v>9785978108842</v>
      </c>
      <c r="R128" s="66">
        <v>0.20249999999999999</v>
      </c>
    </row>
    <row r="129" spans="1:18" ht="32.25" customHeight="1">
      <c r="A129" s="25" t="s">
        <v>575</v>
      </c>
      <c r="B129" s="25" t="s">
        <v>576</v>
      </c>
      <c r="C129" s="49" t="str">
        <f>HYPERLINK("http://www.atberg.aha.ru/samovar/starikhottabych.gif")</f>
        <v>http://www.atberg.aha.ru/samovar/starikhottabych.gif</v>
      </c>
      <c r="D129" s="27" t="s">
        <v>577</v>
      </c>
      <c r="E129" s="25" t="s">
        <v>578</v>
      </c>
      <c r="F129" s="28" t="s">
        <v>579</v>
      </c>
      <c r="G129" s="25"/>
      <c r="H129" s="29"/>
      <c r="I129" s="30" t="s">
        <v>97</v>
      </c>
      <c r="J129" s="30">
        <v>7</v>
      </c>
      <c r="K129" s="25" t="s">
        <v>66</v>
      </c>
      <c r="L129" s="31" t="s">
        <v>98</v>
      </c>
      <c r="M129" s="25" t="s">
        <v>212</v>
      </c>
      <c r="N129" s="32" t="s">
        <v>69</v>
      </c>
      <c r="O129" s="32" t="s">
        <v>229</v>
      </c>
      <c r="P129" s="51">
        <v>177.83333333333334</v>
      </c>
      <c r="Q129" s="57">
        <v>9785978109283</v>
      </c>
      <c r="R129" s="66">
        <v>0.35</v>
      </c>
    </row>
    <row r="130" spans="1:18" ht="21.75" customHeight="1">
      <c r="A130" s="25" t="s">
        <v>580</v>
      </c>
      <c r="B130" s="25" t="s">
        <v>581</v>
      </c>
      <c r="C130" s="49" t="str">
        <f>HYPERLINK("http://atberg.aha.ru/samovar/sam-shb12.jpg")</f>
        <v>http://atberg.aha.ru/samovar/sam-shb12.jpg</v>
      </c>
      <c r="D130" s="27" t="s">
        <v>582</v>
      </c>
      <c r="E130" s="25" t="s">
        <v>583</v>
      </c>
      <c r="F130" s="28" t="s">
        <v>584</v>
      </c>
      <c r="G130" s="25"/>
      <c r="H130" s="29"/>
      <c r="I130" s="30" t="s">
        <v>97</v>
      </c>
      <c r="J130" s="30">
        <v>6.995</v>
      </c>
      <c r="K130" s="25" t="s">
        <v>66</v>
      </c>
      <c r="L130" s="31" t="s">
        <v>98</v>
      </c>
      <c r="M130" s="25" t="s">
        <v>273</v>
      </c>
      <c r="N130" s="32" t="s">
        <v>69</v>
      </c>
      <c r="O130" s="32" t="s">
        <v>229</v>
      </c>
      <c r="P130" s="51">
        <v>177.83333333333334</v>
      </c>
      <c r="Q130" s="57">
        <v>9785978110753</v>
      </c>
      <c r="R130" s="66">
        <v>0.34975</v>
      </c>
    </row>
    <row r="131" spans="1:18" ht="32.25" customHeight="1">
      <c r="A131" s="25" t="s">
        <v>585</v>
      </c>
      <c r="B131" s="25" t="s">
        <v>586</v>
      </c>
      <c r="C131" s="49" t="str">
        <f>HYPERLINK("http://www.atberg.aha.ru/samovar/sam-shb06.jpg")</f>
        <v>http://www.atberg.aha.ru/samovar/sam-shb06.jpg</v>
      </c>
      <c r="D131" s="27" t="s">
        <v>322</v>
      </c>
      <c r="E131" s="25" t="s">
        <v>587</v>
      </c>
      <c r="F131" s="28" t="s">
        <v>588</v>
      </c>
      <c r="G131" s="25"/>
      <c r="H131" s="29"/>
      <c r="I131" s="30" t="s">
        <v>97</v>
      </c>
      <c r="J131" s="30">
        <v>5.34</v>
      </c>
      <c r="K131" s="25" t="s">
        <v>66</v>
      </c>
      <c r="L131" s="31" t="s">
        <v>98</v>
      </c>
      <c r="M131" s="25" t="s">
        <v>228</v>
      </c>
      <c r="N131" s="32" t="s">
        <v>69</v>
      </c>
      <c r="O131" s="32" t="s">
        <v>229</v>
      </c>
      <c r="P131" s="51">
        <v>177.83333333333334</v>
      </c>
      <c r="Q131" s="57">
        <v>9785978108750</v>
      </c>
      <c r="R131" s="66">
        <v>0.267</v>
      </c>
    </row>
    <row r="132" spans="1:18" ht="42.75" customHeight="1">
      <c r="A132" s="25" t="s">
        <v>589</v>
      </c>
      <c r="B132" s="25" t="s">
        <v>590</v>
      </c>
      <c r="C132" s="49" t="str">
        <f>HYPERLINK("http://www.atberg.aha.ru/samovar/timuriegokomanda.gif 9785978103366")</f>
        <v>http://www.atberg.aha.ru/samovar/timuriegokomanda.gif 9785978103366</v>
      </c>
      <c r="D132" s="27" t="s">
        <v>591</v>
      </c>
      <c r="E132" s="25" t="s">
        <v>592</v>
      </c>
      <c r="F132" s="28" t="s">
        <v>593</v>
      </c>
      <c r="G132" s="25"/>
      <c r="H132" s="29"/>
      <c r="I132" s="30" t="s">
        <v>97</v>
      </c>
      <c r="J132" s="30">
        <v>5.54</v>
      </c>
      <c r="K132" s="25" t="s">
        <v>66</v>
      </c>
      <c r="L132" s="31" t="s">
        <v>98</v>
      </c>
      <c r="M132" s="25" t="s">
        <v>228</v>
      </c>
      <c r="N132" s="32" t="s">
        <v>69</v>
      </c>
      <c r="O132" s="32" t="s">
        <v>229</v>
      </c>
      <c r="P132" s="51">
        <v>177.83333333333334</v>
      </c>
      <c r="Q132" s="57">
        <v>9785978108859</v>
      </c>
      <c r="R132" s="66">
        <v>0.277</v>
      </c>
    </row>
    <row r="133" spans="1:18" ht="32.25" customHeight="1">
      <c r="A133" s="25" t="s">
        <v>594</v>
      </c>
      <c r="B133" s="25" t="s">
        <v>595</v>
      </c>
      <c r="C133" s="49" t="str">
        <f>HYPERLINK("http://www.atberg.aha.ru/samovar/tritolstyaka.gif")</f>
        <v>http://www.atberg.aha.ru/samovar/tritolstyaka.gif</v>
      </c>
      <c r="D133" s="27" t="s">
        <v>596</v>
      </c>
      <c r="E133" s="25" t="s">
        <v>597</v>
      </c>
      <c r="F133" s="28" t="s">
        <v>598</v>
      </c>
      <c r="G133" s="25"/>
      <c r="H133" s="29"/>
      <c r="I133" s="30" t="s">
        <v>97</v>
      </c>
      <c r="J133" s="30">
        <v>5.08</v>
      </c>
      <c r="K133" s="25" t="s">
        <v>66</v>
      </c>
      <c r="L133" s="31" t="s">
        <v>98</v>
      </c>
      <c r="M133" s="25" t="s">
        <v>228</v>
      </c>
      <c r="N133" s="32" t="s">
        <v>69</v>
      </c>
      <c r="O133" s="32" t="s">
        <v>229</v>
      </c>
      <c r="P133" s="51">
        <v>177.83333333333334</v>
      </c>
      <c r="Q133" s="57">
        <v>9785978109542</v>
      </c>
      <c r="R133" s="66">
        <v>0.254</v>
      </c>
    </row>
    <row r="134" spans="1:18" ht="32.25" customHeight="1">
      <c r="A134" s="25" t="s">
        <v>599</v>
      </c>
      <c r="B134" s="25" t="s">
        <v>600</v>
      </c>
      <c r="C134" s="49" t="str">
        <f>HYPERLINK("http://www.atberg.aha.ru/samovar/uralskieskazy.gif")</f>
        <v>http://www.atberg.aha.ru/samovar/uralskieskazy.gif</v>
      </c>
      <c r="D134" s="27" t="s">
        <v>601</v>
      </c>
      <c r="E134" s="25" t="s">
        <v>602</v>
      </c>
      <c r="F134" s="28" t="s">
        <v>603</v>
      </c>
      <c r="G134" s="25"/>
      <c r="H134" s="29"/>
      <c r="I134" s="30" t="s">
        <v>97</v>
      </c>
      <c r="J134" s="30">
        <v>4</v>
      </c>
      <c r="K134" s="25" t="s">
        <v>66</v>
      </c>
      <c r="L134" s="31" t="s">
        <v>98</v>
      </c>
      <c r="M134" s="25" t="s">
        <v>252</v>
      </c>
      <c r="N134" s="32" t="s">
        <v>69</v>
      </c>
      <c r="O134" s="32" t="s">
        <v>229</v>
      </c>
      <c r="P134" s="51">
        <v>177.83333333333334</v>
      </c>
      <c r="Q134" s="57">
        <v>9785978109870</v>
      </c>
      <c r="R134" s="66">
        <v>0.2</v>
      </c>
    </row>
    <row r="135" spans="1:18" ht="21.75" customHeight="1">
      <c r="A135" s="25" t="s">
        <v>604</v>
      </c>
      <c r="B135" s="25" t="s">
        <v>605</v>
      </c>
      <c r="C135" s="49" t="str">
        <f>HYPERLINK("http://www.atberg.aha.ru/samovar/urfinjus.gif")</f>
        <v>http://www.atberg.aha.ru/samovar/urfinjus.gif</v>
      </c>
      <c r="D135" s="27" t="s">
        <v>322</v>
      </c>
      <c r="E135" s="25" t="s">
        <v>606</v>
      </c>
      <c r="F135" s="28" t="s">
        <v>607</v>
      </c>
      <c r="G135" s="25"/>
      <c r="H135" s="29"/>
      <c r="I135" s="30" t="s">
        <v>97</v>
      </c>
      <c r="J135" s="30">
        <v>5.97</v>
      </c>
      <c r="K135" s="25" t="s">
        <v>66</v>
      </c>
      <c r="L135" s="31" t="s">
        <v>98</v>
      </c>
      <c r="M135" s="25" t="s">
        <v>198</v>
      </c>
      <c r="N135" s="32" t="s">
        <v>69</v>
      </c>
      <c r="O135" s="32" t="s">
        <v>229</v>
      </c>
      <c r="P135" s="51">
        <v>177.83333333333334</v>
      </c>
      <c r="Q135" s="57">
        <v>9785978108972</v>
      </c>
      <c r="R135" s="66">
        <v>0.2985</v>
      </c>
    </row>
    <row r="136" spans="1:18" ht="32.25" customHeight="1">
      <c r="A136" s="25" t="s">
        <v>608</v>
      </c>
      <c r="B136" s="25" t="s">
        <v>609</v>
      </c>
      <c r="C136" s="49" t="str">
        <f>HYPERLINK("http://www.atberg.aha.ru/samovar/fantastichrassk.gif")</f>
        <v>http://www.atberg.aha.ru/samovar/fantastichrassk.gif</v>
      </c>
      <c r="D136" s="27" t="s">
        <v>610</v>
      </c>
      <c r="E136" s="25" t="s">
        <v>611</v>
      </c>
      <c r="F136" s="28" t="s">
        <v>612</v>
      </c>
      <c r="G136" s="25"/>
      <c r="H136" s="29"/>
      <c r="I136" s="30" t="s">
        <v>97</v>
      </c>
      <c r="J136" s="30">
        <v>5.24</v>
      </c>
      <c r="K136" s="25" t="s">
        <v>66</v>
      </c>
      <c r="L136" s="31" t="s">
        <v>98</v>
      </c>
      <c r="M136" s="25" t="s">
        <v>99</v>
      </c>
      <c r="N136" s="32" t="s">
        <v>69</v>
      </c>
      <c r="O136" s="32" t="s">
        <v>229</v>
      </c>
      <c r="P136" s="51">
        <v>177.83333333333334</v>
      </c>
      <c r="Q136" s="57">
        <v>9785978110869</v>
      </c>
      <c r="R136" s="66">
        <v>0.262</v>
      </c>
    </row>
    <row r="137" spans="1:18" ht="32.25" customHeight="1">
      <c r="A137" s="25" t="s">
        <v>613</v>
      </c>
      <c r="B137" s="25" t="s">
        <v>614</v>
      </c>
      <c r="C137" s="49" t="str">
        <f>HYPERLINK("http://www.atberg.aha.ru/samovar/hrestomatiya1.gif")</f>
        <v>http://www.atberg.aha.ru/samovar/hrestomatiya1.gif</v>
      </c>
      <c r="D137" s="27" t="s">
        <v>115</v>
      </c>
      <c r="E137" s="25" t="s">
        <v>615</v>
      </c>
      <c r="F137" s="28" t="s">
        <v>616</v>
      </c>
      <c r="G137" s="25"/>
      <c r="H137" s="29"/>
      <c r="I137" s="30" t="s">
        <v>617</v>
      </c>
      <c r="J137" s="30">
        <v>6.995</v>
      </c>
      <c r="K137" s="25" t="s">
        <v>66</v>
      </c>
      <c r="L137" s="31" t="s">
        <v>98</v>
      </c>
      <c r="M137" s="25" t="s">
        <v>212</v>
      </c>
      <c r="N137" s="32" t="s">
        <v>69</v>
      </c>
      <c r="O137" s="32" t="s">
        <v>240</v>
      </c>
      <c r="P137" s="51">
        <v>177.83333333333334</v>
      </c>
      <c r="Q137" s="57">
        <v>9785978108941</v>
      </c>
      <c r="R137" s="66">
        <v>0.49964285714285717</v>
      </c>
    </row>
    <row r="138" spans="1:18" ht="32.25" customHeight="1">
      <c r="A138" s="25" t="s">
        <v>618</v>
      </c>
      <c r="B138" s="25" t="s">
        <v>619</v>
      </c>
      <c r="C138" s="49" t="str">
        <f>HYPERLINK("http://www.atberg.aha.ru/samovar/hrestomatiya2.gif")</f>
        <v>http://www.atberg.aha.ru/samovar/hrestomatiya2.gif</v>
      </c>
      <c r="D138" s="27" t="s">
        <v>115</v>
      </c>
      <c r="E138" s="25" t="s">
        <v>620</v>
      </c>
      <c r="F138" s="28" t="s">
        <v>621</v>
      </c>
      <c r="G138" s="25"/>
      <c r="H138" s="29"/>
      <c r="I138" s="30" t="s">
        <v>617</v>
      </c>
      <c r="J138" s="30">
        <v>6.995</v>
      </c>
      <c r="K138" s="25" t="s">
        <v>66</v>
      </c>
      <c r="L138" s="31" t="s">
        <v>98</v>
      </c>
      <c r="M138" s="25" t="s">
        <v>622</v>
      </c>
      <c r="N138" s="32" t="s">
        <v>69</v>
      </c>
      <c r="O138" s="32" t="s">
        <v>240</v>
      </c>
      <c r="P138" s="51">
        <v>201.48333333333335</v>
      </c>
      <c r="Q138" s="57">
        <v>9785978108774</v>
      </c>
      <c r="R138" s="66">
        <v>0.49964285714285717</v>
      </c>
    </row>
    <row r="139" spans="1:18" ht="32.25" customHeight="1">
      <c r="A139" s="25" t="s">
        <v>623</v>
      </c>
      <c r="B139" s="25" t="s">
        <v>624</v>
      </c>
      <c r="C139" s="49" t="str">
        <f>HYPERLINK("http://www.atberg.aha.ru/samovar/hrestomatiya3_4.gif")</f>
        <v>http://www.atberg.aha.ru/samovar/hrestomatiya3_4.gif</v>
      </c>
      <c r="D139" s="27" t="s">
        <v>115</v>
      </c>
      <c r="E139" s="25" t="s">
        <v>625</v>
      </c>
      <c r="F139" s="28" t="s">
        <v>626</v>
      </c>
      <c r="G139" s="25"/>
      <c r="H139" s="29"/>
      <c r="I139" s="30" t="s">
        <v>617</v>
      </c>
      <c r="J139" s="30">
        <v>6.995</v>
      </c>
      <c r="K139" s="25" t="s">
        <v>66</v>
      </c>
      <c r="L139" s="31" t="s">
        <v>98</v>
      </c>
      <c r="M139" s="25" t="s">
        <v>622</v>
      </c>
      <c r="N139" s="32" t="s">
        <v>69</v>
      </c>
      <c r="O139" s="32" t="s">
        <v>240</v>
      </c>
      <c r="P139" s="51">
        <v>201.48333333333335</v>
      </c>
      <c r="Q139" s="57">
        <v>9785978108958</v>
      </c>
      <c r="R139" s="66">
        <v>0.49964285714285717</v>
      </c>
    </row>
    <row r="140" spans="1:18" ht="21.75" customHeight="1">
      <c r="A140" s="25" t="s">
        <v>627</v>
      </c>
      <c r="B140" s="25" t="s">
        <v>628</v>
      </c>
      <c r="C140" s="49" t="str">
        <f>HYPERLINK("http://atberg.aha.ru/samovar/sam-shb14.jpg")</f>
        <v>http://atberg.aha.ru/samovar/sam-shb14.jpg</v>
      </c>
      <c r="D140" s="27" t="s">
        <v>629</v>
      </c>
      <c r="E140" s="25" t="s">
        <v>630</v>
      </c>
      <c r="F140" s="28" t="s">
        <v>631</v>
      </c>
      <c r="G140" s="25"/>
      <c r="H140" s="29"/>
      <c r="I140" s="30" t="s">
        <v>97</v>
      </c>
      <c r="J140" s="30">
        <v>6.34</v>
      </c>
      <c r="K140" s="25" t="s">
        <v>66</v>
      </c>
      <c r="L140" s="31" t="s">
        <v>98</v>
      </c>
      <c r="M140" s="25" t="s">
        <v>149</v>
      </c>
      <c r="N140" s="32" t="s">
        <v>69</v>
      </c>
      <c r="O140" s="32" t="s">
        <v>229</v>
      </c>
      <c r="P140" s="51">
        <v>177.83333333333334</v>
      </c>
      <c r="Q140" s="57">
        <v>9785978111002</v>
      </c>
      <c r="R140" s="66">
        <v>0.317</v>
      </c>
    </row>
    <row r="141" spans="1:18" ht="32.25" customHeight="1">
      <c r="A141" s="25" t="s">
        <v>632</v>
      </c>
      <c r="B141" s="25" t="s">
        <v>633</v>
      </c>
      <c r="C141" s="49" t="str">
        <f>HYPERLINK("http://www.atberg.aha.ru/samovar/shkprikoly.gif")</f>
        <v>http://www.atberg.aha.ru/samovar/shkprikoly.gif</v>
      </c>
      <c r="D141" s="27" t="s">
        <v>115</v>
      </c>
      <c r="E141" s="25" t="s">
        <v>634</v>
      </c>
      <c r="F141" s="28" t="s">
        <v>635</v>
      </c>
      <c r="G141" s="25"/>
      <c r="H141" s="29"/>
      <c r="I141" s="30" t="s">
        <v>97</v>
      </c>
      <c r="J141" s="30">
        <v>4.72</v>
      </c>
      <c r="K141" s="25" t="s">
        <v>66</v>
      </c>
      <c r="L141" s="31" t="s">
        <v>98</v>
      </c>
      <c r="M141" s="25" t="s">
        <v>99</v>
      </c>
      <c r="N141" s="32" t="s">
        <v>69</v>
      </c>
      <c r="O141" s="32" t="s">
        <v>240</v>
      </c>
      <c r="P141" s="51">
        <v>177.83333333333334</v>
      </c>
      <c r="Q141" s="57">
        <v>9785978109290</v>
      </c>
      <c r="R141" s="66">
        <v>0.236</v>
      </c>
    </row>
    <row r="142" spans="1:18" ht="32.25" customHeight="1">
      <c r="A142" s="25" t="s">
        <v>636</v>
      </c>
      <c r="B142" s="25" t="s">
        <v>637</v>
      </c>
      <c r="C142" s="49" t="str">
        <f>HYPERLINK("http://www.atberg.aha.ru/samovar/shkolnyeanekdoty.gif")</f>
        <v>http://www.atberg.aha.ru/samovar/shkolnyeanekdoty.gif</v>
      </c>
      <c r="D142" s="27" t="s">
        <v>115</v>
      </c>
      <c r="E142" s="25" t="s">
        <v>638</v>
      </c>
      <c r="F142" s="28" t="s">
        <v>639</v>
      </c>
      <c r="G142" s="25"/>
      <c r="H142" s="29"/>
      <c r="I142" s="30" t="s">
        <v>97</v>
      </c>
      <c r="J142" s="30">
        <v>5.2</v>
      </c>
      <c r="K142" s="25" t="s">
        <v>66</v>
      </c>
      <c r="L142" s="31" t="s">
        <v>98</v>
      </c>
      <c r="M142" s="25" t="s">
        <v>68</v>
      </c>
      <c r="N142" s="32" t="s">
        <v>69</v>
      </c>
      <c r="O142" s="32" t="s">
        <v>240</v>
      </c>
      <c r="P142" s="51">
        <v>177.83333333333334</v>
      </c>
      <c r="Q142" s="57">
        <v>9785978109160</v>
      </c>
      <c r="R142" s="66">
        <v>0.26</v>
      </c>
    </row>
    <row r="143" spans="1:18" ht="32.25" customHeight="1" thickBot="1">
      <c r="A143" s="25" t="s">
        <v>640</v>
      </c>
      <c r="B143" s="25" t="s">
        <v>641</v>
      </c>
      <c r="C143" s="49" t="str">
        <f>HYPERLINK("http://www.atberg.aha.ru/samovar/shkschelkun.gif")</f>
        <v>http://www.atberg.aha.ru/samovar/shkschelkun.gif</v>
      </c>
      <c r="D143" s="27" t="s">
        <v>642</v>
      </c>
      <c r="E143" s="25" t="s">
        <v>643</v>
      </c>
      <c r="F143" s="28" t="s">
        <v>644</v>
      </c>
      <c r="G143" s="25"/>
      <c r="H143" s="29"/>
      <c r="I143" s="30" t="s">
        <v>97</v>
      </c>
      <c r="J143" s="30">
        <v>6.995</v>
      </c>
      <c r="K143" s="25" t="s">
        <v>66</v>
      </c>
      <c r="L143" s="31" t="s">
        <v>98</v>
      </c>
      <c r="M143" s="25" t="s">
        <v>645</v>
      </c>
      <c r="N143" s="32" t="s">
        <v>69</v>
      </c>
      <c r="O143" s="32" t="s">
        <v>229</v>
      </c>
      <c r="P143" s="51">
        <v>177.83333333333334</v>
      </c>
      <c r="Q143" s="57">
        <v>9785978111323</v>
      </c>
      <c r="R143" s="66">
        <v>0.34975</v>
      </c>
    </row>
    <row r="144" spans="1:18" ht="12.75" customHeight="1">
      <c r="A144" s="18"/>
      <c r="B144" s="18"/>
      <c r="C144" s="18"/>
      <c r="D144" s="19"/>
      <c r="E144" s="20"/>
      <c r="F144" s="21" t="s">
        <v>646</v>
      </c>
      <c r="G144" s="22"/>
      <c r="H144" s="23"/>
      <c r="I144" s="20"/>
      <c r="J144" s="20"/>
      <c r="K144" s="20"/>
      <c r="L144" s="20"/>
      <c r="M144" s="20"/>
      <c r="N144" s="20"/>
      <c r="O144" s="20"/>
      <c r="P144" s="24"/>
      <c r="Q144" s="56"/>
      <c r="R144" s="66"/>
    </row>
    <row r="145" spans="1:18" ht="32.25" customHeight="1">
      <c r="A145" s="25" t="s">
        <v>647</v>
      </c>
      <c r="B145" s="25" t="s">
        <v>648</v>
      </c>
      <c r="C145" s="49" t="str">
        <f>HYPERLINK("http://www.atberg.aha.ru/samovar/lkdaibolit.gif")</f>
        <v>http://www.atberg.aha.ru/samovar/lkdaibolit.gif</v>
      </c>
      <c r="D145" s="27" t="s">
        <v>79</v>
      </c>
      <c r="E145" s="25" t="s">
        <v>649</v>
      </c>
      <c r="F145" s="28" t="s">
        <v>650</v>
      </c>
      <c r="G145" s="25"/>
      <c r="H145" s="29"/>
      <c r="I145" s="30" t="s">
        <v>97</v>
      </c>
      <c r="J145" s="30">
        <v>5.24</v>
      </c>
      <c r="K145" s="25" t="s">
        <v>66</v>
      </c>
      <c r="L145" s="31" t="s">
        <v>651</v>
      </c>
      <c r="M145" s="25" t="s">
        <v>652</v>
      </c>
      <c r="N145" s="32" t="s">
        <v>69</v>
      </c>
      <c r="O145" s="32" t="s">
        <v>653</v>
      </c>
      <c r="P145" s="51">
        <v>100.83333333333334</v>
      </c>
      <c r="Q145" s="57">
        <v>9785978110036</v>
      </c>
      <c r="R145" s="66">
        <v>0.262</v>
      </c>
    </row>
    <row r="146" spans="1:18" ht="32.25" customHeight="1">
      <c r="A146" s="25" t="s">
        <v>654</v>
      </c>
      <c r="B146" s="25" t="s">
        <v>655</v>
      </c>
      <c r="C146" s="49" t="str">
        <f>HYPERLINK("http://www.atberg.aha.ru/samovar/buratinolkd.gif")</f>
        <v>http://www.atberg.aha.ru/samovar/buratinolkd.gif</v>
      </c>
      <c r="D146" s="27" t="s">
        <v>94</v>
      </c>
      <c r="E146" s="25" t="s">
        <v>656</v>
      </c>
      <c r="F146" s="28" t="s">
        <v>657</v>
      </c>
      <c r="G146" s="25"/>
      <c r="H146" s="29"/>
      <c r="I146" s="30" t="s">
        <v>97</v>
      </c>
      <c r="J146" s="30">
        <v>3.62</v>
      </c>
      <c r="K146" s="25" t="s">
        <v>66</v>
      </c>
      <c r="L146" s="31" t="s">
        <v>651</v>
      </c>
      <c r="M146" s="25" t="s">
        <v>76</v>
      </c>
      <c r="N146" s="32" t="s">
        <v>69</v>
      </c>
      <c r="O146" s="32" t="s">
        <v>653</v>
      </c>
      <c r="P146" s="51">
        <v>100.83333333333334</v>
      </c>
      <c r="Q146" s="57">
        <v>9785978110838</v>
      </c>
      <c r="R146" s="66">
        <v>0.181</v>
      </c>
    </row>
    <row r="147" spans="1:18" ht="32.25" customHeight="1">
      <c r="A147" s="25" t="s">
        <v>658</v>
      </c>
      <c r="B147" s="25" t="s">
        <v>659</v>
      </c>
      <c r="C147" s="49" t="str">
        <f>HYPERLINK("http://www.atberg.aha.ru/samovar/deniskaiegodruzyalkd.gif")</f>
        <v>http://www.atberg.aha.ru/samovar/deniskaiegodruzyalkd.gif</v>
      </c>
      <c r="D147" s="27" t="s">
        <v>337</v>
      </c>
      <c r="E147" s="25" t="s">
        <v>660</v>
      </c>
      <c r="F147" s="28" t="s">
        <v>661</v>
      </c>
      <c r="G147" s="25"/>
      <c r="H147" s="29"/>
      <c r="I147" s="30" t="s">
        <v>97</v>
      </c>
      <c r="J147" s="30">
        <v>3.7</v>
      </c>
      <c r="K147" s="25" t="s">
        <v>66</v>
      </c>
      <c r="L147" s="31" t="s">
        <v>651</v>
      </c>
      <c r="M147" s="25" t="s">
        <v>76</v>
      </c>
      <c r="N147" s="32" t="s">
        <v>69</v>
      </c>
      <c r="O147" s="32" t="s">
        <v>653</v>
      </c>
      <c r="P147" s="51">
        <v>100.83333333333334</v>
      </c>
      <c r="Q147" s="57">
        <v>9785978110890</v>
      </c>
      <c r="R147" s="66">
        <v>0.185</v>
      </c>
    </row>
    <row r="148" spans="1:18" ht="21.75" customHeight="1">
      <c r="A148" s="25" t="s">
        <v>662</v>
      </c>
      <c r="B148" s="25" t="s">
        <v>663</v>
      </c>
      <c r="C148" s="49" t="str">
        <f>HYPERLINK("http://www.atberg.aha.ru/samovar/lkdzaika.gif")</f>
        <v>http://www.atberg.aha.ru/samovar/lkdzaika.gif</v>
      </c>
      <c r="D148" s="27" t="s">
        <v>73</v>
      </c>
      <c r="E148" s="25" t="s">
        <v>664</v>
      </c>
      <c r="F148" s="28" t="s">
        <v>665</v>
      </c>
      <c r="G148" s="25"/>
      <c r="H148" s="29"/>
      <c r="I148" s="30" t="s">
        <v>97</v>
      </c>
      <c r="J148" s="30">
        <v>3.5</v>
      </c>
      <c r="K148" s="25" t="s">
        <v>66</v>
      </c>
      <c r="L148" s="31" t="s">
        <v>651</v>
      </c>
      <c r="M148" s="25" t="s">
        <v>652</v>
      </c>
      <c r="N148" s="32" t="s">
        <v>69</v>
      </c>
      <c r="O148" s="32" t="s">
        <v>653</v>
      </c>
      <c r="P148" s="51">
        <v>100.83333333333334</v>
      </c>
      <c r="Q148" s="57">
        <v>9785978111071</v>
      </c>
      <c r="R148" s="66">
        <v>0.175</v>
      </c>
    </row>
    <row r="149" spans="1:18" ht="32.25" customHeight="1">
      <c r="A149" s="25" t="s">
        <v>666</v>
      </c>
      <c r="B149" s="25" t="s">
        <v>667</v>
      </c>
      <c r="C149" s="49" t="str">
        <f>HYPERLINK("http://www.atberg.aha.ru/samovar/lkdbychek.gif")</f>
        <v>http://www.atberg.aha.ru/samovar/lkdbychek.gif</v>
      </c>
      <c r="D149" s="27" t="s">
        <v>73</v>
      </c>
      <c r="E149" s="25" t="s">
        <v>668</v>
      </c>
      <c r="F149" s="28" t="s">
        <v>669</v>
      </c>
      <c r="G149" s="25"/>
      <c r="H149" s="29"/>
      <c r="I149" s="30" t="s">
        <v>97</v>
      </c>
      <c r="J149" s="30">
        <v>4.06</v>
      </c>
      <c r="K149" s="25" t="s">
        <v>66</v>
      </c>
      <c r="L149" s="31" t="s">
        <v>651</v>
      </c>
      <c r="M149" s="25" t="s">
        <v>652</v>
      </c>
      <c r="N149" s="32" t="s">
        <v>69</v>
      </c>
      <c r="O149" s="32" t="s">
        <v>653</v>
      </c>
      <c r="P149" s="51">
        <v>100.83333333333334</v>
      </c>
      <c r="Q149" s="57">
        <v>9785978108910</v>
      </c>
      <c r="R149" s="66">
        <v>0.20299999999999999</v>
      </c>
    </row>
    <row r="150" spans="1:18" ht="32.25" customHeight="1">
      <c r="A150" s="25" t="s">
        <v>670</v>
      </c>
      <c r="B150" s="25" t="s">
        <v>671</v>
      </c>
      <c r="C150" s="49" t="str">
        <f>HYPERLINK("http://www.atberg.aha.ru/samovar/lkdkrokodil.gif")</f>
        <v>http://www.atberg.aha.ru/samovar/lkdkrokodil.gif</v>
      </c>
      <c r="D150" s="27" t="s">
        <v>79</v>
      </c>
      <c r="E150" s="25" t="s">
        <v>672</v>
      </c>
      <c r="F150" s="28" t="s">
        <v>673</v>
      </c>
      <c r="G150" s="25"/>
      <c r="H150" s="29"/>
      <c r="I150" s="30" t="s">
        <v>97</v>
      </c>
      <c r="J150" s="30">
        <v>4.2</v>
      </c>
      <c r="K150" s="25" t="s">
        <v>66</v>
      </c>
      <c r="L150" s="31" t="s">
        <v>651</v>
      </c>
      <c r="M150" s="25" t="s">
        <v>76</v>
      </c>
      <c r="N150" s="32" t="s">
        <v>69</v>
      </c>
      <c r="O150" s="32" t="s">
        <v>653</v>
      </c>
      <c r="P150" s="51">
        <v>100.83333333333334</v>
      </c>
      <c r="Q150" s="57">
        <v>9785978109658</v>
      </c>
      <c r="R150" s="66">
        <v>0.21000000000000002</v>
      </c>
    </row>
    <row r="151" spans="1:18" ht="21.75" customHeight="1">
      <c r="A151" s="25" t="s">
        <v>674</v>
      </c>
      <c r="B151" s="25" t="s">
        <v>675</v>
      </c>
      <c r="C151" s="49" t="str">
        <f>HYPERLINK("http://www.atberg.aha.ru/samovar/lkdmne.gif")</f>
        <v>http://www.atberg.aha.ru/samovar/lkdmne.gif</v>
      </c>
      <c r="D151" s="27" t="s">
        <v>73</v>
      </c>
      <c r="E151" s="25" t="s">
        <v>676</v>
      </c>
      <c r="F151" s="28" t="s">
        <v>677</v>
      </c>
      <c r="G151" s="25"/>
      <c r="H151" s="29"/>
      <c r="I151" s="30" t="s">
        <v>97</v>
      </c>
      <c r="J151" s="30">
        <v>3.84</v>
      </c>
      <c r="K151" s="25" t="s">
        <v>66</v>
      </c>
      <c r="L151" s="31" t="s">
        <v>651</v>
      </c>
      <c r="M151" s="25" t="s">
        <v>76</v>
      </c>
      <c r="N151" s="32" t="s">
        <v>69</v>
      </c>
      <c r="O151" s="32" t="s">
        <v>653</v>
      </c>
      <c r="P151" s="51">
        <v>100.83333333333334</v>
      </c>
      <c r="Q151" s="57">
        <v>9785978111170</v>
      </c>
      <c r="R151" s="66">
        <v>0.192</v>
      </c>
    </row>
    <row r="152" spans="1:18" ht="32.25" customHeight="1">
      <c r="A152" s="25" t="s">
        <v>678</v>
      </c>
      <c r="B152" s="25" t="s">
        <v>679</v>
      </c>
      <c r="C152" s="49" t="str">
        <f>HYPERLINK("http://www.atberg.aha.ru/samovar/lkdmohazb.gif")</f>
        <v>http://www.atberg.aha.ru/samovar/lkdmohazb.gif</v>
      </c>
      <c r="D152" s="27" t="s">
        <v>109</v>
      </c>
      <c r="E152" s="25" t="s">
        <v>680</v>
      </c>
      <c r="F152" s="28" t="s">
        <v>681</v>
      </c>
      <c r="G152" s="25"/>
      <c r="H152" s="29"/>
      <c r="I152" s="30" t="s">
        <v>97</v>
      </c>
      <c r="J152" s="30">
        <v>4.02</v>
      </c>
      <c r="K152" s="25" t="s">
        <v>66</v>
      </c>
      <c r="L152" s="31" t="s">
        <v>651</v>
      </c>
      <c r="M152" s="25" t="s">
        <v>652</v>
      </c>
      <c r="N152" s="32" t="s">
        <v>69</v>
      </c>
      <c r="O152" s="32" t="s">
        <v>653</v>
      </c>
      <c r="P152" s="51">
        <v>100.83333333333334</v>
      </c>
      <c r="Q152" s="57">
        <v>9785978110548</v>
      </c>
      <c r="R152" s="66">
        <v>0.20099999999999998</v>
      </c>
    </row>
    <row r="153" spans="1:18" ht="32.25" customHeight="1">
      <c r="A153" s="25" t="s">
        <v>682</v>
      </c>
      <c r="B153" s="25" t="s">
        <v>683</v>
      </c>
      <c r="C153" s="49" t="str">
        <f>HYPERLINK("http://www.atberg.aha.ru/samovar/lkdmuha.gif")</f>
        <v>http://www.atberg.aha.ru/samovar/lkdmuha.gif</v>
      </c>
      <c r="D153" s="27" t="s">
        <v>79</v>
      </c>
      <c r="E153" s="25" t="s">
        <v>684</v>
      </c>
      <c r="F153" s="28" t="s">
        <v>685</v>
      </c>
      <c r="G153" s="25"/>
      <c r="H153" s="29"/>
      <c r="I153" s="30" t="s">
        <v>97</v>
      </c>
      <c r="J153" s="30">
        <v>5.2</v>
      </c>
      <c r="K153" s="25" t="s">
        <v>66</v>
      </c>
      <c r="L153" s="31" t="s">
        <v>651</v>
      </c>
      <c r="M153" s="25" t="s">
        <v>652</v>
      </c>
      <c r="N153" s="32" t="s">
        <v>69</v>
      </c>
      <c r="O153" s="32" t="s">
        <v>653</v>
      </c>
      <c r="P153" s="51">
        <v>100.83333333333334</v>
      </c>
      <c r="Q153" s="57">
        <v>9785978110340</v>
      </c>
      <c r="R153" s="66">
        <v>0.26</v>
      </c>
    </row>
    <row r="154" spans="1:18" ht="32.25" customHeight="1">
      <c r="A154" s="25" t="s">
        <v>686</v>
      </c>
      <c r="B154" s="25" t="s">
        <v>687</v>
      </c>
      <c r="C154" s="49" t="str">
        <f>HYPERLINK("http://www.atberg.aha.ru/samovar/lkdtanya.gif")</f>
        <v>http://www.atberg.aha.ru/samovar/lkdtanya.gif</v>
      </c>
      <c r="D154" s="27" t="s">
        <v>73</v>
      </c>
      <c r="E154" s="25" t="s">
        <v>688</v>
      </c>
      <c r="F154" s="28" t="s">
        <v>689</v>
      </c>
      <c r="G154" s="25"/>
      <c r="H154" s="29"/>
      <c r="I154" s="30" t="s">
        <v>97</v>
      </c>
      <c r="J154" s="30">
        <v>4.5</v>
      </c>
      <c r="K154" s="25" t="s">
        <v>66</v>
      </c>
      <c r="L154" s="31" t="s">
        <v>651</v>
      </c>
      <c r="M154" s="25" t="s">
        <v>652</v>
      </c>
      <c r="N154" s="32" t="s">
        <v>69</v>
      </c>
      <c r="O154" s="32" t="s">
        <v>653</v>
      </c>
      <c r="P154" s="51">
        <v>100.83333333333334</v>
      </c>
      <c r="Q154" s="57">
        <v>9785978110821</v>
      </c>
      <c r="R154" s="66">
        <v>0.225</v>
      </c>
    </row>
    <row r="155" spans="1:18" ht="32.25" customHeight="1">
      <c r="A155" s="25" t="s">
        <v>690</v>
      </c>
      <c r="B155" s="25" t="s">
        <v>691</v>
      </c>
      <c r="C155" s="49" t="str">
        <f>HYPERLINK("http://www.atberg.aha.ru/samovar/poschuchemuveleniylkd.gif")</f>
        <v>http://www.atberg.aha.ru/samovar/poschuchemuveleniylkd.gif</v>
      </c>
      <c r="D155" s="27"/>
      <c r="E155" s="25" t="s">
        <v>692</v>
      </c>
      <c r="F155" s="28" t="s">
        <v>693</v>
      </c>
      <c r="G155" s="25"/>
      <c r="H155" s="29"/>
      <c r="I155" s="30" t="s">
        <v>97</v>
      </c>
      <c r="J155" s="30">
        <v>3.64</v>
      </c>
      <c r="K155" s="25" t="s">
        <v>66</v>
      </c>
      <c r="L155" s="31" t="s">
        <v>651</v>
      </c>
      <c r="M155" s="25" t="s">
        <v>76</v>
      </c>
      <c r="N155" s="32" t="s">
        <v>69</v>
      </c>
      <c r="O155" s="32" t="s">
        <v>653</v>
      </c>
      <c r="P155" s="51">
        <v>100.83333333333334</v>
      </c>
      <c r="Q155" s="57">
        <v>9785978110524</v>
      </c>
      <c r="R155" s="66">
        <v>0.182</v>
      </c>
    </row>
    <row r="156" spans="1:18" ht="21.75" customHeight="1">
      <c r="A156" s="25" t="s">
        <v>694</v>
      </c>
      <c r="B156" s="25" t="s">
        <v>695</v>
      </c>
      <c r="C156" s="49" t="str">
        <f>HYPERLINK("http://www.atberg.aha.ru/samovar/skazki.gif")</f>
        <v>http://www.atberg.aha.ru/samovar/skazki.gif</v>
      </c>
      <c r="D156" s="27" t="s">
        <v>115</v>
      </c>
      <c r="E156" s="25" t="s">
        <v>696</v>
      </c>
      <c r="F156" s="28" t="s">
        <v>697</v>
      </c>
      <c r="G156" s="25"/>
      <c r="H156" s="29"/>
      <c r="I156" s="30" t="s">
        <v>97</v>
      </c>
      <c r="J156" s="30">
        <v>3.68</v>
      </c>
      <c r="K156" s="25" t="s">
        <v>66</v>
      </c>
      <c r="L156" s="31" t="s">
        <v>651</v>
      </c>
      <c r="M156" s="25" t="s">
        <v>76</v>
      </c>
      <c r="N156" s="32" t="s">
        <v>69</v>
      </c>
      <c r="O156" s="32" t="s">
        <v>653</v>
      </c>
      <c r="P156" s="51">
        <v>100.83333333333334</v>
      </c>
      <c r="Q156" s="57">
        <v>9785978108781</v>
      </c>
      <c r="R156" s="66">
        <v>0.184</v>
      </c>
    </row>
    <row r="157" spans="1:18" ht="32.25" customHeight="1">
      <c r="A157" s="25" t="s">
        <v>698</v>
      </c>
      <c r="B157" s="25" t="s">
        <v>699</v>
      </c>
      <c r="C157" s="49" t="str">
        <f>HYPERLINK("http://www.atberg.aha.ru/samovar/lkdtelefon.gif")</f>
        <v>http://www.atberg.aha.ru/samovar/lkdtelefon.gif</v>
      </c>
      <c r="D157" s="27" t="s">
        <v>79</v>
      </c>
      <c r="E157" s="25" t="s">
        <v>700</v>
      </c>
      <c r="F157" s="28" t="s">
        <v>701</v>
      </c>
      <c r="G157" s="25"/>
      <c r="H157" s="29"/>
      <c r="I157" s="30" t="s">
        <v>97</v>
      </c>
      <c r="J157" s="30">
        <v>4.54</v>
      </c>
      <c r="K157" s="25" t="s">
        <v>66</v>
      </c>
      <c r="L157" s="31" t="s">
        <v>651</v>
      </c>
      <c r="M157" s="25" t="s">
        <v>652</v>
      </c>
      <c r="N157" s="32" t="s">
        <v>69</v>
      </c>
      <c r="O157" s="32" t="s">
        <v>653</v>
      </c>
      <c r="P157" s="51">
        <v>100.83333333333334</v>
      </c>
      <c r="Q157" s="57">
        <v>9785978109092</v>
      </c>
      <c r="R157" s="66">
        <v>0.227</v>
      </c>
    </row>
    <row r="158" spans="1:18" ht="32.25" customHeight="1">
      <c r="A158" s="25" t="s">
        <v>702</v>
      </c>
      <c r="B158" s="25" t="s">
        <v>703</v>
      </c>
      <c r="C158" s="49" t="str">
        <f>HYPERLINK("http://www.atberg.aha.ru/samovar/tsvetiksemitsvetiklkd.gif")</f>
        <v>http://www.atberg.aha.ru/samovar/tsvetiksemitsvetiklkd.gif</v>
      </c>
      <c r="D158" s="27" t="s">
        <v>582</v>
      </c>
      <c r="E158" s="25" t="s">
        <v>704</v>
      </c>
      <c r="F158" s="28" t="s">
        <v>705</v>
      </c>
      <c r="G158" s="25"/>
      <c r="H158" s="29"/>
      <c r="I158" s="30" t="s">
        <v>97</v>
      </c>
      <c r="J158" s="30">
        <v>3.7</v>
      </c>
      <c r="K158" s="25" t="s">
        <v>66</v>
      </c>
      <c r="L158" s="31" t="s">
        <v>651</v>
      </c>
      <c r="M158" s="25" t="s">
        <v>76</v>
      </c>
      <c r="N158" s="32" t="s">
        <v>69</v>
      </c>
      <c r="O158" s="32" t="s">
        <v>653</v>
      </c>
      <c r="P158" s="51">
        <v>100.83333333333334</v>
      </c>
      <c r="Q158" s="57">
        <v>9785978108934</v>
      </c>
      <c r="R158" s="66">
        <v>0.185</v>
      </c>
    </row>
    <row r="159" spans="1:18" ht="32.25" customHeight="1" thickBot="1">
      <c r="A159" s="25" t="s">
        <v>706</v>
      </c>
      <c r="B159" s="25" t="s">
        <v>707</v>
      </c>
      <c r="C159" s="49" t="str">
        <f>HYPERLINK("http://www.atberg.aha.ru/samovar/lkdloshadka.gif")</f>
        <v>http://www.atberg.aha.ru/samovar/lkdloshadka.gif</v>
      </c>
      <c r="D159" s="27" t="s">
        <v>73</v>
      </c>
      <c r="E159" s="25" t="s">
        <v>708</v>
      </c>
      <c r="F159" s="28" t="s">
        <v>709</v>
      </c>
      <c r="G159" s="25"/>
      <c r="H159" s="29"/>
      <c r="I159" s="30" t="s">
        <v>97</v>
      </c>
      <c r="J159" s="30">
        <v>3.84</v>
      </c>
      <c r="K159" s="25" t="s">
        <v>66</v>
      </c>
      <c r="L159" s="31" t="s">
        <v>651</v>
      </c>
      <c r="M159" s="25" t="s">
        <v>652</v>
      </c>
      <c r="N159" s="32" t="s">
        <v>69</v>
      </c>
      <c r="O159" s="32" t="s">
        <v>653</v>
      </c>
      <c r="P159" s="51">
        <v>100.83333333333334</v>
      </c>
      <c r="Q159" s="57">
        <v>9785978110920</v>
      </c>
      <c r="R159" s="66">
        <v>0.192</v>
      </c>
    </row>
    <row r="160" spans="1:18" ht="12.75" customHeight="1">
      <c r="A160" s="18"/>
      <c r="B160" s="18"/>
      <c r="C160" s="18"/>
      <c r="D160" s="19"/>
      <c r="E160" s="20"/>
      <c r="F160" s="21" t="s">
        <v>710</v>
      </c>
      <c r="G160" s="22"/>
      <c r="H160" s="23"/>
      <c r="I160" s="20"/>
      <c r="J160" s="20"/>
      <c r="K160" s="20"/>
      <c r="L160" s="20"/>
      <c r="M160" s="20"/>
      <c r="N160" s="20"/>
      <c r="O160" s="20"/>
      <c r="P160" s="24"/>
      <c r="Q160" s="56"/>
      <c r="R160" s="66"/>
    </row>
    <row r="161" spans="1:18" ht="32.25" customHeight="1">
      <c r="A161" s="25" t="s">
        <v>711</v>
      </c>
      <c r="B161" s="25" t="s">
        <v>712</v>
      </c>
      <c r="C161" s="49" t="str">
        <f>HYPERLINK("http://www.atberg.aha.ru/samovar/barabashkacd.gif")</f>
        <v>http://www.atberg.aha.ru/samovar/barabashkacd.gif</v>
      </c>
      <c r="D161" s="27" t="s">
        <v>713</v>
      </c>
      <c r="E161" s="25" t="s">
        <v>714</v>
      </c>
      <c r="F161" s="28" t="s">
        <v>715</v>
      </c>
      <c r="G161" s="25"/>
      <c r="H161" s="29"/>
      <c r="I161" s="30" t="s">
        <v>97</v>
      </c>
      <c r="J161" s="30">
        <v>6.08</v>
      </c>
      <c r="K161" s="25" t="s">
        <v>66</v>
      </c>
      <c r="L161" s="31" t="s">
        <v>716</v>
      </c>
      <c r="M161" s="25" t="s">
        <v>126</v>
      </c>
      <c r="N161" s="32" t="s">
        <v>69</v>
      </c>
      <c r="O161" s="32" t="s">
        <v>717</v>
      </c>
      <c r="P161" s="51">
        <v>177.83333333333334</v>
      </c>
      <c r="Q161" s="57">
        <v>9785978110555</v>
      </c>
      <c r="R161" s="66">
        <v>0.304</v>
      </c>
    </row>
    <row r="162" spans="1:18" ht="21.75" customHeight="1">
      <c r="A162" s="25" t="s">
        <v>718</v>
      </c>
      <c r="B162" s="25" t="s">
        <v>719</v>
      </c>
      <c r="C162" s="49" t="str">
        <f>HYPERLINK("http://atberg.aha.ru/samovar/sam-lsp01.jpg")</f>
        <v>http://atberg.aha.ru/samovar/sam-lsp01.jpg</v>
      </c>
      <c r="D162" s="27" t="s">
        <v>720</v>
      </c>
      <c r="E162" s="25" t="s">
        <v>721</v>
      </c>
      <c r="F162" s="28" t="s">
        <v>722</v>
      </c>
      <c r="G162" s="25"/>
      <c r="H162" s="29"/>
      <c r="I162" s="30" t="s">
        <v>97</v>
      </c>
      <c r="J162" s="30">
        <v>6.02</v>
      </c>
      <c r="K162" s="25" t="s">
        <v>66</v>
      </c>
      <c r="L162" s="31" t="s">
        <v>716</v>
      </c>
      <c r="M162" s="25" t="s">
        <v>228</v>
      </c>
      <c r="N162" s="32" t="s">
        <v>69</v>
      </c>
      <c r="O162" s="32" t="s">
        <v>717</v>
      </c>
      <c r="P162" s="51">
        <v>177.83333333333334</v>
      </c>
      <c r="Q162" s="57">
        <v>9785978110982</v>
      </c>
      <c r="R162" s="66">
        <v>0.301</v>
      </c>
    </row>
    <row r="163" spans="1:18" ht="32.25" customHeight="1">
      <c r="A163" s="25" t="s">
        <v>723</v>
      </c>
      <c r="B163" s="25" t="s">
        <v>724</v>
      </c>
      <c r="C163" s="49" t="str">
        <f>HYPERLINK("http://www.atberg.aha.ru/samovar/babyyaginovgod.gif")</f>
        <v>http://www.atberg.aha.ru/samovar/babyyaginovgod.gif</v>
      </c>
      <c r="D163" s="27" t="s">
        <v>725</v>
      </c>
      <c r="E163" s="25" t="s">
        <v>726</v>
      </c>
      <c r="F163" s="28" t="s">
        <v>727</v>
      </c>
      <c r="G163" s="25"/>
      <c r="H163" s="29"/>
      <c r="I163" s="30" t="s">
        <v>97</v>
      </c>
      <c r="J163" s="30">
        <v>5.76</v>
      </c>
      <c r="K163" s="25" t="s">
        <v>66</v>
      </c>
      <c r="L163" s="31" t="s">
        <v>716</v>
      </c>
      <c r="M163" s="25" t="s">
        <v>645</v>
      </c>
      <c r="N163" s="32" t="s">
        <v>69</v>
      </c>
      <c r="O163" s="32" t="s">
        <v>717</v>
      </c>
      <c r="P163" s="51">
        <v>177.83333333333334</v>
      </c>
      <c r="Q163" s="57">
        <v>9785978111705</v>
      </c>
      <c r="R163" s="66">
        <v>0.288</v>
      </c>
    </row>
    <row r="164" spans="1:18" ht="32.25" customHeight="1">
      <c r="A164" s="25" t="s">
        <v>728</v>
      </c>
      <c r="B164" s="25" t="s">
        <v>729</v>
      </c>
      <c r="C164" s="49" t="str">
        <f>HYPERLINK("http://www.atberg.aha.ru/samovar/babyyagiskazkuspasali.gif")</f>
        <v>http://www.atberg.aha.ru/samovar/babyyagiskazkuspasali.gif</v>
      </c>
      <c r="D164" s="27" t="s">
        <v>725</v>
      </c>
      <c r="E164" s="25" t="s">
        <v>730</v>
      </c>
      <c r="F164" s="28" t="s">
        <v>731</v>
      </c>
      <c r="G164" s="25"/>
      <c r="H164" s="29"/>
      <c r="I164" s="30" t="s">
        <v>97</v>
      </c>
      <c r="J164" s="30">
        <v>5.8</v>
      </c>
      <c r="K164" s="25" t="s">
        <v>66</v>
      </c>
      <c r="L164" s="31" t="s">
        <v>716</v>
      </c>
      <c r="M164" s="25" t="s">
        <v>414</v>
      </c>
      <c r="N164" s="32" t="s">
        <v>69</v>
      </c>
      <c r="O164" s="32" t="s">
        <v>717</v>
      </c>
      <c r="P164" s="51">
        <v>177.83333333333334</v>
      </c>
      <c r="Q164" s="57">
        <v>9785978110845</v>
      </c>
      <c r="R164" s="66">
        <v>0.29</v>
      </c>
    </row>
    <row r="165" spans="1:18" ht="21.75" customHeight="1">
      <c r="A165" s="25" t="s">
        <v>732</v>
      </c>
      <c r="B165" s="25" t="s">
        <v>733</v>
      </c>
      <c r="C165" s="49" t="str">
        <f>HYPERLINK("http://atberg.aha.ru/samovar/sam-lsp02.jpg")</f>
        <v>http://atberg.aha.ru/samovar/sam-lsp02.jpg</v>
      </c>
      <c r="D165" s="27" t="s">
        <v>610</v>
      </c>
      <c r="E165" s="25" t="s">
        <v>734</v>
      </c>
      <c r="F165" s="28" t="s">
        <v>735</v>
      </c>
      <c r="G165" s="25"/>
      <c r="H165" s="29"/>
      <c r="I165" s="30" t="s">
        <v>97</v>
      </c>
      <c r="J165" s="30">
        <v>5.26</v>
      </c>
      <c r="K165" s="25" t="s">
        <v>66</v>
      </c>
      <c r="L165" s="31" t="s">
        <v>716</v>
      </c>
      <c r="M165" s="25" t="s">
        <v>68</v>
      </c>
      <c r="N165" s="32" t="s">
        <v>69</v>
      </c>
      <c r="O165" s="32" t="s">
        <v>717</v>
      </c>
      <c r="P165" s="51">
        <v>177.83333333333334</v>
      </c>
      <c r="Q165" s="57">
        <v>9785978111156</v>
      </c>
      <c r="R165" s="66">
        <v>0.263</v>
      </c>
    </row>
    <row r="166" spans="1:18" ht="32.25" customHeight="1">
      <c r="A166" s="25" t="s">
        <v>736</v>
      </c>
      <c r="B166" s="25" t="s">
        <v>737</v>
      </c>
      <c r="C166" s="49" t="str">
        <f>HYPERLINK("http://www.atberg.aha.ru/samovar/priklucheniyarobotagoshi.gif")</f>
        <v>http://www.atberg.aha.ru/samovar/priklucheniyarobotagoshi.gif</v>
      </c>
      <c r="D166" s="27" t="s">
        <v>610</v>
      </c>
      <c r="E166" s="25" t="s">
        <v>738</v>
      </c>
      <c r="F166" s="28" t="s">
        <v>739</v>
      </c>
      <c r="G166" s="25"/>
      <c r="H166" s="29"/>
      <c r="I166" s="30" t="s">
        <v>97</v>
      </c>
      <c r="J166" s="30">
        <v>5</v>
      </c>
      <c r="K166" s="25" t="s">
        <v>66</v>
      </c>
      <c r="L166" s="31" t="s">
        <v>716</v>
      </c>
      <c r="M166" s="25" t="s">
        <v>68</v>
      </c>
      <c r="N166" s="32" t="s">
        <v>69</v>
      </c>
      <c r="O166" s="32" t="s">
        <v>717</v>
      </c>
      <c r="P166" s="51">
        <v>177.83333333333334</v>
      </c>
      <c r="Q166" s="57">
        <v>9785978110975</v>
      </c>
      <c r="R166" s="66">
        <v>0.25</v>
      </c>
    </row>
    <row r="167" spans="1:18" ht="32.25" customHeight="1">
      <c r="A167" s="25" t="s">
        <v>740</v>
      </c>
      <c r="B167" s="25" t="s">
        <v>741</v>
      </c>
      <c r="C167" s="49" t="str">
        <f>HYPERLINK("http://www.atberg.aha.ru/samovar/svoboduzm.gif")</f>
        <v>http://www.atberg.aha.ru/samovar/svoboduzm.gif</v>
      </c>
      <c r="D167" s="27" t="s">
        <v>720</v>
      </c>
      <c r="E167" s="25" t="s">
        <v>742</v>
      </c>
      <c r="F167" s="28" t="s">
        <v>743</v>
      </c>
      <c r="G167" s="25"/>
      <c r="H167" s="29"/>
      <c r="I167" s="30" t="s">
        <v>97</v>
      </c>
      <c r="J167" s="30">
        <v>5.82</v>
      </c>
      <c r="K167" s="25" t="s">
        <v>66</v>
      </c>
      <c r="L167" s="31" t="s">
        <v>716</v>
      </c>
      <c r="M167" s="25" t="s">
        <v>126</v>
      </c>
      <c r="N167" s="32" t="s">
        <v>69</v>
      </c>
      <c r="O167" s="32" t="s">
        <v>717</v>
      </c>
      <c r="P167" s="51">
        <v>177.83333333333334</v>
      </c>
      <c r="Q167" s="57">
        <v>9785978110906</v>
      </c>
      <c r="R167" s="66">
        <v>0.29100000000000004</v>
      </c>
    </row>
    <row r="168" spans="1:18" ht="32.25" customHeight="1" thickBot="1">
      <c r="A168" s="25" t="s">
        <v>744</v>
      </c>
      <c r="B168" s="25" t="s">
        <v>745</v>
      </c>
      <c r="C168" s="49" t="str">
        <f>HYPERLINK("http://www.atberg.aha.ru/samovar/taynazelenoyplanety.gif")</f>
        <v>http://www.atberg.aha.ru/samovar/taynazelenoyplanety.gif</v>
      </c>
      <c r="D168" s="27" t="s">
        <v>610</v>
      </c>
      <c r="E168" s="25" t="s">
        <v>746</v>
      </c>
      <c r="F168" s="28" t="s">
        <v>747</v>
      </c>
      <c r="G168" s="25"/>
      <c r="H168" s="29"/>
      <c r="I168" s="30" t="s">
        <v>97</v>
      </c>
      <c r="J168" s="30">
        <v>6.16</v>
      </c>
      <c r="K168" s="25" t="s">
        <v>66</v>
      </c>
      <c r="L168" s="31" t="s">
        <v>716</v>
      </c>
      <c r="M168" s="25" t="s">
        <v>228</v>
      </c>
      <c r="N168" s="32" t="s">
        <v>69</v>
      </c>
      <c r="O168" s="32" t="s">
        <v>717</v>
      </c>
      <c r="P168" s="51">
        <v>177.83333333333334</v>
      </c>
      <c r="Q168" s="57">
        <v>9785978110586</v>
      </c>
      <c r="R168" s="66">
        <v>0.308</v>
      </c>
    </row>
    <row r="169" spans="1:18" ht="12.75" customHeight="1">
      <c r="A169" s="18"/>
      <c r="B169" s="18"/>
      <c r="C169" s="18"/>
      <c r="D169" s="19"/>
      <c r="E169" s="20"/>
      <c r="F169" s="21" t="s">
        <v>748</v>
      </c>
      <c r="G169" s="22"/>
      <c r="H169" s="23"/>
      <c r="I169" s="20"/>
      <c r="J169" s="20"/>
      <c r="K169" s="20"/>
      <c r="L169" s="20"/>
      <c r="M169" s="20"/>
      <c r="N169" s="20"/>
      <c r="O169" s="20"/>
      <c r="P169" s="24"/>
      <c r="Q169" s="56"/>
      <c r="R169" s="66"/>
    </row>
    <row r="170" spans="1:18" ht="32.25" customHeight="1">
      <c r="A170" s="25" t="s">
        <v>749</v>
      </c>
      <c r="B170" s="25" t="s">
        <v>750</v>
      </c>
      <c r="C170" s="49" t="str">
        <f>HYPERLINK("http://www.atberg.aha.ru/samovar/volshebnye.gif")</f>
        <v>http://www.atberg.aha.ru/samovar/volshebnye.gif</v>
      </c>
      <c r="D170" s="27" t="s">
        <v>751</v>
      </c>
      <c r="E170" s="25" t="s">
        <v>752</v>
      </c>
      <c r="F170" s="28" t="s">
        <v>753</v>
      </c>
      <c r="G170" s="25"/>
      <c r="H170" s="29"/>
      <c r="I170" s="30" t="s">
        <v>97</v>
      </c>
      <c r="J170" s="30">
        <v>4.7</v>
      </c>
      <c r="K170" s="25" t="s">
        <v>66</v>
      </c>
      <c r="L170" s="31" t="s">
        <v>716</v>
      </c>
      <c r="M170" s="25" t="s">
        <v>252</v>
      </c>
      <c r="N170" s="32" t="s">
        <v>69</v>
      </c>
      <c r="O170" s="32" t="s">
        <v>754</v>
      </c>
      <c r="P170" s="51">
        <v>177.83333333333334</v>
      </c>
      <c r="Q170" s="57">
        <v>9785978110494</v>
      </c>
      <c r="R170" s="66">
        <v>0.23500000000000001</v>
      </c>
    </row>
    <row r="171" spans="1:18" ht="21.75" customHeight="1">
      <c r="A171" s="25" t="s">
        <v>755</v>
      </c>
      <c r="B171" s="25" t="s">
        <v>756</v>
      </c>
      <c r="C171" s="49" t="str">
        <f>HYPERLINK("http://www.atberg.aha.ru/samovar/zgilibili.gif")</f>
        <v>http://www.atberg.aha.ru/samovar/zgilibili.gif</v>
      </c>
      <c r="D171" s="27" t="s">
        <v>757</v>
      </c>
      <c r="E171" s="25" t="s">
        <v>758</v>
      </c>
      <c r="F171" s="28" t="s">
        <v>759</v>
      </c>
      <c r="G171" s="25"/>
      <c r="H171" s="29"/>
      <c r="I171" s="30" t="s">
        <v>97</v>
      </c>
      <c r="J171" s="30">
        <v>4.5</v>
      </c>
      <c r="K171" s="25" t="s">
        <v>66</v>
      </c>
      <c r="L171" s="31" t="s">
        <v>716</v>
      </c>
      <c r="M171" s="25" t="s">
        <v>760</v>
      </c>
      <c r="N171" s="32" t="s">
        <v>69</v>
      </c>
      <c r="O171" s="32" t="s">
        <v>754</v>
      </c>
      <c r="P171" s="51">
        <v>177.83333333333334</v>
      </c>
      <c r="Q171" s="57">
        <v>9785978111514</v>
      </c>
      <c r="R171" s="66">
        <v>0.225</v>
      </c>
    </row>
    <row r="172" spans="1:18" ht="32.25" customHeight="1">
      <c r="A172" s="25" t="s">
        <v>761</v>
      </c>
      <c r="B172" s="25" t="s">
        <v>762</v>
      </c>
      <c r="C172" s="49" t="str">
        <f>HYPERLINK("http://www.atberg.aha.ru/samovar/zayatskoska.gif")</f>
        <v>http://www.atberg.aha.ru/samovar/zayatskoska.gif</v>
      </c>
      <c r="D172" s="27" t="s">
        <v>763</v>
      </c>
      <c r="E172" s="25" t="s">
        <v>764</v>
      </c>
      <c r="F172" s="28" t="s">
        <v>765</v>
      </c>
      <c r="G172" s="25"/>
      <c r="H172" s="29"/>
      <c r="I172" s="30" t="s">
        <v>97</v>
      </c>
      <c r="J172" s="30">
        <v>5.5</v>
      </c>
      <c r="K172" s="25" t="s">
        <v>66</v>
      </c>
      <c r="L172" s="31" t="s">
        <v>716</v>
      </c>
      <c r="M172" s="25" t="s">
        <v>142</v>
      </c>
      <c r="N172" s="32" t="s">
        <v>69</v>
      </c>
      <c r="O172" s="32" t="s">
        <v>754</v>
      </c>
      <c r="P172" s="51">
        <v>177.83333333333334</v>
      </c>
      <c r="Q172" s="57">
        <v>9785978109344</v>
      </c>
      <c r="R172" s="66">
        <v>0.275</v>
      </c>
    </row>
    <row r="173" spans="1:18" ht="32.25" customHeight="1">
      <c r="A173" s="25" t="s">
        <v>766</v>
      </c>
      <c r="B173" s="25" t="s">
        <v>767</v>
      </c>
      <c r="C173" s="49" t="str">
        <f>HYPERLINK("http://www.atberg.aha.ru/samovar/rusnarskaski.gif")</f>
        <v>http://www.atberg.aha.ru/samovar/rusnarskaski.gif</v>
      </c>
      <c r="D173" s="27"/>
      <c r="E173" s="25" t="s">
        <v>768</v>
      </c>
      <c r="F173" s="28" t="s">
        <v>769</v>
      </c>
      <c r="G173" s="25"/>
      <c r="H173" s="29"/>
      <c r="I173" s="30" t="s">
        <v>97</v>
      </c>
      <c r="J173" s="30">
        <v>5.16</v>
      </c>
      <c r="K173" s="25" t="s">
        <v>66</v>
      </c>
      <c r="L173" s="31" t="s">
        <v>716</v>
      </c>
      <c r="M173" s="25" t="s">
        <v>770</v>
      </c>
      <c r="N173" s="32" t="s">
        <v>69</v>
      </c>
      <c r="O173" s="32" t="s">
        <v>754</v>
      </c>
      <c r="P173" s="51">
        <v>177.83333333333334</v>
      </c>
      <c r="Q173" s="57">
        <v>9785978110487</v>
      </c>
      <c r="R173" s="66">
        <v>0.258</v>
      </c>
    </row>
    <row r="174" spans="1:18" ht="32.25" customHeight="1">
      <c r="A174" s="25" t="s">
        <v>771</v>
      </c>
      <c r="B174" s="25" t="s">
        <v>772</v>
      </c>
      <c r="C174" s="49" t="str">
        <f>HYPERLINK("http://www.atberg.aha.ru/samovar/mashaioyka.gif")</f>
        <v>http://www.atberg.aha.ru/samovar/mashaioyka.gif</v>
      </c>
      <c r="D174" s="27" t="s">
        <v>439</v>
      </c>
      <c r="E174" s="25" t="s">
        <v>773</v>
      </c>
      <c r="F174" s="28" t="s">
        <v>774</v>
      </c>
      <c r="G174" s="25"/>
      <c r="H174" s="29"/>
      <c r="I174" s="30" t="s">
        <v>97</v>
      </c>
      <c r="J174" s="30">
        <v>4.78</v>
      </c>
      <c r="K174" s="25" t="s">
        <v>66</v>
      </c>
      <c r="L174" s="31" t="s">
        <v>716</v>
      </c>
      <c r="M174" s="25" t="s">
        <v>252</v>
      </c>
      <c r="N174" s="32" t="s">
        <v>69</v>
      </c>
      <c r="O174" s="32" t="s">
        <v>754</v>
      </c>
      <c r="P174" s="51">
        <v>177.83333333333334</v>
      </c>
      <c r="Q174" s="57">
        <v>9785978109313</v>
      </c>
      <c r="R174" s="66">
        <v>0.23900000000000002</v>
      </c>
    </row>
    <row r="175" spans="1:18" ht="32.25" customHeight="1">
      <c r="A175" s="25" t="s">
        <v>775</v>
      </c>
      <c r="B175" s="25" t="s">
        <v>776</v>
      </c>
      <c r="C175" s="49" t="str">
        <f>HYPERLINK("http://www.atberg.aha.ru/samovar/mirskazanders.gif")</f>
        <v>http://www.atberg.aha.ru/samovar/mirskazanders.gif</v>
      </c>
      <c r="D175" s="27" t="s">
        <v>777</v>
      </c>
      <c r="E175" s="25" t="s">
        <v>778</v>
      </c>
      <c r="F175" s="28" t="s">
        <v>779</v>
      </c>
      <c r="G175" s="25"/>
      <c r="H175" s="29"/>
      <c r="I175" s="30" t="s">
        <v>97</v>
      </c>
      <c r="J175" s="30">
        <v>3.44</v>
      </c>
      <c r="K175" s="25" t="s">
        <v>66</v>
      </c>
      <c r="L175" s="31" t="s">
        <v>716</v>
      </c>
      <c r="M175" s="25" t="s">
        <v>68</v>
      </c>
      <c r="N175" s="32" t="s">
        <v>69</v>
      </c>
      <c r="O175" s="32" t="s">
        <v>754</v>
      </c>
      <c r="P175" s="51">
        <v>177.83333333333334</v>
      </c>
      <c r="Q175" s="57">
        <v>9785978110937</v>
      </c>
      <c r="R175" s="66">
        <v>0.172</v>
      </c>
    </row>
    <row r="176" spans="1:18" ht="32.25" customHeight="1">
      <c r="A176" s="25" t="s">
        <v>780</v>
      </c>
      <c r="B176" s="25" t="s">
        <v>781</v>
      </c>
      <c r="C176" s="49" t="str">
        <f>HYPERLINK("http://www.atberg.aha.ru/samovar/pyatzabavnyhmedvezhat.gif")</f>
        <v>http://www.atberg.aha.ru/samovar/pyatzabavnyhmedvezhat.gif</v>
      </c>
      <c r="D176" s="27" t="s">
        <v>782</v>
      </c>
      <c r="E176" s="25" t="s">
        <v>783</v>
      </c>
      <c r="F176" s="28" t="s">
        <v>784</v>
      </c>
      <c r="G176" s="25"/>
      <c r="H176" s="29"/>
      <c r="I176" s="30" t="s">
        <v>97</v>
      </c>
      <c r="J176" s="30">
        <v>4.5</v>
      </c>
      <c r="K176" s="25" t="s">
        <v>66</v>
      </c>
      <c r="L176" s="31" t="s">
        <v>716</v>
      </c>
      <c r="M176" s="25" t="s">
        <v>252</v>
      </c>
      <c r="N176" s="32" t="s">
        <v>69</v>
      </c>
      <c r="O176" s="32" t="s">
        <v>754</v>
      </c>
      <c r="P176" s="51">
        <v>177.83333333333334</v>
      </c>
      <c r="Q176" s="57">
        <v>9785978106060</v>
      </c>
      <c r="R176" s="66">
        <v>0.225</v>
      </c>
    </row>
    <row r="177" spans="1:18" ht="21.75" customHeight="1">
      <c r="A177" s="25" t="s">
        <v>785</v>
      </c>
      <c r="B177" s="25" t="s">
        <v>786</v>
      </c>
      <c r="C177" s="49" t="str">
        <f>HYPERLINK("http://atberg.aha.ru/samovar/sam-szs01.jpg")</f>
        <v>http://atberg.aha.ru/samovar/sam-szs01.jpg</v>
      </c>
      <c r="D177" s="27" t="s">
        <v>787</v>
      </c>
      <c r="E177" s="25" t="s">
        <v>788</v>
      </c>
      <c r="F177" s="28" t="s">
        <v>789</v>
      </c>
      <c r="G177" s="25"/>
      <c r="H177" s="29"/>
      <c r="I177" s="30" t="s">
        <v>97</v>
      </c>
      <c r="J177" s="30">
        <v>5.2</v>
      </c>
      <c r="K177" s="25" t="s">
        <v>66</v>
      </c>
      <c r="L177" s="31" t="s">
        <v>716</v>
      </c>
      <c r="M177" s="25" t="s">
        <v>68</v>
      </c>
      <c r="N177" s="32" t="s">
        <v>69</v>
      </c>
      <c r="O177" s="32" t="s">
        <v>790</v>
      </c>
      <c r="P177" s="51">
        <v>177.83333333333334</v>
      </c>
      <c r="Q177" s="57">
        <v>9785978110234</v>
      </c>
      <c r="R177" s="66">
        <v>0.26</v>
      </c>
    </row>
    <row r="178" spans="1:18" ht="32.25" customHeight="1">
      <c r="A178" s="25" t="s">
        <v>791</v>
      </c>
      <c r="B178" s="25" t="s">
        <v>792</v>
      </c>
      <c r="C178" s="49" t="str">
        <f>HYPERLINK("http://www.atberg.aha.ru/samovar/skaskidmal.gif")</f>
        <v>http://www.atberg.aha.ru/samovar/skaskidmal.gif</v>
      </c>
      <c r="D178" s="27"/>
      <c r="E178" s="25" t="s">
        <v>793</v>
      </c>
      <c r="F178" s="28" t="s">
        <v>794</v>
      </c>
      <c r="G178" s="25"/>
      <c r="H178" s="29"/>
      <c r="I178" s="30" t="s">
        <v>97</v>
      </c>
      <c r="J178" s="30">
        <v>4.44</v>
      </c>
      <c r="K178" s="25" t="s">
        <v>66</v>
      </c>
      <c r="L178" s="31" t="s">
        <v>716</v>
      </c>
      <c r="M178" s="25" t="s">
        <v>68</v>
      </c>
      <c r="N178" s="32" t="s">
        <v>69</v>
      </c>
      <c r="O178" s="32" t="s">
        <v>754</v>
      </c>
      <c r="P178" s="51">
        <v>177.83333333333334</v>
      </c>
      <c r="Q178" s="57">
        <v>9785978109320</v>
      </c>
      <c r="R178" s="66">
        <v>0.22200000000000003</v>
      </c>
    </row>
    <row r="179" spans="1:18" ht="32.25" customHeight="1">
      <c r="A179" s="25" t="s">
        <v>795</v>
      </c>
      <c r="B179" s="25" t="s">
        <v>796</v>
      </c>
      <c r="C179" s="49" t="str">
        <f>HYPERLINK("http://www.atberg.aha.ru/samovar/skazkixkanders.gif")</f>
        <v>http://www.atberg.aha.ru/samovar/skazkixkanders.gif</v>
      </c>
      <c r="D179" s="27" t="s">
        <v>797</v>
      </c>
      <c r="E179" s="25" t="s">
        <v>798</v>
      </c>
      <c r="F179" s="28" t="s">
        <v>799</v>
      </c>
      <c r="G179" s="25"/>
      <c r="H179" s="29"/>
      <c r="I179" s="30" t="s">
        <v>97</v>
      </c>
      <c r="J179" s="30">
        <v>5.9</v>
      </c>
      <c r="K179" s="25" t="s">
        <v>66</v>
      </c>
      <c r="L179" s="31" t="s">
        <v>716</v>
      </c>
      <c r="M179" s="25" t="s">
        <v>142</v>
      </c>
      <c r="N179" s="32" t="s">
        <v>69</v>
      </c>
      <c r="O179" s="32" t="s">
        <v>754</v>
      </c>
      <c r="P179" s="51">
        <v>177.83333333333334</v>
      </c>
      <c r="Q179" s="57">
        <v>9785978110579</v>
      </c>
      <c r="R179" s="66">
        <v>0.29500000000000004</v>
      </c>
    </row>
    <row r="180" spans="1:18" ht="32.25" customHeight="1">
      <c r="A180" s="25" t="s">
        <v>800</v>
      </c>
      <c r="B180" s="25" t="s">
        <v>801</v>
      </c>
      <c r="C180" s="49" t="str">
        <f>HYPERLINK("http://www.atberg.aha.ru/samovar/triveselyh.gif")</f>
        <v>http://www.atberg.aha.ru/samovar/triveselyh.gif</v>
      </c>
      <c r="D180" s="27" t="s">
        <v>782</v>
      </c>
      <c r="E180" s="25" t="s">
        <v>802</v>
      </c>
      <c r="F180" s="28" t="s">
        <v>803</v>
      </c>
      <c r="G180" s="25"/>
      <c r="H180" s="29"/>
      <c r="I180" s="30" t="s">
        <v>97</v>
      </c>
      <c r="J180" s="30">
        <v>4.82</v>
      </c>
      <c r="K180" s="25" t="s">
        <v>66</v>
      </c>
      <c r="L180" s="31" t="s">
        <v>716</v>
      </c>
      <c r="M180" s="25" t="s">
        <v>142</v>
      </c>
      <c r="N180" s="32" t="s">
        <v>69</v>
      </c>
      <c r="O180" s="32" t="s">
        <v>754</v>
      </c>
      <c r="P180" s="51">
        <v>177.83333333333334</v>
      </c>
      <c r="Q180" s="57">
        <v>9785978111309</v>
      </c>
      <c r="R180" s="66">
        <v>0.24100000000000002</v>
      </c>
    </row>
    <row r="181" spans="1:18" ht="32.25" customHeight="1" thickBot="1">
      <c r="A181" s="25" t="s">
        <v>804</v>
      </c>
      <c r="B181" s="25" t="s">
        <v>805</v>
      </c>
      <c r="C181" s="49" t="str">
        <f>HYPERLINK("http://www.atberg.aha.ru/samovar/chudesadaitolko.gif")</f>
        <v>http://www.atberg.aha.ru/samovar/chudesadaitolko.gif</v>
      </c>
      <c r="D181" s="27" t="s">
        <v>806</v>
      </c>
      <c r="E181" s="25" t="s">
        <v>807</v>
      </c>
      <c r="F181" s="28" t="s">
        <v>808</v>
      </c>
      <c r="G181" s="25"/>
      <c r="H181" s="29"/>
      <c r="I181" s="30" t="s">
        <v>97</v>
      </c>
      <c r="J181" s="30">
        <v>4.56</v>
      </c>
      <c r="K181" s="25" t="s">
        <v>66</v>
      </c>
      <c r="L181" s="31" t="s">
        <v>716</v>
      </c>
      <c r="M181" s="25" t="s">
        <v>252</v>
      </c>
      <c r="N181" s="32" t="s">
        <v>69</v>
      </c>
      <c r="O181" s="32" t="s">
        <v>754</v>
      </c>
      <c r="P181" s="51">
        <v>177.83333333333334</v>
      </c>
      <c r="Q181" s="57">
        <v>9785978109337</v>
      </c>
      <c r="R181" s="66">
        <v>0.22799999999999998</v>
      </c>
    </row>
    <row r="182" spans="1:18" ht="12.75" customHeight="1">
      <c r="A182" s="18"/>
      <c r="B182" s="18"/>
      <c r="C182" s="18"/>
      <c r="D182" s="19"/>
      <c r="E182" s="20"/>
      <c r="F182" s="21" t="s">
        <v>809</v>
      </c>
      <c r="G182" s="22"/>
      <c r="H182" s="23"/>
      <c r="I182" s="20"/>
      <c r="J182" s="20"/>
      <c r="K182" s="20"/>
      <c r="L182" s="20"/>
      <c r="M182" s="20"/>
      <c r="N182" s="20"/>
      <c r="O182" s="20"/>
      <c r="P182" s="24"/>
      <c r="Q182" s="56"/>
      <c r="R182" s="66"/>
    </row>
    <row r="183" spans="1:18" ht="21.75" customHeight="1">
      <c r="A183" s="25" t="s">
        <v>810</v>
      </c>
      <c r="B183" s="25" t="s">
        <v>811</v>
      </c>
      <c r="C183" s="49" t="str">
        <f>HYPERLINK("http://www.atberg.aha.ru/samovar/aybolit.gif")</f>
        <v>http://www.atberg.aha.ru/samovar/aybolit.gif</v>
      </c>
      <c r="D183" s="27" t="s">
        <v>79</v>
      </c>
      <c r="E183" s="25" t="s">
        <v>812</v>
      </c>
      <c r="F183" s="28" t="s">
        <v>650</v>
      </c>
      <c r="G183" s="25"/>
      <c r="H183" s="29"/>
      <c r="I183" s="30" t="s">
        <v>813</v>
      </c>
      <c r="J183" s="30">
        <v>3.1</v>
      </c>
      <c r="K183" s="25" t="s">
        <v>66</v>
      </c>
      <c r="L183" s="31" t="s">
        <v>814</v>
      </c>
      <c r="M183" s="25" t="s">
        <v>76</v>
      </c>
      <c r="N183" s="32" t="s">
        <v>69</v>
      </c>
      <c r="O183" s="32" t="s">
        <v>815</v>
      </c>
      <c r="P183" s="51">
        <v>75.9</v>
      </c>
      <c r="Q183" s="57">
        <v>9785978111101</v>
      </c>
      <c r="R183" s="66">
        <v>0.10333333333333333</v>
      </c>
    </row>
    <row r="184" spans="1:18" ht="21.75" customHeight="1">
      <c r="A184" s="25" t="s">
        <v>816</v>
      </c>
      <c r="B184" s="25" t="s">
        <v>817</v>
      </c>
      <c r="C184" s="49" t="str">
        <f>HYPERLINK("http://www.atberg.aha.ru/samovar/kitikot.gif")</f>
        <v>http://www.atberg.aha.ru/samovar/kitikot.gif</v>
      </c>
      <c r="D184" s="27" t="s">
        <v>109</v>
      </c>
      <c r="E184" s="25" t="s">
        <v>818</v>
      </c>
      <c r="F184" s="28" t="s">
        <v>819</v>
      </c>
      <c r="G184" s="25"/>
      <c r="H184" s="29"/>
      <c r="I184" s="30" t="s">
        <v>813</v>
      </c>
      <c r="J184" s="30">
        <v>3.97</v>
      </c>
      <c r="K184" s="25" t="s">
        <v>66</v>
      </c>
      <c r="L184" s="31" t="s">
        <v>814</v>
      </c>
      <c r="M184" s="25" t="s">
        <v>820</v>
      </c>
      <c r="N184" s="32" t="s">
        <v>69</v>
      </c>
      <c r="O184" s="32" t="s">
        <v>815</v>
      </c>
      <c r="P184" s="51">
        <v>75.9</v>
      </c>
      <c r="Q184" s="57">
        <v>9785978109351</v>
      </c>
      <c r="R184" s="66">
        <v>0.13233333333333333</v>
      </c>
    </row>
    <row r="185" spans="1:18" ht="32.25" customHeight="1">
      <c r="A185" s="25" t="s">
        <v>821</v>
      </c>
      <c r="B185" s="25" t="s">
        <v>822</v>
      </c>
      <c r="C185" s="49" t="str">
        <f>HYPERLINK("http://www.atberg.aha.ru/samovar/moydodir.gif")</f>
        <v>http://www.atberg.aha.ru/samovar/moydodir.gif</v>
      </c>
      <c r="D185" s="27" t="s">
        <v>79</v>
      </c>
      <c r="E185" s="25" t="s">
        <v>823</v>
      </c>
      <c r="F185" s="28" t="s">
        <v>824</v>
      </c>
      <c r="G185" s="25"/>
      <c r="H185" s="29"/>
      <c r="I185" s="30" t="s">
        <v>813</v>
      </c>
      <c r="J185" s="30">
        <v>3.52</v>
      </c>
      <c r="K185" s="25" t="s">
        <v>66</v>
      </c>
      <c r="L185" s="31" t="s">
        <v>814</v>
      </c>
      <c r="M185" s="25" t="s">
        <v>820</v>
      </c>
      <c r="N185" s="32" t="s">
        <v>69</v>
      </c>
      <c r="O185" s="32" t="s">
        <v>815</v>
      </c>
      <c r="P185" s="51">
        <v>75.9</v>
      </c>
      <c r="Q185" s="57">
        <v>9785978109849</v>
      </c>
      <c r="R185" s="66">
        <v>0.11733333333333333</v>
      </c>
    </row>
    <row r="186" spans="1:18" ht="21.75" customHeight="1" thickBot="1">
      <c r="A186" s="25" t="s">
        <v>825</v>
      </c>
      <c r="B186" s="25" t="s">
        <v>826</v>
      </c>
      <c r="C186" s="49" t="str">
        <f>HYPERLINK("http://atberg.aha.ru/samovar/sam-stdm01.jpg")</f>
        <v>http://atberg.aha.ru/samovar/sam-stdm01.jpg</v>
      </c>
      <c r="D186" s="27" t="s">
        <v>73</v>
      </c>
      <c r="E186" s="25" t="s">
        <v>827</v>
      </c>
      <c r="F186" s="28" t="s">
        <v>828</v>
      </c>
      <c r="G186" s="25"/>
      <c r="H186" s="29"/>
      <c r="I186" s="30" t="s">
        <v>813</v>
      </c>
      <c r="J186" s="30">
        <v>3.728</v>
      </c>
      <c r="K186" s="25" t="s">
        <v>66</v>
      </c>
      <c r="L186" s="31" t="s">
        <v>814</v>
      </c>
      <c r="M186" s="25" t="s">
        <v>820</v>
      </c>
      <c r="N186" s="32" t="s">
        <v>69</v>
      </c>
      <c r="O186" s="32" t="s">
        <v>829</v>
      </c>
      <c r="P186" s="51">
        <v>75.9</v>
      </c>
      <c r="Q186" s="57">
        <v>9785978111477</v>
      </c>
      <c r="R186" s="66">
        <v>0.12426666666666668</v>
      </c>
    </row>
    <row r="187" spans="1:18" ht="12.75" customHeight="1">
      <c r="A187" s="18"/>
      <c r="B187" s="18"/>
      <c r="C187" s="18"/>
      <c r="D187" s="19"/>
      <c r="E187" s="20"/>
      <c r="F187" s="21" t="s">
        <v>830</v>
      </c>
      <c r="G187" s="22"/>
      <c r="H187" s="23"/>
      <c r="I187" s="20"/>
      <c r="J187" s="20"/>
      <c r="K187" s="20"/>
      <c r="L187" s="20"/>
      <c r="M187" s="20"/>
      <c r="N187" s="20"/>
      <c r="O187" s="20"/>
      <c r="P187" s="24"/>
      <c r="Q187" s="56"/>
      <c r="R187" s="66"/>
    </row>
    <row r="188" spans="1:18" ht="32.25" customHeight="1">
      <c r="A188" s="25" t="s">
        <v>831</v>
      </c>
      <c r="B188" s="25" t="s">
        <v>832</v>
      </c>
      <c r="C188" s="49" t="str">
        <f>HYPERLINK("http://www.atberg.aha.ru/samovar/malnew25.gif")</f>
        <v>http://www.atberg.aha.ru/samovar/malnew25.gif</v>
      </c>
      <c r="D188" s="27" t="s">
        <v>115</v>
      </c>
      <c r="E188" s="25" t="s">
        <v>833</v>
      </c>
      <c r="F188" s="28" t="s">
        <v>834</v>
      </c>
      <c r="G188" s="25"/>
      <c r="H188" s="29"/>
      <c r="I188" s="30" t="s">
        <v>813</v>
      </c>
      <c r="J188" s="30">
        <v>3.79</v>
      </c>
      <c r="K188" s="25" t="s">
        <v>66</v>
      </c>
      <c r="L188" s="31" t="s">
        <v>814</v>
      </c>
      <c r="M188" s="25" t="s">
        <v>76</v>
      </c>
      <c r="N188" s="32" t="s">
        <v>69</v>
      </c>
      <c r="O188" s="32" t="s">
        <v>835</v>
      </c>
      <c r="P188" s="51">
        <v>75.9</v>
      </c>
      <c r="Q188" s="57">
        <v>9785978110463</v>
      </c>
      <c r="R188" s="66">
        <v>0.12633333333333333</v>
      </c>
    </row>
    <row r="189" spans="1:18" ht="32.25" customHeight="1">
      <c r="A189" s="25" t="s">
        <v>836</v>
      </c>
      <c r="B189" s="25" t="s">
        <v>837</v>
      </c>
      <c r="C189" s="49" t="str">
        <f>HYPERLINK("http://www.atberg.aha.ru/samovar/malnewazb.gif")</f>
        <v>http://www.atberg.aha.ru/samovar/malnewazb.gif</v>
      </c>
      <c r="D189" s="27" t="s">
        <v>115</v>
      </c>
      <c r="E189" s="25" t="s">
        <v>838</v>
      </c>
      <c r="F189" s="28" t="s">
        <v>839</v>
      </c>
      <c r="G189" s="25"/>
      <c r="H189" s="29"/>
      <c r="I189" s="30" t="s">
        <v>813</v>
      </c>
      <c r="J189" s="30">
        <v>3.46</v>
      </c>
      <c r="K189" s="25" t="s">
        <v>66</v>
      </c>
      <c r="L189" s="31" t="s">
        <v>814</v>
      </c>
      <c r="M189" s="25" t="s">
        <v>76</v>
      </c>
      <c r="N189" s="32" t="s">
        <v>69</v>
      </c>
      <c r="O189" s="32" t="s">
        <v>835</v>
      </c>
      <c r="P189" s="51">
        <v>75.9</v>
      </c>
      <c r="Q189" s="57">
        <v>9785978109368</v>
      </c>
      <c r="R189" s="66">
        <v>0.11533333333333333</v>
      </c>
    </row>
    <row r="190" spans="1:18" ht="32.25" customHeight="1">
      <c r="A190" s="25" t="s">
        <v>840</v>
      </c>
      <c r="B190" s="25" t="s">
        <v>841</v>
      </c>
      <c r="C190" s="49" t="str">
        <f>HYPERLINK("http://www.atberg.aha.ru/samovar/malnewbau.gif")</f>
        <v>http://www.atberg.aha.ru/samovar/malnewbau.gif</v>
      </c>
      <c r="D190" s="27" t="s">
        <v>115</v>
      </c>
      <c r="E190" s="25" t="s">
        <v>842</v>
      </c>
      <c r="F190" s="28" t="s">
        <v>843</v>
      </c>
      <c r="G190" s="25"/>
      <c r="H190" s="29"/>
      <c r="I190" s="30" t="s">
        <v>813</v>
      </c>
      <c r="J190" s="30">
        <v>3.1</v>
      </c>
      <c r="K190" s="25" t="s">
        <v>66</v>
      </c>
      <c r="L190" s="31" t="s">
        <v>814</v>
      </c>
      <c r="M190" s="25" t="s">
        <v>76</v>
      </c>
      <c r="N190" s="32" t="s">
        <v>69</v>
      </c>
      <c r="O190" s="32" t="s">
        <v>835</v>
      </c>
      <c r="P190" s="51">
        <v>75.9</v>
      </c>
      <c r="Q190" s="57">
        <v>9785978109047</v>
      </c>
      <c r="R190" s="66">
        <v>0.10333333333333333</v>
      </c>
    </row>
    <row r="191" spans="1:18" ht="32.25" customHeight="1">
      <c r="A191" s="25" t="s">
        <v>844</v>
      </c>
      <c r="B191" s="25" t="s">
        <v>845</v>
      </c>
      <c r="C191" s="49" t="str">
        <f>HYPERLINK("http://www.atberg.aha.ru/samovar/malnewbrat.gif")</f>
        <v>http://www.atberg.aha.ru/samovar/malnewbrat.gif</v>
      </c>
      <c r="D191" s="27" t="s">
        <v>115</v>
      </c>
      <c r="E191" s="25" t="s">
        <v>846</v>
      </c>
      <c r="F191" s="28" t="s">
        <v>847</v>
      </c>
      <c r="G191" s="25"/>
      <c r="H191" s="29"/>
      <c r="I191" s="30" t="s">
        <v>813</v>
      </c>
      <c r="J191" s="30">
        <v>3.79</v>
      </c>
      <c r="K191" s="25" t="s">
        <v>66</v>
      </c>
      <c r="L191" s="31" t="s">
        <v>814</v>
      </c>
      <c r="M191" s="25" t="s">
        <v>76</v>
      </c>
      <c r="N191" s="32" t="s">
        <v>69</v>
      </c>
      <c r="O191" s="32" t="s">
        <v>835</v>
      </c>
      <c r="P191" s="51">
        <v>75.9</v>
      </c>
      <c r="Q191" s="57">
        <v>9785978109764</v>
      </c>
      <c r="R191" s="66">
        <v>0.12633333333333333</v>
      </c>
    </row>
    <row r="192" spans="1:18" ht="32.25" customHeight="1">
      <c r="A192" s="25" t="s">
        <v>848</v>
      </c>
      <c r="B192" s="25" t="s">
        <v>849</v>
      </c>
      <c r="C192" s="49" t="str">
        <f>HYPERLINK("http://www.atberg.aha.ru/samovar/malnewbur.gif")</f>
        <v>http://www.atberg.aha.ru/samovar/malnewbur.gif</v>
      </c>
      <c r="D192" s="27" t="s">
        <v>115</v>
      </c>
      <c r="E192" s="25" t="s">
        <v>850</v>
      </c>
      <c r="F192" s="28" t="s">
        <v>851</v>
      </c>
      <c r="G192" s="25"/>
      <c r="H192" s="29"/>
      <c r="I192" s="30" t="s">
        <v>813</v>
      </c>
      <c r="J192" s="30">
        <v>3.37</v>
      </c>
      <c r="K192" s="25" t="s">
        <v>66</v>
      </c>
      <c r="L192" s="31" t="s">
        <v>814</v>
      </c>
      <c r="M192" s="25" t="s">
        <v>76</v>
      </c>
      <c r="N192" s="32" t="s">
        <v>69</v>
      </c>
      <c r="O192" s="32" t="s">
        <v>835</v>
      </c>
      <c r="P192" s="51">
        <v>75.9</v>
      </c>
      <c r="Q192" s="57">
        <v>9785978110074</v>
      </c>
      <c r="R192" s="66">
        <v>0.11233333333333334</v>
      </c>
    </row>
    <row r="193" spans="1:18" ht="32.25" customHeight="1">
      <c r="A193" s="25" t="s">
        <v>852</v>
      </c>
      <c r="B193" s="25" t="s">
        <v>853</v>
      </c>
      <c r="C193" s="49" t="str">
        <f>HYPERLINK("http://www.atberg.aha.ru/samovar/vernyedruzya.gif")</f>
        <v>http://www.atberg.aha.ru/samovar/vernyedruzya.gif</v>
      </c>
      <c r="D193" s="27" t="s">
        <v>115</v>
      </c>
      <c r="E193" s="25" t="s">
        <v>854</v>
      </c>
      <c r="F193" s="28" t="s">
        <v>855</v>
      </c>
      <c r="G193" s="25"/>
      <c r="H193" s="29"/>
      <c r="I193" s="30" t="s">
        <v>813</v>
      </c>
      <c r="J193" s="30">
        <v>3.25</v>
      </c>
      <c r="K193" s="25" t="s">
        <v>66</v>
      </c>
      <c r="L193" s="31" t="s">
        <v>814</v>
      </c>
      <c r="M193" s="25" t="s">
        <v>76</v>
      </c>
      <c r="N193" s="32" t="s">
        <v>69</v>
      </c>
      <c r="O193" s="32" t="s">
        <v>835</v>
      </c>
      <c r="P193" s="51">
        <v>75.9</v>
      </c>
      <c r="Q193" s="57">
        <v>9785978109795</v>
      </c>
      <c r="R193" s="66">
        <v>0.10833333333333334</v>
      </c>
    </row>
    <row r="194" spans="1:18" ht="32.25" customHeight="1">
      <c r="A194" s="25" t="s">
        <v>856</v>
      </c>
      <c r="B194" s="25" t="s">
        <v>857</v>
      </c>
      <c r="C194" s="49" t="str">
        <f>HYPERLINK("http://www.atberg.aha.ru/samovar/malnewlub.gif")</f>
        <v>http://www.atberg.aha.ru/samovar/malnewlub.gif</v>
      </c>
      <c r="D194" s="27" t="s">
        <v>115</v>
      </c>
      <c r="E194" s="25" t="s">
        <v>858</v>
      </c>
      <c r="F194" s="28" t="s">
        <v>859</v>
      </c>
      <c r="G194" s="25"/>
      <c r="H194" s="29"/>
      <c r="I194" s="30" t="s">
        <v>813</v>
      </c>
      <c r="J194" s="30">
        <v>3.79</v>
      </c>
      <c r="K194" s="25" t="s">
        <v>66</v>
      </c>
      <c r="L194" s="31" t="s">
        <v>814</v>
      </c>
      <c r="M194" s="25" t="s">
        <v>76</v>
      </c>
      <c r="N194" s="32" t="s">
        <v>69</v>
      </c>
      <c r="O194" s="32" t="s">
        <v>835</v>
      </c>
      <c r="P194" s="51">
        <v>75.9</v>
      </c>
      <c r="Q194" s="57">
        <v>9785978109955</v>
      </c>
      <c r="R194" s="66">
        <v>0.12633333333333333</v>
      </c>
    </row>
    <row r="195" spans="1:18" ht="32.25" customHeight="1">
      <c r="A195" s="25" t="s">
        <v>860</v>
      </c>
      <c r="B195" s="25" t="s">
        <v>861</v>
      </c>
      <c r="C195" s="49" t="str">
        <f>HYPERLINK("http://www.atberg.aha.ru/samovar/malnewozor.gif")</f>
        <v>http://www.atberg.aha.ru/samovar/malnewozor.gif</v>
      </c>
      <c r="D195" s="27" t="s">
        <v>115</v>
      </c>
      <c r="E195" s="25" t="s">
        <v>862</v>
      </c>
      <c r="F195" s="28" t="s">
        <v>863</v>
      </c>
      <c r="G195" s="25"/>
      <c r="H195" s="29"/>
      <c r="I195" s="30" t="s">
        <v>813</v>
      </c>
      <c r="J195" s="30">
        <v>3.79</v>
      </c>
      <c r="K195" s="25" t="s">
        <v>66</v>
      </c>
      <c r="L195" s="31" t="s">
        <v>814</v>
      </c>
      <c r="M195" s="25" t="s">
        <v>76</v>
      </c>
      <c r="N195" s="32" t="s">
        <v>69</v>
      </c>
      <c r="O195" s="32" t="s">
        <v>835</v>
      </c>
      <c r="P195" s="51">
        <v>75.9</v>
      </c>
      <c r="Q195" s="57">
        <v>9785978109931</v>
      </c>
      <c r="R195" s="66">
        <v>0.12633333333333333</v>
      </c>
    </row>
    <row r="196" spans="1:18" ht="32.25" customHeight="1">
      <c r="A196" s="25" t="s">
        <v>864</v>
      </c>
      <c r="B196" s="25" t="s">
        <v>865</v>
      </c>
      <c r="C196" s="49" t="str">
        <f>HYPERLINK("http://www.atberg.aha.ru/samovar/sam-dsm05.jpg")</f>
        <v>http://www.atberg.aha.ru/samovar/sam-dsm05.jpg</v>
      </c>
      <c r="D196" s="27" t="s">
        <v>115</v>
      </c>
      <c r="E196" s="25" t="s">
        <v>866</v>
      </c>
      <c r="F196" s="28" t="s">
        <v>867</v>
      </c>
      <c r="G196" s="25"/>
      <c r="H196" s="29"/>
      <c r="I196" s="30" t="s">
        <v>813</v>
      </c>
      <c r="J196" s="30">
        <v>3.79</v>
      </c>
      <c r="K196" s="25" t="s">
        <v>66</v>
      </c>
      <c r="L196" s="31" t="s">
        <v>814</v>
      </c>
      <c r="M196" s="25" t="s">
        <v>76</v>
      </c>
      <c r="N196" s="32" t="s">
        <v>69</v>
      </c>
      <c r="O196" s="32" t="s">
        <v>835</v>
      </c>
      <c r="P196" s="51">
        <v>75.9</v>
      </c>
      <c r="Q196" s="57">
        <v>9785978111279</v>
      </c>
      <c r="R196" s="66">
        <v>0.12633333333333333</v>
      </c>
    </row>
    <row r="197" spans="1:18" ht="32.25" customHeight="1">
      <c r="A197" s="25" t="s">
        <v>868</v>
      </c>
      <c r="B197" s="25" t="s">
        <v>869</v>
      </c>
      <c r="C197" s="49" t="str">
        <f>HYPERLINK("http://www.atberg.aha.ru/samovar/sam-dsm03.jpg")</f>
        <v>http://www.atberg.aha.ru/samovar/sam-dsm03.jpg</v>
      </c>
      <c r="D197" s="27" t="s">
        <v>115</v>
      </c>
      <c r="E197" s="25" t="s">
        <v>870</v>
      </c>
      <c r="F197" s="28" t="s">
        <v>871</v>
      </c>
      <c r="G197" s="25"/>
      <c r="H197" s="29"/>
      <c r="I197" s="30" t="s">
        <v>813</v>
      </c>
      <c r="J197" s="30">
        <v>3.79</v>
      </c>
      <c r="K197" s="25" t="s">
        <v>66</v>
      </c>
      <c r="L197" s="31" t="s">
        <v>814</v>
      </c>
      <c r="M197" s="25" t="s">
        <v>76</v>
      </c>
      <c r="N197" s="32" t="s">
        <v>69</v>
      </c>
      <c r="O197" s="32" t="s">
        <v>835</v>
      </c>
      <c r="P197" s="51">
        <v>75.9</v>
      </c>
      <c r="Q197" s="57">
        <v>9785978111262</v>
      </c>
      <c r="R197" s="66">
        <v>0.12633333333333333</v>
      </c>
    </row>
    <row r="198" spans="1:18" ht="32.25" customHeight="1">
      <c r="A198" s="25" t="s">
        <v>872</v>
      </c>
      <c r="B198" s="25" t="s">
        <v>873</v>
      </c>
      <c r="C198" s="49" t="str">
        <f>HYPERLINK("http://www.atberg.aha.ru/samovar/malnewreb.gif")</f>
        <v>http://www.atberg.aha.ru/samovar/malnewreb.gif</v>
      </c>
      <c r="D198" s="27" t="s">
        <v>115</v>
      </c>
      <c r="E198" s="25" t="s">
        <v>874</v>
      </c>
      <c r="F198" s="28" t="s">
        <v>875</v>
      </c>
      <c r="G198" s="25"/>
      <c r="H198" s="29"/>
      <c r="I198" s="30" t="s">
        <v>813</v>
      </c>
      <c r="J198" s="30">
        <v>3.1</v>
      </c>
      <c r="K198" s="25" t="s">
        <v>66</v>
      </c>
      <c r="L198" s="31" t="s">
        <v>814</v>
      </c>
      <c r="M198" s="25" t="s">
        <v>76</v>
      </c>
      <c r="N198" s="32" t="s">
        <v>69</v>
      </c>
      <c r="O198" s="32" t="s">
        <v>835</v>
      </c>
      <c r="P198" s="51">
        <v>75.9</v>
      </c>
      <c r="Q198" s="57">
        <v>9785978109375</v>
      </c>
      <c r="R198" s="66">
        <v>0.10333333333333333</v>
      </c>
    </row>
    <row r="199" spans="1:18" ht="32.25" customHeight="1">
      <c r="A199" s="25" t="s">
        <v>876</v>
      </c>
      <c r="B199" s="25" t="s">
        <v>877</v>
      </c>
      <c r="C199" s="49" t="str">
        <f>HYPERLINK("http://www.atberg.aha.ru/samovar/malnewskazs.gif")</f>
        <v>http://www.atberg.aha.ru/samovar/malnewskazs.gif</v>
      </c>
      <c r="D199" s="27" t="s">
        <v>115</v>
      </c>
      <c r="E199" s="25" t="s">
        <v>878</v>
      </c>
      <c r="F199" s="28" t="s">
        <v>879</v>
      </c>
      <c r="G199" s="25"/>
      <c r="H199" s="29"/>
      <c r="I199" s="30" t="s">
        <v>813</v>
      </c>
      <c r="J199" s="30">
        <v>3.79</v>
      </c>
      <c r="K199" s="25" t="s">
        <v>66</v>
      </c>
      <c r="L199" s="31" t="s">
        <v>814</v>
      </c>
      <c r="M199" s="25" t="s">
        <v>76</v>
      </c>
      <c r="N199" s="32" t="s">
        <v>69</v>
      </c>
      <c r="O199" s="32" t="s">
        <v>835</v>
      </c>
      <c r="P199" s="51">
        <v>75.9</v>
      </c>
      <c r="Q199" s="57">
        <v>9785978111019</v>
      </c>
      <c r="R199" s="66">
        <v>0.12633333333333333</v>
      </c>
    </row>
    <row r="200" spans="1:18" ht="32.25" customHeight="1">
      <c r="A200" s="25" t="s">
        <v>880</v>
      </c>
      <c r="B200" s="25" t="s">
        <v>881</v>
      </c>
      <c r="C200" s="49" t="str">
        <f>HYPERLINK("http://www.atberg.aha.ru/samovar/malnewskazn.gif")</f>
        <v>http://www.atberg.aha.ru/samovar/malnewskazn.gif</v>
      </c>
      <c r="D200" s="27" t="s">
        <v>115</v>
      </c>
      <c r="E200" s="25" t="s">
        <v>882</v>
      </c>
      <c r="F200" s="28" t="s">
        <v>883</v>
      </c>
      <c r="G200" s="25"/>
      <c r="H200" s="29"/>
      <c r="I200" s="30" t="s">
        <v>813</v>
      </c>
      <c r="J200" s="30">
        <v>3.52</v>
      </c>
      <c r="K200" s="25" t="s">
        <v>66</v>
      </c>
      <c r="L200" s="31" t="s">
        <v>814</v>
      </c>
      <c r="M200" s="25" t="s">
        <v>76</v>
      </c>
      <c r="N200" s="32" t="s">
        <v>69</v>
      </c>
      <c r="O200" s="32" t="s">
        <v>835</v>
      </c>
      <c r="P200" s="51">
        <v>75.9</v>
      </c>
      <c r="Q200" s="57">
        <v>9785978109382</v>
      </c>
      <c r="R200" s="66">
        <v>0.11733333333333333</v>
      </c>
    </row>
    <row r="201" spans="1:18" ht="32.25" customHeight="1">
      <c r="A201" s="25" t="s">
        <v>884</v>
      </c>
      <c r="B201" s="25" t="s">
        <v>885</v>
      </c>
      <c r="C201" s="49" t="str">
        <f>HYPERLINK("http://www.atberg.aha.ru/samovar/malnewskorog.gif")</f>
        <v>http://www.atberg.aha.ru/samovar/malnewskorog.gif</v>
      </c>
      <c r="D201" s="27" t="s">
        <v>115</v>
      </c>
      <c r="E201" s="25" t="s">
        <v>886</v>
      </c>
      <c r="F201" s="28" t="s">
        <v>887</v>
      </c>
      <c r="G201" s="25"/>
      <c r="H201" s="29"/>
      <c r="I201" s="30" t="s">
        <v>813</v>
      </c>
      <c r="J201" s="30">
        <v>3.82</v>
      </c>
      <c r="K201" s="25" t="s">
        <v>66</v>
      </c>
      <c r="L201" s="31" t="s">
        <v>814</v>
      </c>
      <c r="M201" s="25" t="s">
        <v>76</v>
      </c>
      <c r="N201" s="32" t="s">
        <v>69</v>
      </c>
      <c r="O201" s="32" t="s">
        <v>835</v>
      </c>
      <c r="P201" s="51">
        <v>75.9</v>
      </c>
      <c r="Q201" s="57">
        <v>9785978108866</v>
      </c>
      <c r="R201" s="66">
        <v>0.12733333333333333</v>
      </c>
    </row>
    <row r="202" spans="1:18" ht="32.25" customHeight="1">
      <c r="A202" s="25" t="s">
        <v>888</v>
      </c>
      <c r="B202" s="25" t="s">
        <v>889</v>
      </c>
      <c r="C202" s="49" t="str">
        <f>HYPERLINK("http://www.atberg.aha.ru/samovar/malnewsch.gif")</f>
        <v>http://www.atberg.aha.ru/samovar/malnewsch.gif</v>
      </c>
      <c r="D202" s="27" t="s">
        <v>115</v>
      </c>
      <c r="E202" s="25" t="s">
        <v>890</v>
      </c>
      <c r="F202" s="28" t="s">
        <v>891</v>
      </c>
      <c r="G202" s="25"/>
      <c r="H202" s="29"/>
      <c r="I202" s="30" t="s">
        <v>813</v>
      </c>
      <c r="J202" s="30">
        <v>2.39</v>
      </c>
      <c r="K202" s="25" t="s">
        <v>66</v>
      </c>
      <c r="L202" s="31" t="s">
        <v>814</v>
      </c>
      <c r="M202" s="25" t="s">
        <v>76</v>
      </c>
      <c r="N202" s="32" t="s">
        <v>69</v>
      </c>
      <c r="O202" s="32" t="s">
        <v>835</v>
      </c>
      <c r="P202" s="51">
        <v>75.9</v>
      </c>
      <c r="Q202" s="57">
        <v>9785978111293</v>
      </c>
      <c r="R202" s="66">
        <v>0.07966666666666668</v>
      </c>
    </row>
    <row r="203" spans="1:18" ht="32.25" customHeight="1">
      <c r="A203" s="25" t="s">
        <v>892</v>
      </c>
      <c r="B203" s="25" t="s">
        <v>893</v>
      </c>
      <c r="C203" s="49" t="str">
        <f>HYPERLINK("http://www.atberg.aha.ru/samovar/malnewchto.gif")</f>
        <v>http://www.atberg.aha.ru/samovar/malnewchto.gif</v>
      </c>
      <c r="D203" s="27" t="s">
        <v>115</v>
      </c>
      <c r="E203" s="25" t="s">
        <v>894</v>
      </c>
      <c r="F203" s="28" t="s">
        <v>895</v>
      </c>
      <c r="G203" s="25"/>
      <c r="H203" s="29"/>
      <c r="I203" s="30" t="s">
        <v>813</v>
      </c>
      <c r="J203" s="30">
        <v>3.79</v>
      </c>
      <c r="K203" s="25" t="s">
        <v>66</v>
      </c>
      <c r="L203" s="31" t="s">
        <v>814</v>
      </c>
      <c r="M203" s="25" t="s">
        <v>76</v>
      </c>
      <c r="N203" s="32" t="s">
        <v>69</v>
      </c>
      <c r="O203" s="32" t="s">
        <v>835</v>
      </c>
      <c r="P203" s="51">
        <v>75.9</v>
      </c>
      <c r="Q203" s="57">
        <v>9785978109481</v>
      </c>
      <c r="R203" s="66">
        <v>0.12633333333333333</v>
      </c>
    </row>
    <row r="204" spans="1:18" ht="32.25" customHeight="1" thickBot="1">
      <c r="A204" s="25" t="s">
        <v>896</v>
      </c>
      <c r="B204" s="25" t="s">
        <v>897</v>
      </c>
      <c r="C204" s="49" t="str">
        <f>HYPERLINK("http://www.atberg.aha.ru/samovar/malnewchudo.gif")</f>
        <v>http://www.atberg.aha.ru/samovar/malnewchudo.gif</v>
      </c>
      <c r="D204" s="27" t="s">
        <v>115</v>
      </c>
      <c r="E204" s="25" t="s">
        <v>898</v>
      </c>
      <c r="F204" s="28" t="s">
        <v>899</v>
      </c>
      <c r="G204" s="25"/>
      <c r="H204" s="29"/>
      <c r="I204" s="30" t="s">
        <v>813</v>
      </c>
      <c r="J204" s="30">
        <v>3.79</v>
      </c>
      <c r="K204" s="25" t="s">
        <v>66</v>
      </c>
      <c r="L204" s="31" t="s">
        <v>814</v>
      </c>
      <c r="M204" s="25" t="s">
        <v>76</v>
      </c>
      <c r="N204" s="32" t="s">
        <v>69</v>
      </c>
      <c r="O204" s="32" t="s">
        <v>835</v>
      </c>
      <c r="P204" s="51">
        <v>75.9</v>
      </c>
      <c r="Q204" s="57">
        <v>9785978111378</v>
      </c>
      <c r="R204" s="66">
        <v>0.12633333333333333</v>
      </c>
    </row>
    <row r="205" spans="1:18" ht="12.75" customHeight="1">
      <c r="A205" s="18"/>
      <c r="B205" s="18"/>
      <c r="C205" s="18"/>
      <c r="D205" s="19"/>
      <c r="E205" s="20"/>
      <c r="F205" s="21" t="s">
        <v>900</v>
      </c>
      <c r="G205" s="22"/>
      <c r="H205" s="23"/>
      <c r="I205" s="20"/>
      <c r="J205" s="20"/>
      <c r="K205" s="20"/>
      <c r="L205" s="20"/>
      <c r="M205" s="20"/>
      <c r="N205" s="20"/>
      <c r="O205" s="20"/>
      <c r="P205" s="24"/>
      <c r="Q205" s="56"/>
      <c r="R205" s="66"/>
    </row>
    <row r="206" spans="1:18" ht="32.25" customHeight="1">
      <c r="A206" s="25" t="s">
        <v>901</v>
      </c>
      <c r="B206" s="25" t="s">
        <v>902</v>
      </c>
      <c r="C206" s="49" t="str">
        <f>HYPERLINK("http://www.atberg.aha.ru/samovar/raskaybolit.gif")</f>
        <v>http://www.atberg.aha.ru/samovar/raskaybolit.gif</v>
      </c>
      <c r="D206" s="27" t="s">
        <v>79</v>
      </c>
      <c r="E206" s="25" t="s">
        <v>903</v>
      </c>
      <c r="F206" s="28" t="s">
        <v>904</v>
      </c>
      <c r="G206" s="25"/>
      <c r="H206" s="29"/>
      <c r="I206" s="30" t="s">
        <v>24</v>
      </c>
      <c r="J206" s="30">
        <v>2</v>
      </c>
      <c r="K206" s="25" t="s">
        <v>66</v>
      </c>
      <c r="L206" s="31" t="s">
        <v>905</v>
      </c>
      <c r="M206" s="25" t="s">
        <v>27</v>
      </c>
      <c r="N206" s="32" t="s">
        <v>906</v>
      </c>
      <c r="O206" s="32" t="s">
        <v>907</v>
      </c>
      <c r="P206" s="51">
        <v>27.5</v>
      </c>
      <c r="Q206" s="57">
        <v>9785978109610</v>
      </c>
      <c r="R206" s="66">
        <v>0.04</v>
      </c>
    </row>
    <row r="207" spans="1:18" ht="32.25" customHeight="1">
      <c r="A207" s="25" t="s">
        <v>908</v>
      </c>
      <c r="B207" s="25" t="s">
        <v>909</v>
      </c>
      <c r="C207" s="49" t="str">
        <f>HYPERLINK("http://www.atberg.aha.ru/samovar/rkaantoshka2.gif")</f>
        <v>http://www.atberg.aha.ru/samovar/rkaantoshka2.gif</v>
      </c>
      <c r="D207" s="27" t="s">
        <v>94</v>
      </c>
      <c r="E207" s="25" t="s">
        <v>910</v>
      </c>
      <c r="F207" s="28" t="s">
        <v>911</v>
      </c>
      <c r="G207" s="25"/>
      <c r="H207" s="29"/>
      <c r="I207" s="30" t="s">
        <v>24</v>
      </c>
      <c r="J207" s="30">
        <v>2</v>
      </c>
      <c r="K207" s="25" t="s">
        <v>66</v>
      </c>
      <c r="L207" s="31" t="s">
        <v>905</v>
      </c>
      <c r="M207" s="25" t="s">
        <v>27</v>
      </c>
      <c r="N207" s="32" t="s">
        <v>906</v>
      </c>
      <c r="O207" s="32" t="s">
        <v>907</v>
      </c>
      <c r="P207" s="51">
        <v>27.5</v>
      </c>
      <c r="Q207" s="57">
        <v>9785978111637</v>
      </c>
      <c r="R207" s="66">
        <v>0.04</v>
      </c>
    </row>
    <row r="208" spans="1:18" ht="32.25" customHeight="1">
      <c r="A208" s="25" t="s">
        <v>912</v>
      </c>
      <c r="B208" s="25" t="s">
        <v>913</v>
      </c>
      <c r="C208" s="49" t="str">
        <f>HYPERLINK("http://www.atberg.aha.ru/samovar/rkazagadki2.gif")</f>
        <v>http://www.atberg.aha.ru/samovar/rkazagadki2.gif</v>
      </c>
      <c r="D208" s="27"/>
      <c r="E208" s="25" t="s">
        <v>914</v>
      </c>
      <c r="F208" s="28" t="s">
        <v>915</v>
      </c>
      <c r="G208" s="25"/>
      <c r="H208" s="29"/>
      <c r="I208" s="30" t="s">
        <v>24</v>
      </c>
      <c r="J208" s="30">
        <v>2</v>
      </c>
      <c r="K208" s="25" t="s">
        <v>66</v>
      </c>
      <c r="L208" s="31" t="s">
        <v>905</v>
      </c>
      <c r="M208" s="25" t="s">
        <v>27</v>
      </c>
      <c r="N208" s="32" t="s">
        <v>906</v>
      </c>
      <c r="O208" s="32" t="s">
        <v>907</v>
      </c>
      <c r="P208" s="51">
        <v>27.5</v>
      </c>
      <c r="Q208" s="57">
        <v>9785978111651</v>
      </c>
      <c r="R208" s="66">
        <v>0.04</v>
      </c>
    </row>
    <row r="209" spans="1:18" ht="32.25" customHeight="1">
      <c r="A209" s="25" t="s">
        <v>916</v>
      </c>
      <c r="B209" s="25" t="s">
        <v>917</v>
      </c>
      <c r="C209" s="49" t="str">
        <f>HYPERLINK("http://www.atberg.aha.ru/samovar/raskigrushki.gif")</f>
        <v>http://www.atberg.aha.ru/samovar/raskigrushki.gif</v>
      </c>
      <c r="D209" s="27" t="s">
        <v>73</v>
      </c>
      <c r="E209" s="25" t="s">
        <v>918</v>
      </c>
      <c r="F209" s="28" t="s">
        <v>919</v>
      </c>
      <c r="G209" s="25"/>
      <c r="H209" s="29"/>
      <c r="I209" s="30" t="s">
        <v>24</v>
      </c>
      <c r="J209" s="30">
        <v>2</v>
      </c>
      <c r="K209" s="25" t="s">
        <v>66</v>
      </c>
      <c r="L209" s="31" t="s">
        <v>905</v>
      </c>
      <c r="M209" s="25" t="s">
        <v>27</v>
      </c>
      <c r="N209" s="32" t="s">
        <v>906</v>
      </c>
      <c r="O209" s="32" t="s">
        <v>907</v>
      </c>
      <c r="P209" s="51">
        <v>27.5</v>
      </c>
      <c r="Q209" s="57">
        <v>9785978108989</v>
      </c>
      <c r="R209" s="66">
        <v>0.04</v>
      </c>
    </row>
    <row r="210" spans="1:18" ht="32.25" customHeight="1">
      <c r="A210" s="25" t="s">
        <v>920</v>
      </c>
      <c r="B210" s="25" t="s">
        <v>921</v>
      </c>
      <c r="C210" s="49" t="str">
        <f>HYPERLINK("http://www.atberg.aha.ru/samovar/raskladushki.gif")</f>
        <v>http://www.atberg.aha.ru/samovar/raskladushki.gif</v>
      </c>
      <c r="D210" s="27" t="s">
        <v>115</v>
      </c>
      <c r="E210" s="25" t="s">
        <v>922</v>
      </c>
      <c r="F210" s="28" t="s">
        <v>923</v>
      </c>
      <c r="G210" s="25"/>
      <c r="H210" s="29"/>
      <c r="I210" s="30" t="s">
        <v>24</v>
      </c>
      <c r="J210" s="30">
        <v>2</v>
      </c>
      <c r="K210" s="25" t="s">
        <v>66</v>
      </c>
      <c r="L210" s="31" t="s">
        <v>905</v>
      </c>
      <c r="M210" s="25" t="s">
        <v>27</v>
      </c>
      <c r="N210" s="32" t="s">
        <v>906</v>
      </c>
      <c r="O210" s="32" t="s">
        <v>907</v>
      </c>
      <c r="P210" s="51">
        <v>27.5</v>
      </c>
      <c r="Q210" s="57">
        <v>9785978109801</v>
      </c>
      <c r="R210" s="66">
        <v>0.04</v>
      </c>
    </row>
    <row r="211" spans="1:18" ht="32.25" customHeight="1">
      <c r="A211" s="25" t="s">
        <v>924</v>
      </c>
      <c r="B211" s="25" t="s">
        <v>925</v>
      </c>
      <c r="C211" s="49" t="str">
        <f>HYPERLINK("http://www.atberg.aha.ru/samovar/rkamatreshki.gif")</f>
        <v>http://www.atberg.aha.ru/samovar/rkamatreshki.gif</v>
      </c>
      <c r="D211" s="27" t="s">
        <v>103</v>
      </c>
      <c r="E211" s="25" t="s">
        <v>926</v>
      </c>
      <c r="F211" s="28" t="s">
        <v>927</v>
      </c>
      <c r="G211" s="25"/>
      <c r="H211" s="29"/>
      <c r="I211" s="30" t="s">
        <v>24</v>
      </c>
      <c r="J211" s="30">
        <v>2</v>
      </c>
      <c r="K211" s="25" t="s">
        <v>66</v>
      </c>
      <c r="L211" s="31" t="s">
        <v>905</v>
      </c>
      <c r="M211" s="25" t="s">
        <v>27</v>
      </c>
      <c r="N211" s="32" t="s">
        <v>906</v>
      </c>
      <c r="O211" s="32" t="s">
        <v>907</v>
      </c>
      <c r="P211" s="51">
        <v>27.5</v>
      </c>
      <c r="Q211" s="57">
        <v>9785978111644</v>
      </c>
      <c r="R211" s="66">
        <v>0.04</v>
      </c>
    </row>
    <row r="212" spans="1:18" ht="32.25" customHeight="1">
      <c r="A212" s="25" t="s">
        <v>928</v>
      </c>
      <c r="B212" s="25" t="s">
        <v>929</v>
      </c>
      <c r="C212" s="49" t="str">
        <f>HYPERLINK("http://www.atberg.aha.ru/samovar/raskmashenka.gif")</f>
        <v>http://www.atberg.aha.ru/samovar/raskmashenka.gif</v>
      </c>
      <c r="D212" s="27" t="s">
        <v>73</v>
      </c>
      <c r="E212" s="25" t="s">
        <v>930</v>
      </c>
      <c r="F212" s="28" t="s">
        <v>931</v>
      </c>
      <c r="G212" s="25"/>
      <c r="H212" s="29"/>
      <c r="I212" s="30" t="s">
        <v>24</v>
      </c>
      <c r="J212" s="30">
        <v>2</v>
      </c>
      <c r="K212" s="25" t="s">
        <v>66</v>
      </c>
      <c r="L212" s="31" t="s">
        <v>905</v>
      </c>
      <c r="M212" s="25" t="s">
        <v>27</v>
      </c>
      <c r="N212" s="32" t="s">
        <v>906</v>
      </c>
      <c r="O212" s="32" t="s">
        <v>907</v>
      </c>
      <c r="P212" s="51">
        <v>27.5</v>
      </c>
      <c r="Q212" s="57">
        <v>9785978111675</v>
      </c>
      <c r="R212" s="66">
        <v>0.04</v>
      </c>
    </row>
    <row r="213" spans="1:18" ht="32.25" customHeight="1">
      <c r="A213" s="25" t="s">
        <v>932</v>
      </c>
      <c r="B213" s="25" t="s">
        <v>933</v>
      </c>
      <c r="C213" s="49" t="str">
        <f>HYPERLINK("http://www.atberg.aha.ru/samovar/raskmoidodir.gif")</f>
        <v>http://www.atberg.aha.ru/samovar/raskmoidodir.gif</v>
      </c>
      <c r="D213" s="27" t="s">
        <v>79</v>
      </c>
      <c r="E213" s="25" t="s">
        <v>934</v>
      </c>
      <c r="F213" s="28" t="s">
        <v>935</v>
      </c>
      <c r="G213" s="25"/>
      <c r="H213" s="29"/>
      <c r="I213" s="30" t="s">
        <v>24</v>
      </c>
      <c r="J213" s="30">
        <v>2</v>
      </c>
      <c r="K213" s="25" t="s">
        <v>66</v>
      </c>
      <c r="L213" s="31" t="s">
        <v>905</v>
      </c>
      <c r="M213" s="25" t="s">
        <v>27</v>
      </c>
      <c r="N213" s="32" t="s">
        <v>906</v>
      </c>
      <c r="O213" s="32" t="s">
        <v>907</v>
      </c>
      <c r="P213" s="51">
        <v>27.5</v>
      </c>
      <c r="Q213" s="57">
        <v>9785978111491</v>
      </c>
      <c r="R213" s="66">
        <v>0.04</v>
      </c>
    </row>
    <row r="214" spans="1:18" ht="32.25" customHeight="1">
      <c r="A214" s="25" t="s">
        <v>936</v>
      </c>
      <c r="B214" s="25" t="s">
        <v>937</v>
      </c>
      <c r="C214" s="49" t="str">
        <f>HYPERLINK("http://www.atberg.aha.ru/samovar/raskmuhaztsokotuha.gif")</f>
        <v>http://www.atberg.aha.ru/samovar/raskmuhaztsokotuha.gif</v>
      </c>
      <c r="D214" s="27" t="s">
        <v>79</v>
      </c>
      <c r="E214" s="25" t="s">
        <v>938</v>
      </c>
      <c r="F214" s="28" t="s">
        <v>939</v>
      </c>
      <c r="G214" s="25"/>
      <c r="H214" s="29"/>
      <c r="I214" s="30" t="s">
        <v>24</v>
      </c>
      <c r="J214" s="30">
        <v>2</v>
      </c>
      <c r="K214" s="25" t="s">
        <v>66</v>
      </c>
      <c r="L214" s="31" t="s">
        <v>905</v>
      </c>
      <c r="M214" s="25" t="s">
        <v>27</v>
      </c>
      <c r="N214" s="32" t="s">
        <v>906</v>
      </c>
      <c r="O214" s="32" t="s">
        <v>907</v>
      </c>
      <c r="P214" s="51">
        <v>27.5</v>
      </c>
      <c r="Q214" s="57">
        <v>9785978109528</v>
      </c>
      <c r="R214" s="66">
        <v>0.04</v>
      </c>
    </row>
    <row r="215" spans="1:18" ht="32.25" customHeight="1">
      <c r="A215" s="25" t="s">
        <v>940</v>
      </c>
      <c r="B215" s="25" t="s">
        <v>941</v>
      </c>
      <c r="C215" s="49" t="str">
        <f>HYPERLINK("http://www.atberg.aha.ru/samovar/rkasemgnomov2.gif")</f>
        <v>http://www.atberg.aha.ru/samovar/rkasemgnomov2.gif</v>
      </c>
      <c r="D215" s="27"/>
      <c r="E215" s="25" t="s">
        <v>942</v>
      </c>
      <c r="F215" s="28" t="s">
        <v>943</v>
      </c>
      <c r="G215" s="25"/>
      <c r="H215" s="29"/>
      <c r="I215" s="30" t="s">
        <v>24</v>
      </c>
      <c r="J215" s="30">
        <v>2</v>
      </c>
      <c r="K215" s="25" t="s">
        <v>66</v>
      </c>
      <c r="L215" s="31" t="s">
        <v>905</v>
      </c>
      <c r="M215" s="25" t="s">
        <v>27</v>
      </c>
      <c r="N215" s="32" t="s">
        <v>906</v>
      </c>
      <c r="O215" s="32" t="s">
        <v>907</v>
      </c>
      <c r="P215" s="51">
        <v>27.5</v>
      </c>
      <c r="Q215" s="57">
        <v>9785978111668</v>
      </c>
      <c r="R215" s="66">
        <v>0.04</v>
      </c>
    </row>
    <row r="216" spans="1:18" ht="32.25" customHeight="1" thickBot="1">
      <c r="A216" s="25" t="s">
        <v>944</v>
      </c>
      <c r="B216" s="25" t="s">
        <v>945</v>
      </c>
      <c r="C216" s="49" t="str">
        <f>HYPERLINK("http://www.atberg.aha.ru/samovar/rasktelefon.gif")</f>
        <v>http://www.atberg.aha.ru/samovar/rasktelefon.gif</v>
      </c>
      <c r="D216" s="27" t="s">
        <v>79</v>
      </c>
      <c r="E216" s="25" t="s">
        <v>946</v>
      </c>
      <c r="F216" s="28" t="s">
        <v>947</v>
      </c>
      <c r="G216" s="25"/>
      <c r="H216" s="29"/>
      <c r="I216" s="30" t="s">
        <v>24</v>
      </c>
      <c r="J216" s="30">
        <v>2</v>
      </c>
      <c r="K216" s="25" t="s">
        <v>66</v>
      </c>
      <c r="L216" s="31" t="s">
        <v>905</v>
      </c>
      <c r="M216" s="25" t="s">
        <v>27</v>
      </c>
      <c r="N216" s="32" t="s">
        <v>906</v>
      </c>
      <c r="O216" s="32" t="s">
        <v>907</v>
      </c>
      <c r="P216" s="51">
        <v>27.5</v>
      </c>
      <c r="Q216" s="57">
        <v>9785978109085</v>
      </c>
      <c r="R216" s="66">
        <v>0.04</v>
      </c>
    </row>
    <row r="217" spans="1:18" ht="12.75" customHeight="1">
      <c r="A217" s="18"/>
      <c r="B217" s="18"/>
      <c r="C217" s="18"/>
      <c r="D217" s="19"/>
      <c r="E217" s="20"/>
      <c r="F217" s="21" t="s">
        <v>948</v>
      </c>
      <c r="G217" s="22"/>
      <c r="H217" s="23"/>
      <c r="I217" s="20"/>
      <c r="J217" s="20"/>
      <c r="K217" s="20"/>
      <c r="L217" s="20"/>
      <c r="M217" s="20"/>
      <c r="N217" s="20"/>
      <c r="O217" s="20"/>
      <c r="P217" s="24"/>
      <c r="Q217" s="56"/>
      <c r="R217" s="66"/>
    </row>
    <row r="218" spans="1:18" ht="21.75" customHeight="1">
      <c r="A218" s="25" t="s">
        <v>949</v>
      </c>
      <c r="B218" s="25" t="s">
        <v>950</v>
      </c>
      <c r="C218" s="49" t="str">
        <f>HYPERLINK("http://atberg.aha.ru/samovar/ksn01.jpg")</f>
        <v>http://atberg.aha.ru/samovar/ksn01.jpg</v>
      </c>
      <c r="D218" s="27" t="s">
        <v>73</v>
      </c>
      <c r="E218" s="25" t="s">
        <v>951</v>
      </c>
      <c r="F218" s="28" t="s">
        <v>952</v>
      </c>
      <c r="G218" s="25"/>
      <c r="H218" s="29"/>
      <c r="I218" s="30" t="s">
        <v>813</v>
      </c>
      <c r="J218" s="30">
        <v>1.496</v>
      </c>
      <c r="K218" s="25" t="s">
        <v>66</v>
      </c>
      <c r="L218" s="31" t="s">
        <v>953</v>
      </c>
      <c r="M218" s="25" t="s">
        <v>27</v>
      </c>
      <c r="N218" s="32" t="s">
        <v>16</v>
      </c>
      <c r="O218" s="32" t="s">
        <v>954</v>
      </c>
      <c r="P218" s="51">
        <v>49.5</v>
      </c>
      <c r="Q218" s="57">
        <v>9785978111439</v>
      </c>
      <c r="R218" s="66">
        <v>0.04986666666666666</v>
      </c>
    </row>
    <row r="219" spans="1:18" ht="21.75" customHeight="1">
      <c r="A219" s="25" t="s">
        <v>955</v>
      </c>
      <c r="B219" s="25" t="s">
        <v>956</v>
      </c>
      <c r="C219" s="49" t="str">
        <f>HYPERLINK("http://atberg.aha.ru/samovar/ksn02.jpg")</f>
        <v>http://atberg.aha.ru/samovar/ksn02.jpg</v>
      </c>
      <c r="D219" s="27" t="s">
        <v>79</v>
      </c>
      <c r="E219" s="25" t="s">
        <v>957</v>
      </c>
      <c r="F219" s="28" t="s">
        <v>958</v>
      </c>
      <c r="G219" s="25"/>
      <c r="H219" s="29"/>
      <c r="I219" s="30" t="s">
        <v>813</v>
      </c>
      <c r="J219" s="30">
        <v>1.496</v>
      </c>
      <c r="K219" s="25" t="s">
        <v>66</v>
      </c>
      <c r="L219" s="31" t="s">
        <v>953</v>
      </c>
      <c r="M219" s="25" t="s">
        <v>27</v>
      </c>
      <c r="N219" s="32" t="s">
        <v>16</v>
      </c>
      <c r="O219" s="32" t="s">
        <v>954</v>
      </c>
      <c r="P219" s="51">
        <v>49.5</v>
      </c>
      <c r="Q219" s="57">
        <v>9785978111415</v>
      </c>
      <c r="R219" s="66">
        <v>0.04986666666666666</v>
      </c>
    </row>
    <row r="220" spans="1:18" ht="24.75" customHeight="1">
      <c r="A220" s="25" t="s">
        <v>959</v>
      </c>
      <c r="B220" s="25" t="s">
        <v>960</v>
      </c>
      <c r="C220" s="49" t="str">
        <f>HYPERLINK("http://atberg.aha.ru/samovar/ksn03.jpg")</f>
        <v>http://atberg.aha.ru/samovar/ksn03.jpg</v>
      </c>
      <c r="D220" s="27" t="s">
        <v>115</v>
      </c>
      <c r="E220" s="25" t="s">
        <v>961</v>
      </c>
      <c r="F220" s="28" t="s">
        <v>962</v>
      </c>
      <c r="G220" s="25"/>
      <c r="H220" s="29"/>
      <c r="I220" s="30" t="s">
        <v>813</v>
      </c>
      <c r="J220" s="30">
        <v>1.496</v>
      </c>
      <c r="K220" s="25" t="s">
        <v>66</v>
      </c>
      <c r="L220" s="31" t="s">
        <v>953</v>
      </c>
      <c r="M220" s="25" t="s">
        <v>27</v>
      </c>
      <c r="N220" s="32" t="s">
        <v>16</v>
      </c>
      <c r="O220" s="32" t="s">
        <v>954</v>
      </c>
      <c r="P220" s="51">
        <v>49.5</v>
      </c>
      <c r="Q220" s="57">
        <v>9785978111422</v>
      </c>
      <c r="R220" s="66">
        <v>0.04986666666666666</v>
      </c>
    </row>
    <row r="221" spans="1:18" ht="21.75" customHeight="1" thickBot="1">
      <c r="A221" s="25" t="s">
        <v>963</v>
      </c>
      <c r="B221" s="25" t="s">
        <v>964</v>
      </c>
      <c r="C221" s="49" t="str">
        <f>HYPERLINK("http://atberg.aha.ru/samovar/ksn04.jpg")</f>
        <v>http://atberg.aha.ru/samovar/ksn04.jpg</v>
      </c>
      <c r="D221" s="27" t="s">
        <v>79</v>
      </c>
      <c r="E221" s="25" t="s">
        <v>965</v>
      </c>
      <c r="F221" s="28" t="s">
        <v>966</v>
      </c>
      <c r="G221" s="25"/>
      <c r="H221" s="29"/>
      <c r="I221" s="30" t="s">
        <v>813</v>
      </c>
      <c r="J221" s="30">
        <v>1.496</v>
      </c>
      <c r="K221" s="25" t="s">
        <v>66</v>
      </c>
      <c r="L221" s="31" t="s">
        <v>953</v>
      </c>
      <c r="M221" s="25" t="s">
        <v>27</v>
      </c>
      <c r="N221" s="32" t="s">
        <v>16</v>
      </c>
      <c r="O221" s="32" t="s">
        <v>954</v>
      </c>
      <c r="P221" s="51">
        <v>49.5</v>
      </c>
      <c r="Q221" s="57">
        <v>9785978111408</v>
      </c>
      <c r="R221" s="66">
        <v>0.04986666666666666</v>
      </c>
    </row>
    <row r="222" spans="1:18" ht="12.75" customHeight="1" thickBot="1">
      <c r="A222" s="18"/>
      <c r="B222" s="18"/>
      <c r="C222" s="18"/>
      <c r="D222" s="19"/>
      <c r="E222" s="20"/>
      <c r="F222" s="21" t="s">
        <v>967</v>
      </c>
      <c r="G222" s="22"/>
      <c r="H222" s="23"/>
      <c r="I222" s="20"/>
      <c r="J222" s="20"/>
      <c r="K222" s="20"/>
      <c r="L222" s="20"/>
      <c r="M222" s="20"/>
      <c r="N222" s="20"/>
      <c r="O222" s="20"/>
      <c r="P222" s="24"/>
      <c r="Q222" s="56"/>
      <c r="R222" s="66"/>
    </row>
    <row r="223" spans="1:18" ht="12.75" customHeight="1">
      <c r="A223" s="18"/>
      <c r="B223" s="18"/>
      <c r="C223" s="18"/>
      <c r="D223" s="19"/>
      <c r="E223" s="20"/>
      <c r="F223" s="21" t="s">
        <v>968</v>
      </c>
      <c r="G223" s="22"/>
      <c r="H223" s="23"/>
      <c r="I223" s="20"/>
      <c r="J223" s="20"/>
      <c r="K223" s="20"/>
      <c r="L223" s="20"/>
      <c r="M223" s="20"/>
      <c r="N223" s="20"/>
      <c r="O223" s="20"/>
      <c r="P223" s="24"/>
      <c r="Q223" s="56"/>
      <c r="R223" s="66"/>
    </row>
    <row r="224" spans="1:18" ht="24.75" customHeight="1">
      <c r="A224" s="33" t="s">
        <v>969</v>
      </c>
      <c r="B224" s="33" t="s">
        <v>970</v>
      </c>
      <c r="C224" s="49" t="str">
        <f>HYPERLINK("http://atberg.aha.ru/mir/lsk08.jpg")</f>
        <v>http://atberg.aha.ru/mir/lsk08.jpg</v>
      </c>
      <c r="D224" s="34" t="s">
        <v>971</v>
      </c>
      <c r="E224" s="33" t="s">
        <v>972</v>
      </c>
      <c r="F224" s="35" t="s">
        <v>973</v>
      </c>
      <c r="G224" s="33" t="s">
        <v>90</v>
      </c>
      <c r="H224" s="36"/>
      <c r="I224" s="37" t="s">
        <v>65</v>
      </c>
      <c r="J224" s="37">
        <v>4.52</v>
      </c>
      <c r="K224" s="33" t="s">
        <v>974</v>
      </c>
      <c r="L224" s="38" t="s">
        <v>975</v>
      </c>
      <c r="M224" s="33" t="s">
        <v>228</v>
      </c>
      <c r="N224" s="39" t="s">
        <v>976</v>
      </c>
      <c r="O224" s="39" t="s">
        <v>977</v>
      </c>
      <c r="P224" s="51">
        <v>550</v>
      </c>
      <c r="Q224" s="58">
        <v>9785604990629</v>
      </c>
      <c r="R224" s="66">
        <v>0.45199999999999996</v>
      </c>
    </row>
    <row r="225" spans="1:18" ht="21.75" customHeight="1" thickBot="1">
      <c r="A225" s="25" t="s">
        <v>978</v>
      </c>
      <c r="B225" s="25" t="s">
        <v>979</v>
      </c>
      <c r="C225" s="49" t="str">
        <f>HYPERLINK("http://atberg.aha.ru/mir/lsk07.jpg")</f>
        <v>http://atberg.aha.ru/mir/lsk07.jpg</v>
      </c>
      <c r="D225" s="27" t="s">
        <v>980</v>
      </c>
      <c r="E225" s="25" t="s">
        <v>981</v>
      </c>
      <c r="F225" s="28" t="s">
        <v>982</v>
      </c>
      <c r="G225" s="25"/>
      <c r="H225" s="29"/>
      <c r="I225" s="30" t="s">
        <v>65</v>
      </c>
      <c r="J225" s="30">
        <v>4.667</v>
      </c>
      <c r="K225" s="25" t="s">
        <v>974</v>
      </c>
      <c r="L225" s="31" t="s">
        <v>975</v>
      </c>
      <c r="M225" s="25" t="s">
        <v>228</v>
      </c>
      <c r="N225" s="32" t="s">
        <v>976</v>
      </c>
      <c r="O225" s="32" t="s">
        <v>983</v>
      </c>
      <c r="P225" s="51">
        <v>550</v>
      </c>
      <c r="Q225" s="57">
        <v>9785604839706</v>
      </c>
      <c r="R225" s="66">
        <v>0.4667</v>
      </c>
    </row>
    <row r="226" spans="1:18" ht="12.75" customHeight="1">
      <c r="A226" s="18"/>
      <c r="B226" s="18"/>
      <c r="C226" s="18"/>
      <c r="D226" s="19"/>
      <c r="E226" s="20"/>
      <c r="F226" s="21" t="s">
        <v>984</v>
      </c>
      <c r="G226" s="22"/>
      <c r="H226" s="23"/>
      <c r="I226" s="20"/>
      <c r="J226" s="20"/>
      <c r="K226" s="20"/>
      <c r="L226" s="20"/>
      <c r="M226" s="20"/>
      <c r="N226" s="20"/>
      <c r="O226" s="20"/>
      <c r="P226" s="24"/>
      <c r="Q226" s="56"/>
      <c r="R226" s="66"/>
    </row>
    <row r="227" spans="1:18" ht="12.75" customHeight="1">
      <c r="A227" s="40"/>
      <c r="B227" s="40"/>
      <c r="C227" s="40"/>
      <c r="D227" s="41"/>
      <c r="E227" s="42"/>
      <c r="F227" s="43" t="s">
        <v>985</v>
      </c>
      <c r="G227" s="44"/>
      <c r="H227" s="45"/>
      <c r="I227" s="42"/>
      <c r="J227" s="42"/>
      <c r="K227" s="42"/>
      <c r="L227" s="42"/>
      <c r="M227" s="42"/>
      <c r="N227" s="42"/>
      <c r="O227" s="42"/>
      <c r="P227" s="46"/>
      <c r="Q227" s="59"/>
      <c r="R227" s="66"/>
    </row>
    <row r="228" spans="1:18" ht="32.25" customHeight="1">
      <c r="A228" s="25" t="s">
        <v>986</v>
      </c>
      <c r="B228" s="25" t="s">
        <v>987</v>
      </c>
      <c r="C228" s="49" t="str">
        <f>HYPERLINK("http://atberg.aha.ru/mir/pvs-01.jpg")</f>
        <v>http://atberg.aha.ru/mir/pvs-01.jpg</v>
      </c>
      <c r="D228" s="27" t="s">
        <v>988</v>
      </c>
      <c r="E228" s="25" t="s">
        <v>989</v>
      </c>
      <c r="F228" s="28" t="s">
        <v>650</v>
      </c>
      <c r="G228" s="25"/>
      <c r="H228" s="29"/>
      <c r="I228" s="30" t="s">
        <v>65</v>
      </c>
      <c r="J228" s="30">
        <v>2.602</v>
      </c>
      <c r="K228" s="25" t="s">
        <v>974</v>
      </c>
      <c r="L228" s="31" t="s">
        <v>990</v>
      </c>
      <c r="M228" s="25" t="s">
        <v>991</v>
      </c>
      <c r="N228" s="32" t="s">
        <v>992</v>
      </c>
      <c r="O228" s="32" t="s">
        <v>993</v>
      </c>
      <c r="P228" s="51">
        <v>295.1666666666667</v>
      </c>
      <c r="Q228" s="57">
        <v>9785907388086</v>
      </c>
      <c r="R228" s="66">
        <v>0.2602</v>
      </c>
    </row>
    <row r="229" spans="1:18" ht="32.25" customHeight="1">
      <c r="A229" s="25" t="s">
        <v>994</v>
      </c>
      <c r="B229" s="25" t="s">
        <v>995</v>
      </c>
      <c r="C229" s="49" t="str">
        <f>HYPERLINK("http://atberg.aha.ru/mir/pvs-07.jpg")</f>
        <v>http://atberg.aha.ru/mir/pvs-07.jpg</v>
      </c>
      <c r="D229" s="27"/>
      <c r="E229" s="25" t="s">
        <v>996</v>
      </c>
      <c r="F229" s="28" t="s">
        <v>997</v>
      </c>
      <c r="G229" s="25"/>
      <c r="H229" s="29"/>
      <c r="I229" s="30" t="s">
        <v>65</v>
      </c>
      <c r="J229" s="30">
        <v>2.602</v>
      </c>
      <c r="K229" s="25" t="s">
        <v>974</v>
      </c>
      <c r="L229" s="31" t="s">
        <v>990</v>
      </c>
      <c r="M229" s="25" t="s">
        <v>991</v>
      </c>
      <c r="N229" s="32" t="s">
        <v>992</v>
      </c>
      <c r="O229" s="32" t="s">
        <v>998</v>
      </c>
      <c r="P229" s="51">
        <v>295.1666666666667</v>
      </c>
      <c r="Q229" s="57">
        <v>9785604521151</v>
      </c>
      <c r="R229" s="66">
        <v>0.2602</v>
      </c>
    </row>
    <row r="230" spans="1:18" ht="32.25" customHeight="1">
      <c r="A230" s="25" t="s">
        <v>999</v>
      </c>
      <c r="B230" s="25" t="s">
        <v>1000</v>
      </c>
      <c r="C230" s="49" t="str">
        <f>HYPERLINK("http://atberg.aha.ru/mir/pvs-02.jpg")</f>
        <v>http://atberg.aha.ru/mir/pvs-02.jpg</v>
      </c>
      <c r="D230" s="27" t="s">
        <v>988</v>
      </c>
      <c r="E230" s="25" t="s">
        <v>1001</v>
      </c>
      <c r="F230" s="28" t="s">
        <v>1002</v>
      </c>
      <c r="G230" s="25"/>
      <c r="H230" s="29"/>
      <c r="I230" s="30" t="s">
        <v>65</v>
      </c>
      <c r="J230" s="30">
        <v>2.602</v>
      </c>
      <c r="K230" s="25" t="s">
        <v>974</v>
      </c>
      <c r="L230" s="31" t="s">
        <v>990</v>
      </c>
      <c r="M230" s="25" t="s">
        <v>991</v>
      </c>
      <c r="N230" s="32" t="s">
        <v>992</v>
      </c>
      <c r="O230" s="32" t="s">
        <v>993</v>
      </c>
      <c r="P230" s="51">
        <v>295.1666666666667</v>
      </c>
      <c r="Q230" s="57">
        <v>9785907388055</v>
      </c>
      <c r="R230" s="66">
        <v>0.2602</v>
      </c>
    </row>
    <row r="231" spans="1:18" ht="32.25" customHeight="1">
      <c r="A231" s="25" t="s">
        <v>1003</v>
      </c>
      <c r="B231" s="25" t="s">
        <v>1004</v>
      </c>
      <c r="C231" s="49" t="str">
        <f>HYPERLINK("http://atberg.aha.ru/mir/pvs-03.jpg")</f>
        <v>http://atberg.aha.ru/mir/pvs-03.jpg</v>
      </c>
      <c r="D231" s="27" t="s">
        <v>988</v>
      </c>
      <c r="E231" s="25" t="s">
        <v>1005</v>
      </c>
      <c r="F231" s="28" t="s">
        <v>824</v>
      </c>
      <c r="G231" s="25"/>
      <c r="H231" s="29"/>
      <c r="I231" s="30" t="s">
        <v>65</v>
      </c>
      <c r="J231" s="30">
        <v>2.602</v>
      </c>
      <c r="K231" s="25" t="s">
        <v>974</v>
      </c>
      <c r="L231" s="31" t="s">
        <v>990</v>
      </c>
      <c r="M231" s="25" t="s">
        <v>991</v>
      </c>
      <c r="N231" s="32" t="s">
        <v>992</v>
      </c>
      <c r="O231" s="32" t="s">
        <v>993</v>
      </c>
      <c r="P231" s="51">
        <v>295.1666666666667</v>
      </c>
      <c r="Q231" s="57">
        <v>9785907388079</v>
      </c>
      <c r="R231" s="66">
        <v>0.2602</v>
      </c>
    </row>
    <row r="232" spans="1:18" ht="32.25" customHeight="1">
      <c r="A232" s="25" t="s">
        <v>1006</v>
      </c>
      <c r="B232" s="25" t="s">
        <v>1007</v>
      </c>
      <c r="C232" s="49" t="str">
        <f>HYPERLINK("http://atberg.aha.ru/mir/pvs-04.jpg")</f>
        <v>http://atberg.aha.ru/mir/pvs-04.jpg</v>
      </c>
      <c r="D232" s="27" t="s">
        <v>988</v>
      </c>
      <c r="E232" s="25" t="s">
        <v>1008</v>
      </c>
      <c r="F232" s="28" t="s">
        <v>685</v>
      </c>
      <c r="G232" s="25"/>
      <c r="H232" s="29"/>
      <c r="I232" s="30" t="s">
        <v>65</v>
      </c>
      <c r="J232" s="30">
        <v>2.602</v>
      </c>
      <c r="K232" s="25" t="s">
        <v>974</v>
      </c>
      <c r="L232" s="31" t="s">
        <v>990</v>
      </c>
      <c r="M232" s="25" t="s">
        <v>991</v>
      </c>
      <c r="N232" s="32" t="s">
        <v>992</v>
      </c>
      <c r="O232" s="32" t="s">
        <v>993</v>
      </c>
      <c r="P232" s="51">
        <v>295.1666666666667</v>
      </c>
      <c r="Q232" s="57">
        <v>9785907388093</v>
      </c>
      <c r="R232" s="66">
        <v>0.2602</v>
      </c>
    </row>
    <row r="233" spans="1:18" ht="32.25" customHeight="1">
      <c r="A233" s="25" t="s">
        <v>1009</v>
      </c>
      <c r="B233" s="25" t="s">
        <v>1010</v>
      </c>
      <c r="C233" s="49" t="str">
        <f>HYPERLINK("http://atberg.aha.ru/mir/pvs-09.jpg")</f>
        <v>http://atberg.aha.ru/mir/pvs-09.jpg</v>
      </c>
      <c r="D233" s="27"/>
      <c r="E233" s="25" t="s">
        <v>1011</v>
      </c>
      <c r="F233" s="28" t="s">
        <v>1012</v>
      </c>
      <c r="G233" s="25"/>
      <c r="H233" s="29"/>
      <c r="I233" s="30" t="s">
        <v>65</v>
      </c>
      <c r="J233" s="30">
        <v>2.602</v>
      </c>
      <c r="K233" s="25" t="s">
        <v>974</v>
      </c>
      <c r="L233" s="31" t="s">
        <v>990</v>
      </c>
      <c r="M233" s="25" t="s">
        <v>991</v>
      </c>
      <c r="N233" s="32" t="s">
        <v>992</v>
      </c>
      <c r="O233" s="32" t="s">
        <v>998</v>
      </c>
      <c r="P233" s="51">
        <v>295.1666666666667</v>
      </c>
      <c r="Q233" s="57">
        <v>9785604521175</v>
      </c>
      <c r="R233" s="66">
        <v>0.2602</v>
      </c>
    </row>
    <row r="234" spans="1:18" ht="32.25" customHeight="1">
      <c r="A234" s="25" t="s">
        <v>1013</v>
      </c>
      <c r="B234" s="25" t="s">
        <v>1014</v>
      </c>
      <c r="C234" s="49" t="str">
        <f>HYPERLINK("http://atberg.aha.ru/mir/pvs-05.jpg")</f>
        <v>http://atberg.aha.ru/mir/pvs-05.jpg</v>
      </c>
      <c r="D234" s="27" t="s">
        <v>988</v>
      </c>
      <c r="E234" s="25" t="s">
        <v>1015</v>
      </c>
      <c r="F234" s="28" t="s">
        <v>1016</v>
      </c>
      <c r="G234" s="25"/>
      <c r="H234" s="29"/>
      <c r="I234" s="30" t="s">
        <v>65</v>
      </c>
      <c r="J234" s="30">
        <v>2.602</v>
      </c>
      <c r="K234" s="25" t="s">
        <v>974</v>
      </c>
      <c r="L234" s="31" t="s">
        <v>990</v>
      </c>
      <c r="M234" s="25" t="s">
        <v>991</v>
      </c>
      <c r="N234" s="32" t="s">
        <v>992</v>
      </c>
      <c r="O234" s="32" t="s">
        <v>993</v>
      </c>
      <c r="P234" s="51">
        <v>295.1666666666667</v>
      </c>
      <c r="Q234" s="57">
        <v>9785907388062</v>
      </c>
      <c r="R234" s="66">
        <v>0.2602</v>
      </c>
    </row>
    <row r="235" spans="1:18" ht="32.25" customHeight="1">
      <c r="A235" s="25" t="s">
        <v>1017</v>
      </c>
      <c r="B235" s="25" t="s">
        <v>1018</v>
      </c>
      <c r="C235" s="49" t="str">
        <f>HYPERLINK("http://atberg.aha.ru/mir/pvs-10.jpg")</f>
        <v>http://atberg.aha.ru/mir/pvs-10.jpg</v>
      </c>
      <c r="D235" s="27"/>
      <c r="E235" s="25" t="s">
        <v>1019</v>
      </c>
      <c r="F235" s="28" t="s">
        <v>1020</v>
      </c>
      <c r="G235" s="25"/>
      <c r="H235" s="29"/>
      <c r="I235" s="30" t="s">
        <v>65</v>
      </c>
      <c r="J235" s="30">
        <v>2.602</v>
      </c>
      <c r="K235" s="25" t="s">
        <v>974</v>
      </c>
      <c r="L235" s="31" t="s">
        <v>990</v>
      </c>
      <c r="M235" s="25" t="s">
        <v>991</v>
      </c>
      <c r="N235" s="32" t="s">
        <v>992</v>
      </c>
      <c r="O235" s="32" t="s">
        <v>998</v>
      </c>
      <c r="P235" s="51">
        <v>295.1666666666667</v>
      </c>
      <c r="Q235" s="57">
        <v>9785604521182</v>
      </c>
      <c r="R235" s="66">
        <v>0.2602</v>
      </c>
    </row>
    <row r="236" spans="1:18" ht="12.75" customHeight="1">
      <c r="A236" s="40"/>
      <c r="B236" s="40"/>
      <c r="C236" s="40"/>
      <c r="D236" s="41"/>
      <c r="E236" s="42"/>
      <c r="F236" s="43" t="s">
        <v>1021</v>
      </c>
      <c r="G236" s="44"/>
      <c r="H236" s="45"/>
      <c r="I236" s="42"/>
      <c r="J236" s="42"/>
      <c r="K236" s="42"/>
      <c r="L236" s="42"/>
      <c r="M236" s="42"/>
      <c r="N236" s="42"/>
      <c r="O236" s="42"/>
      <c r="P236" s="46"/>
      <c r="Q236" s="59"/>
      <c r="R236" s="66"/>
    </row>
    <row r="237" spans="1:18" ht="32.25" customHeight="1">
      <c r="A237" s="25" t="s">
        <v>1022</v>
      </c>
      <c r="B237" s="25" t="s">
        <v>1023</v>
      </c>
      <c r="C237" s="49" t="str">
        <f>HYPERLINK("http://atberg.aha.ru/mir/svo-17.jpg")</f>
        <v>http://atberg.aha.ru/mir/svo-17.jpg</v>
      </c>
      <c r="D237" s="27"/>
      <c r="E237" s="25" t="s">
        <v>1024</v>
      </c>
      <c r="F237" s="28" t="s">
        <v>1025</v>
      </c>
      <c r="G237" s="25"/>
      <c r="H237" s="29"/>
      <c r="I237" s="30" t="s">
        <v>65</v>
      </c>
      <c r="J237" s="30">
        <v>1.55</v>
      </c>
      <c r="K237" s="25" t="s">
        <v>974</v>
      </c>
      <c r="L237" s="31" t="s">
        <v>1026</v>
      </c>
      <c r="M237" s="25" t="s">
        <v>1027</v>
      </c>
      <c r="N237" s="32" t="s">
        <v>992</v>
      </c>
      <c r="O237" s="32" t="s">
        <v>1028</v>
      </c>
      <c r="P237" s="51">
        <v>163.16666666666669</v>
      </c>
      <c r="Q237" s="57">
        <v>9785980889074</v>
      </c>
      <c r="R237" s="66">
        <v>0.155</v>
      </c>
    </row>
    <row r="238" spans="1:18" ht="21.75" customHeight="1">
      <c r="A238" s="25" t="s">
        <v>1029</v>
      </c>
      <c r="B238" s="25" t="s">
        <v>1030</v>
      </c>
      <c r="C238" s="49" t="str">
        <f>HYPERLINK("http://atberg.aha.ru/mir/svo-01.jpg")</f>
        <v>http://atberg.aha.ru/mir/svo-01.jpg</v>
      </c>
      <c r="D238" s="27"/>
      <c r="E238" s="25" t="s">
        <v>1031</v>
      </c>
      <c r="F238" s="28" t="s">
        <v>1032</v>
      </c>
      <c r="G238" s="25"/>
      <c r="H238" s="29"/>
      <c r="I238" s="30" t="s">
        <v>65</v>
      </c>
      <c r="J238" s="30">
        <v>1.55</v>
      </c>
      <c r="K238" s="25" t="s">
        <v>974</v>
      </c>
      <c r="L238" s="31" t="s">
        <v>1026</v>
      </c>
      <c r="M238" s="25" t="s">
        <v>1027</v>
      </c>
      <c r="N238" s="32" t="s">
        <v>1033</v>
      </c>
      <c r="O238" s="32" t="s">
        <v>1028</v>
      </c>
      <c r="P238" s="51">
        <v>163.16666666666669</v>
      </c>
      <c r="Q238" s="57">
        <v>9785604990681</v>
      </c>
      <c r="R238" s="66">
        <v>0.155</v>
      </c>
    </row>
    <row r="239" spans="1:18" ht="21.75" customHeight="1">
      <c r="A239" s="25" t="s">
        <v>1034</v>
      </c>
      <c r="B239" s="25" t="s">
        <v>1035</v>
      </c>
      <c r="C239" s="49" t="str">
        <f>HYPERLINK("http://atberg.aha.ru/mir/svo-09.jpg")</f>
        <v>http://atberg.aha.ru/mir/svo-09.jpg</v>
      </c>
      <c r="D239" s="27"/>
      <c r="E239" s="25" t="s">
        <v>1036</v>
      </c>
      <c r="F239" s="28" t="s">
        <v>1037</v>
      </c>
      <c r="G239" s="25"/>
      <c r="H239" s="29"/>
      <c r="I239" s="30" t="s">
        <v>65</v>
      </c>
      <c r="J239" s="30">
        <v>1.55</v>
      </c>
      <c r="K239" s="25" t="s">
        <v>974</v>
      </c>
      <c r="L239" s="31" t="s">
        <v>1026</v>
      </c>
      <c r="M239" s="25" t="s">
        <v>1027</v>
      </c>
      <c r="N239" s="32" t="s">
        <v>1033</v>
      </c>
      <c r="O239" s="32" t="s">
        <v>1028</v>
      </c>
      <c r="P239" s="51">
        <v>163.16666666666669</v>
      </c>
      <c r="Q239" s="57">
        <v>9785980888251</v>
      </c>
      <c r="R239" s="66">
        <v>0.155</v>
      </c>
    </row>
    <row r="240" spans="1:18" ht="21.75" customHeight="1">
      <c r="A240" s="25" t="s">
        <v>1038</v>
      </c>
      <c r="B240" s="25" t="s">
        <v>1039</v>
      </c>
      <c r="C240" s="49" t="str">
        <f>HYPERLINK("http://atberg.aha.ru/mir/svo-02.jpg")</f>
        <v>http://atberg.aha.ru/mir/svo-02.jpg</v>
      </c>
      <c r="D240" s="27"/>
      <c r="E240" s="25" t="s">
        <v>1040</v>
      </c>
      <c r="F240" s="28" t="s">
        <v>1041</v>
      </c>
      <c r="G240" s="25"/>
      <c r="H240" s="29"/>
      <c r="I240" s="30" t="s">
        <v>65</v>
      </c>
      <c r="J240" s="30">
        <v>1.55</v>
      </c>
      <c r="K240" s="25" t="s">
        <v>974</v>
      </c>
      <c r="L240" s="31" t="s">
        <v>1026</v>
      </c>
      <c r="M240" s="25" t="s">
        <v>1027</v>
      </c>
      <c r="N240" s="32" t="s">
        <v>1033</v>
      </c>
      <c r="O240" s="32" t="s">
        <v>1028</v>
      </c>
      <c r="P240" s="51">
        <v>163.16666666666669</v>
      </c>
      <c r="Q240" s="57">
        <v>9785604839720</v>
      </c>
      <c r="R240" s="66">
        <v>0.155</v>
      </c>
    </row>
    <row r="241" spans="1:18" ht="32.25" customHeight="1">
      <c r="A241" s="25" t="s">
        <v>1042</v>
      </c>
      <c r="B241" s="25" t="s">
        <v>1043</v>
      </c>
      <c r="C241" s="49" t="str">
        <f>HYPERLINK("http://atberg.aha.ru/mir/svo-12.jpg")</f>
        <v>http://atberg.aha.ru/mir/svo-12.jpg</v>
      </c>
      <c r="D241" s="27"/>
      <c r="E241" s="25" t="s">
        <v>1044</v>
      </c>
      <c r="F241" s="28" t="s">
        <v>1045</v>
      </c>
      <c r="G241" s="25"/>
      <c r="H241" s="29"/>
      <c r="I241" s="30" t="s">
        <v>65</v>
      </c>
      <c r="J241" s="30">
        <v>1.55</v>
      </c>
      <c r="K241" s="25" t="s">
        <v>974</v>
      </c>
      <c r="L241" s="31" t="s">
        <v>1026</v>
      </c>
      <c r="M241" s="25" t="s">
        <v>1027</v>
      </c>
      <c r="N241" s="32" t="s">
        <v>992</v>
      </c>
      <c r="O241" s="32" t="s">
        <v>1028</v>
      </c>
      <c r="P241" s="51">
        <v>163.16666666666669</v>
      </c>
      <c r="Q241" s="57">
        <v>9785604623695</v>
      </c>
      <c r="R241" s="66">
        <v>0.155</v>
      </c>
    </row>
    <row r="242" spans="1:18" ht="21.75" customHeight="1">
      <c r="A242" s="25" t="s">
        <v>1046</v>
      </c>
      <c r="B242" s="25" t="s">
        <v>1047</v>
      </c>
      <c r="C242" s="49" t="str">
        <f>HYPERLINK("http://atberg.aha.ru/mir/svo-10.jpg")</f>
        <v>http://atberg.aha.ru/mir/svo-10.jpg</v>
      </c>
      <c r="D242" s="27"/>
      <c r="E242" s="25" t="s">
        <v>1048</v>
      </c>
      <c r="F242" s="28" t="s">
        <v>53</v>
      </c>
      <c r="G242" s="25"/>
      <c r="H242" s="29"/>
      <c r="I242" s="30" t="s">
        <v>65</v>
      </c>
      <c r="J242" s="30">
        <v>1.55</v>
      </c>
      <c r="K242" s="25" t="s">
        <v>974</v>
      </c>
      <c r="L242" s="31" t="s">
        <v>1026</v>
      </c>
      <c r="M242" s="25" t="s">
        <v>1027</v>
      </c>
      <c r="N242" s="32" t="s">
        <v>1033</v>
      </c>
      <c r="O242" s="32" t="s">
        <v>1028</v>
      </c>
      <c r="P242" s="51">
        <v>163.16666666666669</v>
      </c>
      <c r="Q242" s="57">
        <v>9785980888268</v>
      </c>
      <c r="R242" s="66">
        <v>0.155</v>
      </c>
    </row>
    <row r="243" spans="1:18" ht="21.75" customHeight="1">
      <c r="A243" s="25" t="s">
        <v>1049</v>
      </c>
      <c r="B243" s="25" t="s">
        <v>1050</v>
      </c>
      <c r="C243" s="49" t="str">
        <f>HYPERLINK("http://atberg.aha.ru/mir/svo-03.jpg")</f>
        <v>http://atberg.aha.ru/mir/svo-03.jpg</v>
      </c>
      <c r="D243" s="27"/>
      <c r="E243" s="25" t="s">
        <v>1051</v>
      </c>
      <c r="F243" s="28" t="s">
        <v>1052</v>
      </c>
      <c r="G243" s="25"/>
      <c r="H243" s="29"/>
      <c r="I243" s="30" t="s">
        <v>65</v>
      </c>
      <c r="J243" s="30">
        <v>1.55</v>
      </c>
      <c r="K243" s="25" t="s">
        <v>974</v>
      </c>
      <c r="L243" s="31" t="s">
        <v>1026</v>
      </c>
      <c r="M243" s="25" t="s">
        <v>1027</v>
      </c>
      <c r="N243" s="32" t="s">
        <v>1033</v>
      </c>
      <c r="O243" s="32" t="s">
        <v>1028</v>
      </c>
      <c r="P243" s="51">
        <v>163.16666666666669</v>
      </c>
      <c r="Q243" s="57">
        <v>9785604990605</v>
      </c>
      <c r="R243" s="66">
        <v>0.155</v>
      </c>
    </row>
    <row r="244" spans="1:18" ht="21.75" customHeight="1">
      <c r="A244" s="25" t="s">
        <v>1053</v>
      </c>
      <c r="B244" s="25" t="s">
        <v>1054</v>
      </c>
      <c r="C244" s="49" t="str">
        <f>HYPERLINK("http://atberg.aha.ru/mir/svo-08.jpg")</f>
        <v>http://atberg.aha.ru/mir/svo-08.jpg</v>
      </c>
      <c r="D244" s="27"/>
      <c r="E244" s="25" t="s">
        <v>1055</v>
      </c>
      <c r="F244" s="28" t="s">
        <v>1056</v>
      </c>
      <c r="G244" s="25"/>
      <c r="H244" s="29"/>
      <c r="I244" s="30" t="s">
        <v>65</v>
      </c>
      <c r="J244" s="30">
        <v>1.55</v>
      </c>
      <c r="K244" s="25" t="s">
        <v>974</v>
      </c>
      <c r="L244" s="31" t="s">
        <v>1026</v>
      </c>
      <c r="M244" s="25" t="s">
        <v>1027</v>
      </c>
      <c r="N244" s="32" t="s">
        <v>1033</v>
      </c>
      <c r="O244" s="32" t="s">
        <v>1028</v>
      </c>
      <c r="P244" s="51">
        <v>163.16666666666669</v>
      </c>
      <c r="Q244" s="57">
        <v>9785980888152</v>
      </c>
      <c r="R244" s="66">
        <v>0.155</v>
      </c>
    </row>
    <row r="245" spans="1:18" ht="21.75" customHeight="1">
      <c r="A245" s="25" t="s">
        <v>1057</v>
      </c>
      <c r="B245" s="25" t="s">
        <v>1058</v>
      </c>
      <c r="C245" s="49" t="str">
        <f>HYPERLINK("http://atberg.aha.ru/mir/svo-04.jpg")</f>
        <v>http://atberg.aha.ru/mir/svo-04.jpg</v>
      </c>
      <c r="D245" s="27"/>
      <c r="E245" s="25" t="s">
        <v>1059</v>
      </c>
      <c r="F245" s="28" t="s">
        <v>1060</v>
      </c>
      <c r="G245" s="25"/>
      <c r="H245" s="29"/>
      <c r="I245" s="30" t="s">
        <v>65</v>
      </c>
      <c r="J245" s="30">
        <v>1.55</v>
      </c>
      <c r="K245" s="25" t="s">
        <v>974</v>
      </c>
      <c r="L245" s="31" t="s">
        <v>1026</v>
      </c>
      <c r="M245" s="25" t="s">
        <v>1027</v>
      </c>
      <c r="N245" s="32" t="s">
        <v>1033</v>
      </c>
      <c r="O245" s="32" t="s">
        <v>1028</v>
      </c>
      <c r="P245" s="51">
        <v>163.16666666666669</v>
      </c>
      <c r="Q245" s="57">
        <v>9785604990698</v>
      </c>
      <c r="R245" s="66">
        <v>0.155</v>
      </c>
    </row>
    <row r="246" spans="1:18" ht="21.75" customHeight="1">
      <c r="A246" s="25" t="s">
        <v>1061</v>
      </c>
      <c r="B246" s="25" t="s">
        <v>1062</v>
      </c>
      <c r="C246" s="49" t="str">
        <f>HYPERLINK("http://atberg.aha.ru/mir/svo-05.jpg")</f>
        <v>http://atberg.aha.ru/mir/svo-05.jpg</v>
      </c>
      <c r="D246" s="27"/>
      <c r="E246" s="25" t="s">
        <v>1063</v>
      </c>
      <c r="F246" s="28" t="s">
        <v>1064</v>
      </c>
      <c r="G246" s="25"/>
      <c r="H246" s="29"/>
      <c r="I246" s="30" t="s">
        <v>65</v>
      </c>
      <c r="J246" s="30">
        <v>1.55</v>
      </c>
      <c r="K246" s="25" t="s">
        <v>974</v>
      </c>
      <c r="L246" s="31" t="s">
        <v>1026</v>
      </c>
      <c r="M246" s="25" t="s">
        <v>1027</v>
      </c>
      <c r="N246" s="32" t="s">
        <v>1033</v>
      </c>
      <c r="O246" s="32" t="s">
        <v>1028</v>
      </c>
      <c r="P246" s="51">
        <v>163.16666666666669</v>
      </c>
      <c r="Q246" s="57">
        <v>9785980888121</v>
      </c>
      <c r="R246" s="66">
        <v>0.155</v>
      </c>
    </row>
    <row r="247" spans="1:18" ht="21.75" customHeight="1">
      <c r="A247" s="25" t="s">
        <v>1065</v>
      </c>
      <c r="B247" s="25" t="s">
        <v>1066</v>
      </c>
      <c r="C247" s="49" t="str">
        <f>HYPERLINK("http://atberg.aha.ru/mir/svo-06.jpg")</f>
        <v>http://atberg.aha.ru/mir/svo-06.jpg</v>
      </c>
      <c r="D247" s="27"/>
      <c r="E247" s="25" t="s">
        <v>1067</v>
      </c>
      <c r="F247" s="28" t="s">
        <v>1068</v>
      </c>
      <c r="G247" s="25"/>
      <c r="H247" s="29"/>
      <c r="I247" s="30" t="s">
        <v>65</v>
      </c>
      <c r="J247" s="30">
        <v>1.55</v>
      </c>
      <c r="K247" s="25" t="s">
        <v>974</v>
      </c>
      <c r="L247" s="31" t="s">
        <v>1026</v>
      </c>
      <c r="M247" s="25" t="s">
        <v>1027</v>
      </c>
      <c r="N247" s="32" t="s">
        <v>1033</v>
      </c>
      <c r="O247" s="32" t="s">
        <v>1028</v>
      </c>
      <c r="P247" s="51">
        <v>163.16666666666669</v>
      </c>
      <c r="Q247" s="57">
        <v>9785604839737</v>
      </c>
      <c r="R247" s="66">
        <v>0.155</v>
      </c>
    </row>
    <row r="248" spans="1:18" ht="21.75" customHeight="1">
      <c r="A248" s="25" t="s">
        <v>1069</v>
      </c>
      <c r="B248" s="25" t="s">
        <v>1070</v>
      </c>
      <c r="C248" s="49" t="str">
        <f>HYPERLINK("http://atberg.aha.ru/mir/svo-11.jpg")</f>
        <v>http://atberg.aha.ru/mir/svo-11.jpg</v>
      </c>
      <c r="D248" s="27"/>
      <c r="E248" s="25" t="s">
        <v>1071</v>
      </c>
      <c r="F248" s="28" t="s">
        <v>1072</v>
      </c>
      <c r="G248" s="25"/>
      <c r="H248" s="29"/>
      <c r="I248" s="30" t="s">
        <v>65</v>
      </c>
      <c r="J248" s="30">
        <v>1.55</v>
      </c>
      <c r="K248" s="25" t="s">
        <v>974</v>
      </c>
      <c r="L248" s="31" t="s">
        <v>1026</v>
      </c>
      <c r="M248" s="25" t="s">
        <v>1027</v>
      </c>
      <c r="N248" s="32" t="s">
        <v>1033</v>
      </c>
      <c r="O248" s="32" t="s">
        <v>1028</v>
      </c>
      <c r="P248" s="51">
        <v>163.16666666666669</v>
      </c>
      <c r="Q248" s="57">
        <v>9785980888275</v>
      </c>
      <c r="R248" s="66">
        <v>0.155</v>
      </c>
    </row>
    <row r="249" spans="1:18" ht="21.75" customHeight="1">
      <c r="A249" s="25" t="s">
        <v>1073</v>
      </c>
      <c r="B249" s="25" t="s">
        <v>1074</v>
      </c>
      <c r="C249" s="49" t="str">
        <f>HYPERLINK("http://atberg.aha.ru/mir/svo-07.jpg")</f>
        <v>http://atberg.aha.ru/mir/svo-07.jpg</v>
      </c>
      <c r="D249" s="27"/>
      <c r="E249" s="25" t="s">
        <v>1075</v>
      </c>
      <c r="F249" s="28" t="s">
        <v>1076</v>
      </c>
      <c r="G249" s="25"/>
      <c r="H249" s="29"/>
      <c r="I249" s="30" t="s">
        <v>65</v>
      </c>
      <c r="J249" s="30">
        <v>1.55</v>
      </c>
      <c r="K249" s="25" t="s">
        <v>974</v>
      </c>
      <c r="L249" s="31" t="s">
        <v>1026</v>
      </c>
      <c r="M249" s="25" t="s">
        <v>1027</v>
      </c>
      <c r="N249" s="32" t="s">
        <v>1033</v>
      </c>
      <c r="O249" s="32" t="s">
        <v>1028</v>
      </c>
      <c r="P249" s="51">
        <v>163.16666666666669</v>
      </c>
      <c r="Q249" s="57">
        <v>9785980888091</v>
      </c>
      <c r="R249" s="66">
        <v>0.155</v>
      </c>
    </row>
    <row r="250" spans="1:18" ht="32.25" customHeight="1">
      <c r="A250" s="25" t="s">
        <v>1077</v>
      </c>
      <c r="B250" s="25" t="s">
        <v>1078</v>
      </c>
      <c r="C250" s="49" t="str">
        <f>HYPERLINK("http://atberg.aha.ru/mir/svo-18.jpg")</f>
        <v>http://atberg.aha.ru/mir/svo-18.jpg</v>
      </c>
      <c r="D250" s="27"/>
      <c r="E250" s="25" t="s">
        <v>1079</v>
      </c>
      <c r="F250" s="28" t="s">
        <v>1020</v>
      </c>
      <c r="G250" s="25"/>
      <c r="H250" s="29"/>
      <c r="I250" s="30" t="s">
        <v>65</v>
      </c>
      <c r="J250" s="30">
        <v>1.55</v>
      </c>
      <c r="K250" s="25" t="s">
        <v>974</v>
      </c>
      <c r="L250" s="31" t="s">
        <v>1026</v>
      </c>
      <c r="M250" s="25" t="s">
        <v>1027</v>
      </c>
      <c r="N250" s="32" t="s">
        <v>992</v>
      </c>
      <c r="O250" s="32" t="s">
        <v>1028</v>
      </c>
      <c r="P250" s="51">
        <v>163.16666666666669</v>
      </c>
      <c r="Q250" s="57">
        <v>9785980889142</v>
      </c>
      <c r="R250" s="66">
        <v>0.155</v>
      </c>
    </row>
    <row r="251" spans="1:18" ht="12.75" customHeight="1">
      <c r="A251" s="40"/>
      <c r="B251" s="40"/>
      <c r="C251" s="40"/>
      <c r="D251" s="41"/>
      <c r="E251" s="42"/>
      <c r="F251" s="43" t="s">
        <v>1080</v>
      </c>
      <c r="G251" s="44"/>
      <c r="H251" s="45"/>
      <c r="I251" s="42"/>
      <c r="J251" s="42"/>
      <c r="K251" s="42"/>
      <c r="L251" s="42"/>
      <c r="M251" s="42"/>
      <c r="N251" s="42"/>
      <c r="O251" s="42"/>
      <c r="P251" s="46"/>
      <c r="Q251" s="59"/>
      <c r="R251" s="66"/>
    </row>
    <row r="252" spans="1:18" ht="21.75" customHeight="1">
      <c r="A252" s="25" t="s">
        <v>1081</v>
      </c>
      <c r="B252" s="25" t="s">
        <v>1082</v>
      </c>
      <c r="C252" s="49" t="str">
        <f>HYPERLINK("http://atberg.aha.ru/mir/ush-01.jpg")</f>
        <v>http://atberg.aha.ru/mir/ush-01.jpg</v>
      </c>
      <c r="D252" s="27"/>
      <c r="E252" s="25" t="s">
        <v>1083</v>
      </c>
      <c r="F252" s="28" t="s">
        <v>1084</v>
      </c>
      <c r="G252" s="25"/>
      <c r="H252" s="29"/>
      <c r="I252" s="30" t="s">
        <v>97</v>
      </c>
      <c r="J252" s="30">
        <v>2.04</v>
      </c>
      <c r="K252" s="25" t="s">
        <v>974</v>
      </c>
      <c r="L252" s="31" t="s">
        <v>1085</v>
      </c>
      <c r="M252" s="25" t="s">
        <v>1027</v>
      </c>
      <c r="N252" s="32" t="s">
        <v>1033</v>
      </c>
      <c r="O252" s="32" t="s">
        <v>1028</v>
      </c>
      <c r="P252" s="51">
        <v>107.80000000000001</v>
      </c>
      <c r="Q252" s="57">
        <v>9785604877869</v>
      </c>
      <c r="R252" s="66">
        <v>0.10200000000000001</v>
      </c>
    </row>
    <row r="253" spans="1:18" ht="21.75" customHeight="1">
      <c r="A253" s="25" t="s">
        <v>1086</v>
      </c>
      <c r="B253" s="25" t="s">
        <v>1087</v>
      </c>
      <c r="C253" s="49" t="str">
        <f>HYPERLINK("http://atberg.aha.ru/mir/ush-02.jpg")</f>
        <v>http://atberg.aha.ru/mir/ush-02.jpg</v>
      </c>
      <c r="D253" s="27"/>
      <c r="E253" s="25" t="s">
        <v>1088</v>
      </c>
      <c r="F253" s="28" t="s">
        <v>1089</v>
      </c>
      <c r="G253" s="25"/>
      <c r="H253" s="29"/>
      <c r="I253" s="30" t="s">
        <v>97</v>
      </c>
      <c r="J253" s="30">
        <v>2.04</v>
      </c>
      <c r="K253" s="25" t="s">
        <v>974</v>
      </c>
      <c r="L253" s="31" t="s">
        <v>1085</v>
      </c>
      <c r="M253" s="25" t="s">
        <v>1027</v>
      </c>
      <c r="N253" s="32" t="s">
        <v>1033</v>
      </c>
      <c r="O253" s="32" t="s">
        <v>1028</v>
      </c>
      <c r="P253" s="51">
        <v>107.80000000000001</v>
      </c>
      <c r="Q253" s="57">
        <v>9785980888190</v>
      </c>
      <c r="R253" s="66">
        <v>0.10200000000000001</v>
      </c>
    </row>
    <row r="254" spans="1:18" ht="21.75" customHeight="1">
      <c r="A254" s="25" t="s">
        <v>1090</v>
      </c>
      <c r="B254" s="25" t="s">
        <v>1091</v>
      </c>
      <c r="C254" s="49" t="str">
        <f>HYPERLINK("http://atberg.aha.ru/mir/ush-08.jpg")</f>
        <v>http://atberg.aha.ru/mir/ush-08.jpg</v>
      </c>
      <c r="D254" s="27"/>
      <c r="E254" s="25" t="s">
        <v>1092</v>
      </c>
      <c r="F254" s="28" t="s">
        <v>1093</v>
      </c>
      <c r="G254" s="25"/>
      <c r="H254" s="29"/>
      <c r="I254" s="30" t="s">
        <v>97</v>
      </c>
      <c r="J254" s="30">
        <v>1.96</v>
      </c>
      <c r="K254" s="25" t="s">
        <v>974</v>
      </c>
      <c r="L254" s="31" t="s">
        <v>1085</v>
      </c>
      <c r="M254" s="25" t="s">
        <v>1027</v>
      </c>
      <c r="N254" s="32" t="s">
        <v>1033</v>
      </c>
      <c r="O254" s="32" t="s">
        <v>1028</v>
      </c>
      <c r="P254" s="51">
        <v>107.80000000000001</v>
      </c>
      <c r="Q254" s="57">
        <v>9785980888886</v>
      </c>
      <c r="R254" s="66">
        <v>0.098</v>
      </c>
    </row>
    <row r="255" spans="1:18" ht="21.75" customHeight="1">
      <c r="A255" s="25" t="s">
        <v>1094</v>
      </c>
      <c r="B255" s="25" t="s">
        <v>1095</v>
      </c>
      <c r="C255" s="49" t="str">
        <f>HYPERLINK("http://atberg.aha.ru/mir/ush-06.jpg")</f>
        <v>http://atberg.aha.ru/mir/ush-06.jpg</v>
      </c>
      <c r="D255" s="27"/>
      <c r="E255" s="25" t="s">
        <v>1096</v>
      </c>
      <c r="F255" s="28" t="s">
        <v>1097</v>
      </c>
      <c r="G255" s="25"/>
      <c r="H255" s="29"/>
      <c r="I255" s="30" t="s">
        <v>97</v>
      </c>
      <c r="J255" s="30">
        <v>1.96</v>
      </c>
      <c r="K255" s="25" t="s">
        <v>974</v>
      </c>
      <c r="L255" s="31" t="s">
        <v>1085</v>
      </c>
      <c r="M255" s="25" t="s">
        <v>1027</v>
      </c>
      <c r="N255" s="32" t="s">
        <v>1033</v>
      </c>
      <c r="O255" s="32" t="s">
        <v>1028</v>
      </c>
      <c r="P255" s="51">
        <v>107.80000000000001</v>
      </c>
      <c r="Q255" s="57">
        <v>9785980888817</v>
      </c>
      <c r="R255" s="66">
        <v>0.098</v>
      </c>
    </row>
    <row r="256" spans="1:18" ht="21.75" customHeight="1">
      <c r="A256" s="25" t="s">
        <v>1098</v>
      </c>
      <c r="B256" s="25" t="s">
        <v>1099</v>
      </c>
      <c r="C256" s="49" t="str">
        <f>HYPERLINK("http://atberg.aha.ru/mir/ush-07.jpg")</f>
        <v>http://atberg.aha.ru/mir/ush-07.jpg</v>
      </c>
      <c r="D256" s="27"/>
      <c r="E256" s="25" t="s">
        <v>1100</v>
      </c>
      <c r="F256" s="28" t="s">
        <v>1101</v>
      </c>
      <c r="G256" s="25"/>
      <c r="H256" s="29"/>
      <c r="I256" s="30" t="s">
        <v>97</v>
      </c>
      <c r="J256" s="30">
        <v>1.96</v>
      </c>
      <c r="K256" s="25" t="s">
        <v>974</v>
      </c>
      <c r="L256" s="31" t="s">
        <v>1085</v>
      </c>
      <c r="M256" s="25" t="s">
        <v>1027</v>
      </c>
      <c r="N256" s="32" t="s">
        <v>1033</v>
      </c>
      <c r="O256" s="32" t="s">
        <v>1028</v>
      </c>
      <c r="P256" s="51">
        <v>107.80000000000001</v>
      </c>
      <c r="Q256" s="57">
        <v>9785980888831</v>
      </c>
      <c r="R256" s="66">
        <v>0.098</v>
      </c>
    </row>
    <row r="257" spans="1:18" ht="21.75" customHeight="1">
      <c r="A257" s="25" t="s">
        <v>1102</v>
      </c>
      <c r="B257" s="25" t="s">
        <v>1103</v>
      </c>
      <c r="C257" s="49" t="str">
        <f>HYPERLINK("http://atberg.aha.ru/mir/ush-05.jpg")</f>
        <v>http://atberg.aha.ru/mir/ush-05.jpg</v>
      </c>
      <c r="D257" s="27"/>
      <c r="E257" s="25" t="s">
        <v>1104</v>
      </c>
      <c r="F257" s="28" t="s">
        <v>1105</v>
      </c>
      <c r="G257" s="25"/>
      <c r="H257" s="29"/>
      <c r="I257" s="30" t="s">
        <v>97</v>
      </c>
      <c r="J257" s="30">
        <v>2.04</v>
      </c>
      <c r="K257" s="25" t="s">
        <v>974</v>
      </c>
      <c r="L257" s="31" t="s">
        <v>1085</v>
      </c>
      <c r="M257" s="25" t="s">
        <v>1027</v>
      </c>
      <c r="N257" s="32" t="s">
        <v>1033</v>
      </c>
      <c r="O257" s="32" t="s">
        <v>1028</v>
      </c>
      <c r="P257" s="51">
        <v>107.80000000000001</v>
      </c>
      <c r="Q257" s="57">
        <v>9785604839744</v>
      </c>
      <c r="R257" s="66">
        <v>0.10200000000000001</v>
      </c>
    </row>
    <row r="258" spans="1:18" ht="21.75" customHeight="1" thickBot="1">
      <c r="A258" s="25" t="s">
        <v>1106</v>
      </c>
      <c r="B258" s="25" t="s">
        <v>1107</v>
      </c>
      <c r="C258" s="49" t="str">
        <f>HYPERLINK("http://atberg.aha.ru/mir/ush-03.jpg")</f>
        <v>http://atberg.aha.ru/mir/ush-03.jpg</v>
      </c>
      <c r="D258" s="27"/>
      <c r="E258" s="25" t="s">
        <v>1108</v>
      </c>
      <c r="F258" s="28" t="s">
        <v>1109</v>
      </c>
      <c r="G258" s="25"/>
      <c r="H258" s="29"/>
      <c r="I258" s="30" t="s">
        <v>97</v>
      </c>
      <c r="J258" s="30">
        <v>2.04</v>
      </c>
      <c r="K258" s="25" t="s">
        <v>974</v>
      </c>
      <c r="L258" s="31" t="s">
        <v>1085</v>
      </c>
      <c r="M258" s="25" t="s">
        <v>1027</v>
      </c>
      <c r="N258" s="32" t="s">
        <v>1033</v>
      </c>
      <c r="O258" s="32" t="s">
        <v>1028</v>
      </c>
      <c r="P258" s="51">
        <v>107.80000000000001</v>
      </c>
      <c r="Q258" s="57">
        <v>9785604839713</v>
      </c>
      <c r="R258" s="66">
        <v>0.10200000000000001</v>
      </c>
    </row>
    <row r="259" spans="1:18" ht="12.75" customHeight="1">
      <c r="A259" s="18"/>
      <c r="B259" s="18"/>
      <c r="C259" s="18"/>
      <c r="D259" s="19"/>
      <c r="E259" s="20"/>
      <c r="F259" s="21" t="s">
        <v>1110</v>
      </c>
      <c r="G259" s="22"/>
      <c r="H259" s="23"/>
      <c r="I259" s="20"/>
      <c r="J259" s="20"/>
      <c r="K259" s="20"/>
      <c r="L259" s="20"/>
      <c r="M259" s="20"/>
      <c r="N259" s="20"/>
      <c r="O259" s="20"/>
      <c r="P259" s="24"/>
      <c r="Q259" s="56"/>
      <c r="R259" s="66"/>
    </row>
    <row r="260" spans="1:18" ht="21.75" customHeight="1">
      <c r="A260" s="25" t="s">
        <v>1111</v>
      </c>
      <c r="B260" s="25" t="s">
        <v>1112</v>
      </c>
      <c r="C260" s="49" t="str">
        <f>HYPERLINK("http://atberg.aha.ru/atberg/kkm10.jpg")</f>
        <v>http://atberg.aha.ru/atberg/kkm10.jpg</v>
      </c>
      <c r="D260" s="27"/>
      <c r="E260" s="25" t="s">
        <v>1113</v>
      </c>
      <c r="F260" s="28" t="s">
        <v>1084</v>
      </c>
      <c r="G260" s="25"/>
      <c r="H260" s="29"/>
      <c r="I260" s="30" t="s">
        <v>97</v>
      </c>
      <c r="J260" s="30">
        <v>2.566</v>
      </c>
      <c r="K260" s="25" t="s">
        <v>974</v>
      </c>
      <c r="L260" s="31" t="s">
        <v>1114</v>
      </c>
      <c r="M260" s="25" t="s">
        <v>65</v>
      </c>
      <c r="N260" s="32" t="s">
        <v>1115</v>
      </c>
      <c r="O260" s="32" t="s">
        <v>1116</v>
      </c>
      <c r="P260" s="51">
        <v>100.08333333333333</v>
      </c>
      <c r="Q260" s="57">
        <v>9785604839751</v>
      </c>
      <c r="R260" s="66">
        <v>0.1283</v>
      </c>
    </row>
    <row r="261" spans="1:18" ht="21.75" customHeight="1">
      <c r="A261" s="25" t="s">
        <v>1117</v>
      </c>
      <c r="B261" s="25" t="s">
        <v>1118</v>
      </c>
      <c r="C261" s="49" t="str">
        <f>HYPERLINK("http://atberg.aha.ru/atberg/kkm02.jpg")</f>
        <v>http://atberg.aha.ru/atberg/kkm02.jpg</v>
      </c>
      <c r="D261" s="27"/>
      <c r="E261" s="25" t="s">
        <v>1119</v>
      </c>
      <c r="F261" s="28" t="s">
        <v>1120</v>
      </c>
      <c r="G261" s="25"/>
      <c r="H261" s="29"/>
      <c r="I261" s="30" t="s">
        <v>97</v>
      </c>
      <c r="J261" s="30">
        <v>2.566</v>
      </c>
      <c r="K261" s="25" t="s">
        <v>974</v>
      </c>
      <c r="L261" s="31" t="s">
        <v>1114</v>
      </c>
      <c r="M261" s="25" t="s">
        <v>65</v>
      </c>
      <c r="N261" s="32" t="s">
        <v>1115</v>
      </c>
      <c r="O261" s="32" t="s">
        <v>1116</v>
      </c>
      <c r="P261" s="51">
        <v>100.08333333333333</v>
      </c>
      <c r="Q261" s="57">
        <v>9785990873230</v>
      </c>
      <c r="R261" s="66">
        <v>0.1283</v>
      </c>
    </row>
    <row r="262" spans="1:18" ht="21.75" customHeight="1">
      <c r="A262" s="25" t="s">
        <v>1121</v>
      </c>
      <c r="B262" s="25" t="s">
        <v>1122</v>
      </c>
      <c r="C262" s="49" t="str">
        <f>HYPERLINK("http://atberg.aha.ru/atberg/kkm19.jpg")</f>
        <v>http://atberg.aha.ru/atberg/kkm19.jpg</v>
      </c>
      <c r="D262" s="27"/>
      <c r="E262" s="25" t="s">
        <v>1123</v>
      </c>
      <c r="F262" s="28" t="s">
        <v>1124</v>
      </c>
      <c r="G262" s="25"/>
      <c r="H262" s="29"/>
      <c r="I262" s="30" t="s">
        <v>97</v>
      </c>
      <c r="J262" s="30">
        <v>2.566</v>
      </c>
      <c r="K262" s="25" t="s">
        <v>974</v>
      </c>
      <c r="L262" s="31" t="s">
        <v>1114</v>
      </c>
      <c r="M262" s="25" t="s">
        <v>65</v>
      </c>
      <c r="N262" s="32" t="s">
        <v>1115</v>
      </c>
      <c r="O262" s="32" t="s">
        <v>977</v>
      </c>
      <c r="P262" s="51">
        <v>100.08333333333333</v>
      </c>
      <c r="Q262" s="57">
        <v>9785604877906</v>
      </c>
      <c r="R262" s="66">
        <v>0.1283</v>
      </c>
    </row>
    <row r="263" spans="1:18" ht="21.75" customHeight="1">
      <c r="A263" s="25" t="s">
        <v>1125</v>
      </c>
      <c r="B263" s="25" t="s">
        <v>1126</v>
      </c>
      <c r="C263" s="49" t="str">
        <f>HYPERLINK("http://atberg.aha.ru/atberg/kkm14.jpg")</f>
        <v>http://atberg.aha.ru/atberg/kkm14.jpg</v>
      </c>
      <c r="D263" s="27"/>
      <c r="E263" s="25" t="s">
        <v>1127</v>
      </c>
      <c r="F263" s="28" t="s">
        <v>1128</v>
      </c>
      <c r="G263" s="25"/>
      <c r="H263" s="29"/>
      <c r="I263" s="30" t="s">
        <v>97</v>
      </c>
      <c r="J263" s="30">
        <v>2.566</v>
      </c>
      <c r="K263" s="25" t="s">
        <v>974</v>
      </c>
      <c r="L263" s="31" t="s">
        <v>1114</v>
      </c>
      <c r="M263" s="25" t="s">
        <v>65</v>
      </c>
      <c r="N263" s="32" t="s">
        <v>1115</v>
      </c>
      <c r="O263" s="32" t="s">
        <v>1129</v>
      </c>
      <c r="P263" s="51">
        <v>100.08333333333333</v>
      </c>
      <c r="Q263" s="57">
        <v>9785604623671</v>
      </c>
      <c r="R263" s="66">
        <v>0.1283</v>
      </c>
    </row>
    <row r="264" spans="1:18" ht="21.75" customHeight="1">
      <c r="A264" s="25" t="s">
        <v>1130</v>
      </c>
      <c r="B264" s="25" t="s">
        <v>1131</v>
      </c>
      <c r="C264" s="49" t="str">
        <f>HYPERLINK("http://atberg.aha.ru/atberg/kkm09.jpg")</f>
        <v>http://atberg.aha.ru/atberg/kkm09.jpg</v>
      </c>
      <c r="D264" s="27"/>
      <c r="E264" s="25" t="s">
        <v>1132</v>
      </c>
      <c r="F264" s="28" t="s">
        <v>1133</v>
      </c>
      <c r="G264" s="25"/>
      <c r="H264" s="29"/>
      <c r="I264" s="30" t="s">
        <v>97</v>
      </c>
      <c r="J264" s="30">
        <v>2.566</v>
      </c>
      <c r="K264" s="25" t="s">
        <v>974</v>
      </c>
      <c r="L264" s="31" t="s">
        <v>1114</v>
      </c>
      <c r="M264" s="25" t="s">
        <v>65</v>
      </c>
      <c r="N264" s="32" t="s">
        <v>1115</v>
      </c>
      <c r="O264" s="32" t="s">
        <v>1116</v>
      </c>
      <c r="P264" s="51">
        <v>100.08333333333333</v>
      </c>
      <c r="Q264" s="57">
        <v>9785604839775</v>
      </c>
      <c r="R264" s="66">
        <v>0.1283</v>
      </c>
    </row>
    <row r="265" spans="1:18" ht="21.75" customHeight="1">
      <c r="A265" s="25" t="s">
        <v>1134</v>
      </c>
      <c r="B265" s="25" t="s">
        <v>1135</v>
      </c>
      <c r="C265" s="49" t="str">
        <f>HYPERLINK("http://atberg.aha.ru/atberg/kkm03.jpg")</f>
        <v>http://atberg.aha.ru/atberg/kkm03.jpg</v>
      </c>
      <c r="D265" s="27"/>
      <c r="E265" s="25" t="s">
        <v>1136</v>
      </c>
      <c r="F265" s="28" t="s">
        <v>1041</v>
      </c>
      <c r="G265" s="25"/>
      <c r="H265" s="29"/>
      <c r="I265" s="30" t="s">
        <v>97</v>
      </c>
      <c r="J265" s="30">
        <v>2.566</v>
      </c>
      <c r="K265" s="25" t="s">
        <v>974</v>
      </c>
      <c r="L265" s="31" t="s">
        <v>1114</v>
      </c>
      <c r="M265" s="25" t="s">
        <v>65</v>
      </c>
      <c r="N265" s="32" t="s">
        <v>1115</v>
      </c>
      <c r="O265" s="32" t="s">
        <v>1116</v>
      </c>
      <c r="P265" s="51">
        <v>100.08333333333333</v>
      </c>
      <c r="Q265" s="57">
        <v>9785604839782</v>
      </c>
      <c r="R265" s="66">
        <v>0.1283</v>
      </c>
    </row>
    <row r="266" spans="1:18" ht="21.75" customHeight="1">
      <c r="A266" s="25" t="s">
        <v>1137</v>
      </c>
      <c r="B266" s="25" t="s">
        <v>1138</v>
      </c>
      <c r="C266" s="49" t="str">
        <f>HYPERLINK("http://atberg.aha.ru/atberg/kkm15.jpg")</f>
        <v>http://atberg.aha.ru/atberg/kkm15.jpg</v>
      </c>
      <c r="D266" s="27"/>
      <c r="E266" s="25" t="s">
        <v>1139</v>
      </c>
      <c r="F266" s="28" t="s">
        <v>1045</v>
      </c>
      <c r="G266" s="25"/>
      <c r="H266" s="29"/>
      <c r="I266" s="30" t="s">
        <v>97</v>
      </c>
      <c r="J266" s="30">
        <v>2.566</v>
      </c>
      <c r="K266" s="25" t="s">
        <v>974</v>
      </c>
      <c r="L266" s="31" t="s">
        <v>1114</v>
      </c>
      <c r="M266" s="25" t="s">
        <v>65</v>
      </c>
      <c r="N266" s="32" t="s">
        <v>1115</v>
      </c>
      <c r="O266" s="32" t="s">
        <v>977</v>
      </c>
      <c r="P266" s="51">
        <v>100.08333333333333</v>
      </c>
      <c r="Q266" s="57">
        <v>9785604877883</v>
      </c>
      <c r="R266" s="66">
        <v>0.1283</v>
      </c>
    </row>
    <row r="267" spans="1:18" ht="21.75" customHeight="1">
      <c r="A267" s="25" t="s">
        <v>1140</v>
      </c>
      <c r="B267" s="25" t="s">
        <v>1141</v>
      </c>
      <c r="C267" s="49" t="str">
        <f>HYPERLINK("http://atberg.aha.ru/atberg/kkm04.jpg")</f>
        <v>http://atberg.aha.ru/atberg/kkm04.jpg</v>
      </c>
      <c r="D267" s="27"/>
      <c r="E267" s="25" t="s">
        <v>1142</v>
      </c>
      <c r="F267" s="28" t="s">
        <v>1143</v>
      </c>
      <c r="G267" s="25"/>
      <c r="H267" s="29"/>
      <c r="I267" s="30" t="s">
        <v>97</v>
      </c>
      <c r="J267" s="30">
        <v>2.566</v>
      </c>
      <c r="K267" s="25" t="s">
        <v>974</v>
      </c>
      <c r="L267" s="31" t="s">
        <v>1114</v>
      </c>
      <c r="M267" s="25" t="s">
        <v>65</v>
      </c>
      <c r="N267" s="32" t="s">
        <v>1115</v>
      </c>
      <c r="O267" s="32" t="s">
        <v>1116</v>
      </c>
      <c r="P267" s="51">
        <v>100.08333333333333</v>
      </c>
      <c r="Q267" s="57">
        <v>9785604839799</v>
      </c>
      <c r="R267" s="66">
        <v>0.1283</v>
      </c>
    </row>
    <row r="268" spans="1:18" ht="21.75" customHeight="1">
      <c r="A268" s="25" t="s">
        <v>1144</v>
      </c>
      <c r="B268" s="25" t="s">
        <v>1145</v>
      </c>
      <c r="C268" s="49" t="str">
        <f>HYPERLINK("http://atberg.aha.ru/atberg/kkm05.jpg")</f>
        <v>http://atberg.aha.ru/atberg/kkm05.jpg</v>
      </c>
      <c r="D268" s="27"/>
      <c r="E268" s="25" t="s">
        <v>1146</v>
      </c>
      <c r="F268" s="28" t="s">
        <v>1052</v>
      </c>
      <c r="G268" s="25"/>
      <c r="H268" s="29"/>
      <c r="I268" s="30" t="s">
        <v>97</v>
      </c>
      <c r="J268" s="30">
        <v>2.566</v>
      </c>
      <c r="K268" s="25" t="s">
        <v>974</v>
      </c>
      <c r="L268" s="31" t="s">
        <v>1114</v>
      </c>
      <c r="M268" s="25" t="s">
        <v>65</v>
      </c>
      <c r="N268" s="32" t="s">
        <v>1115</v>
      </c>
      <c r="O268" s="32" t="s">
        <v>1116</v>
      </c>
      <c r="P268" s="51">
        <v>100.08333333333333</v>
      </c>
      <c r="Q268" s="57">
        <v>9785604877807</v>
      </c>
      <c r="R268" s="66">
        <v>0.1283</v>
      </c>
    </row>
    <row r="269" spans="1:18" ht="21.75" customHeight="1">
      <c r="A269" s="25" t="s">
        <v>1147</v>
      </c>
      <c r="B269" s="25" t="s">
        <v>1148</v>
      </c>
      <c r="C269" s="49" t="str">
        <f>HYPERLINK("http://atberg.aha.ru/atberg/kkm06.jpg")</f>
        <v>http://atberg.aha.ru/atberg/kkm06.jpg</v>
      </c>
      <c r="D269" s="27"/>
      <c r="E269" s="25" t="s">
        <v>1149</v>
      </c>
      <c r="F269" s="28" t="s">
        <v>1150</v>
      </c>
      <c r="G269" s="25"/>
      <c r="H269" s="29"/>
      <c r="I269" s="30" t="s">
        <v>97</v>
      </c>
      <c r="J269" s="30">
        <v>2.566</v>
      </c>
      <c r="K269" s="25" t="s">
        <v>974</v>
      </c>
      <c r="L269" s="31" t="s">
        <v>1114</v>
      </c>
      <c r="M269" s="25" t="s">
        <v>65</v>
      </c>
      <c r="N269" s="32" t="s">
        <v>1115</v>
      </c>
      <c r="O269" s="32" t="s">
        <v>1116</v>
      </c>
      <c r="P269" s="51">
        <v>100.08333333333333</v>
      </c>
      <c r="Q269" s="57">
        <v>9785604877814</v>
      </c>
      <c r="R269" s="66">
        <v>0.1283</v>
      </c>
    </row>
    <row r="270" spans="1:18" ht="21.75" customHeight="1">
      <c r="A270" s="25" t="s">
        <v>1151</v>
      </c>
      <c r="B270" s="25" t="s">
        <v>1152</v>
      </c>
      <c r="C270" s="49" t="str">
        <f>HYPERLINK("http://atberg.aha.ru/atberg/kkm13.jpg")</f>
        <v>http://atberg.aha.ru/atberg/kkm13.jpg</v>
      </c>
      <c r="D270" s="27"/>
      <c r="E270" s="25" t="s">
        <v>1153</v>
      </c>
      <c r="F270" s="28" t="s">
        <v>1154</v>
      </c>
      <c r="G270" s="25"/>
      <c r="H270" s="29"/>
      <c r="I270" s="30" t="s">
        <v>97</v>
      </c>
      <c r="J270" s="30">
        <v>2.566</v>
      </c>
      <c r="K270" s="25" t="s">
        <v>974</v>
      </c>
      <c r="L270" s="31" t="s">
        <v>1114</v>
      </c>
      <c r="M270" s="25" t="s">
        <v>65</v>
      </c>
      <c r="N270" s="32" t="s">
        <v>1115</v>
      </c>
      <c r="O270" s="32" t="s">
        <v>1129</v>
      </c>
      <c r="P270" s="51">
        <v>100.08333333333333</v>
      </c>
      <c r="Q270" s="57">
        <v>9785604623688</v>
      </c>
      <c r="R270" s="66">
        <v>0.1283</v>
      </c>
    </row>
    <row r="271" spans="1:18" ht="21.75" customHeight="1">
      <c r="A271" s="25" t="s">
        <v>1155</v>
      </c>
      <c r="B271" s="25" t="s">
        <v>1156</v>
      </c>
      <c r="C271" s="49" t="str">
        <f>HYPERLINK("http://atberg.aha.ru/atberg/kkm16.jpg")</f>
        <v>http://atberg.aha.ru/atberg/kkm16.jpg</v>
      </c>
      <c r="D271" s="27"/>
      <c r="E271" s="25" t="s">
        <v>1157</v>
      </c>
      <c r="F271" s="28" t="s">
        <v>1101</v>
      </c>
      <c r="G271" s="25"/>
      <c r="H271" s="29"/>
      <c r="I271" s="30" t="s">
        <v>97</v>
      </c>
      <c r="J271" s="30">
        <v>2.566</v>
      </c>
      <c r="K271" s="25" t="s">
        <v>974</v>
      </c>
      <c r="L271" s="31" t="s">
        <v>1114</v>
      </c>
      <c r="M271" s="25" t="s">
        <v>65</v>
      </c>
      <c r="N271" s="32" t="s">
        <v>1115</v>
      </c>
      <c r="O271" s="32" t="s">
        <v>1116</v>
      </c>
      <c r="P271" s="51">
        <v>100.08333333333333</v>
      </c>
      <c r="Q271" s="57">
        <v>9785604877890</v>
      </c>
      <c r="R271" s="66">
        <v>0.1283</v>
      </c>
    </row>
    <row r="272" spans="1:18" ht="21.75" customHeight="1">
      <c r="A272" s="25" t="s">
        <v>1158</v>
      </c>
      <c r="B272" s="25" t="s">
        <v>1159</v>
      </c>
      <c r="C272" s="49" t="str">
        <f>HYPERLINK("http://atberg.aha.ru/atberg/kkm07.jpg")</f>
        <v>http://atberg.aha.ru/atberg/kkm07.jpg</v>
      </c>
      <c r="D272" s="27"/>
      <c r="E272" s="25" t="s">
        <v>1160</v>
      </c>
      <c r="F272" s="28" t="s">
        <v>1068</v>
      </c>
      <c r="G272" s="25"/>
      <c r="H272" s="29"/>
      <c r="I272" s="30" t="s">
        <v>97</v>
      </c>
      <c r="J272" s="30">
        <v>2.566</v>
      </c>
      <c r="K272" s="25" t="s">
        <v>974</v>
      </c>
      <c r="L272" s="31" t="s">
        <v>1114</v>
      </c>
      <c r="M272" s="25" t="s">
        <v>65</v>
      </c>
      <c r="N272" s="32" t="s">
        <v>1115</v>
      </c>
      <c r="O272" s="32" t="s">
        <v>1116</v>
      </c>
      <c r="P272" s="51">
        <v>100.08333333333333</v>
      </c>
      <c r="Q272" s="57">
        <v>9785604877821</v>
      </c>
      <c r="R272" s="66">
        <v>0.1283</v>
      </c>
    </row>
    <row r="273" spans="1:18" ht="21.75" customHeight="1">
      <c r="A273" s="25" t="s">
        <v>1161</v>
      </c>
      <c r="B273" s="25" t="s">
        <v>1162</v>
      </c>
      <c r="C273" s="49" t="str">
        <f>HYPERLINK("http://atberg.aha.ru/atberg/kkm11.jpg")</f>
        <v>http://atberg.aha.ru/atberg/kkm11.jpg</v>
      </c>
      <c r="D273" s="27"/>
      <c r="E273" s="25" t="s">
        <v>1163</v>
      </c>
      <c r="F273" s="28" t="s">
        <v>1072</v>
      </c>
      <c r="G273" s="25"/>
      <c r="H273" s="29"/>
      <c r="I273" s="30" t="s">
        <v>97</v>
      </c>
      <c r="J273" s="30">
        <v>2.566</v>
      </c>
      <c r="K273" s="25" t="s">
        <v>974</v>
      </c>
      <c r="L273" s="31" t="s">
        <v>1114</v>
      </c>
      <c r="M273" s="25" t="s">
        <v>65</v>
      </c>
      <c r="N273" s="32" t="s">
        <v>1115</v>
      </c>
      <c r="O273" s="32" t="s">
        <v>1116</v>
      </c>
      <c r="P273" s="51">
        <v>100.08333333333333</v>
      </c>
      <c r="Q273" s="57">
        <v>9785604877838</v>
      </c>
      <c r="R273" s="66">
        <v>0.1283</v>
      </c>
    </row>
    <row r="274" spans="1:18" ht="21.75" customHeight="1">
      <c r="A274" s="25" t="s">
        <v>1164</v>
      </c>
      <c r="B274" s="25" t="s">
        <v>1165</v>
      </c>
      <c r="C274" s="49" t="str">
        <f>HYPERLINK("http://atberg.aha.ru/atberg/kkm18.jpg")</f>
        <v>http://atberg.aha.ru/atberg/kkm18.jpg</v>
      </c>
      <c r="D274" s="27"/>
      <c r="E274" s="25" t="s">
        <v>1166</v>
      </c>
      <c r="F274" s="28" t="s">
        <v>1076</v>
      </c>
      <c r="G274" s="25"/>
      <c r="H274" s="29"/>
      <c r="I274" s="30" t="s">
        <v>97</v>
      </c>
      <c r="J274" s="30">
        <v>2.566</v>
      </c>
      <c r="K274" s="25" t="s">
        <v>974</v>
      </c>
      <c r="L274" s="31" t="s">
        <v>1114</v>
      </c>
      <c r="M274" s="25" t="s">
        <v>65</v>
      </c>
      <c r="N274" s="32" t="s">
        <v>1115</v>
      </c>
      <c r="O274" s="32" t="s">
        <v>1116</v>
      </c>
      <c r="P274" s="51">
        <v>100.08333333333333</v>
      </c>
      <c r="Q274" s="57">
        <v>9785604877937</v>
      </c>
      <c r="R274" s="66">
        <v>0.1283</v>
      </c>
    </row>
    <row r="275" spans="1:18" ht="21.75" customHeight="1">
      <c r="A275" s="25" t="s">
        <v>1167</v>
      </c>
      <c r="B275" s="25" t="s">
        <v>1168</v>
      </c>
      <c r="C275" s="49" t="str">
        <f>HYPERLINK("http://atberg.aha.ru/atberg/kkm12.jpg")</f>
        <v>http://atberg.aha.ru/atberg/kkm12.jpg</v>
      </c>
      <c r="D275" s="27"/>
      <c r="E275" s="25" t="s">
        <v>1169</v>
      </c>
      <c r="F275" s="28" t="s">
        <v>1020</v>
      </c>
      <c r="G275" s="25"/>
      <c r="H275" s="29"/>
      <c r="I275" s="30" t="s">
        <v>97</v>
      </c>
      <c r="J275" s="30">
        <v>2.566</v>
      </c>
      <c r="K275" s="25" t="s">
        <v>974</v>
      </c>
      <c r="L275" s="31" t="s">
        <v>1114</v>
      </c>
      <c r="M275" s="25" t="s">
        <v>65</v>
      </c>
      <c r="N275" s="32" t="s">
        <v>1115</v>
      </c>
      <c r="O275" s="32" t="s">
        <v>1116</v>
      </c>
      <c r="P275" s="51">
        <v>100.08333333333333</v>
      </c>
      <c r="Q275" s="57">
        <v>9785604877845</v>
      </c>
      <c r="R275" s="66">
        <v>0.1283</v>
      </c>
    </row>
    <row r="276" spans="1:18" ht="21.75" customHeight="1" thickBot="1">
      <c r="A276" s="25" t="s">
        <v>1170</v>
      </c>
      <c r="B276" s="25" t="s">
        <v>1171</v>
      </c>
      <c r="C276" s="49" t="str">
        <f>HYPERLINK("http://atberg.aha.ru/atberg/kkm08.jpg")</f>
        <v>http://atberg.aha.ru/atberg/kkm08.jpg</v>
      </c>
      <c r="D276" s="27"/>
      <c r="E276" s="25" t="s">
        <v>1172</v>
      </c>
      <c r="F276" s="28" t="s">
        <v>1173</v>
      </c>
      <c r="G276" s="25"/>
      <c r="H276" s="29"/>
      <c r="I276" s="30" t="s">
        <v>97</v>
      </c>
      <c r="J276" s="30">
        <v>2.566</v>
      </c>
      <c r="K276" s="25" t="s">
        <v>974</v>
      </c>
      <c r="L276" s="31" t="s">
        <v>1114</v>
      </c>
      <c r="M276" s="25" t="s">
        <v>65</v>
      </c>
      <c r="N276" s="32" t="s">
        <v>1115</v>
      </c>
      <c r="O276" s="32" t="s">
        <v>1116</v>
      </c>
      <c r="P276" s="51">
        <v>100.08333333333333</v>
      </c>
      <c r="Q276" s="57">
        <v>9785604877852</v>
      </c>
      <c r="R276" s="66">
        <v>0.1283</v>
      </c>
    </row>
    <row r="277" spans="1:18" ht="12.75" customHeight="1">
      <c r="A277" s="18"/>
      <c r="B277" s="18"/>
      <c r="C277" s="18"/>
      <c r="D277" s="19"/>
      <c r="E277" s="20"/>
      <c r="F277" s="21" t="s">
        <v>1174</v>
      </c>
      <c r="G277" s="22"/>
      <c r="H277" s="23"/>
      <c r="I277" s="20"/>
      <c r="J277" s="20"/>
      <c r="K277" s="20"/>
      <c r="L277" s="20"/>
      <c r="M277" s="20"/>
      <c r="N277" s="20"/>
      <c r="O277" s="20"/>
      <c r="P277" s="24"/>
      <c r="Q277" s="56"/>
      <c r="R277" s="66"/>
    </row>
    <row r="278" spans="1:18" ht="21.75" customHeight="1">
      <c r="A278" s="25" t="s">
        <v>1175</v>
      </c>
      <c r="B278" s="25" t="s">
        <v>1176</v>
      </c>
      <c r="C278" s="49" t="str">
        <f>HYPERLINK("http://atberg.aha.ru/mir/knk-04.jpg")</f>
        <v>http://atberg.aha.ru/mir/knk-04.jpg</v>
      </c>
      <c r="D278" s="27"/>
      <c r="E278" s="25" t="s">
        <v>1177</v>
      </c>
      <c r="F278" s="28" t="s">
        <v>1178</v>
      </c>
      <c r="G278" s="25"/>
      <c r="H278" s="29"/>
      <c r="I278" s="30" t="s">
        <v>97</v>
      </c>
      <c r="J278" s="30">
        <v>0.7</v>
      </c>
      <c r="K278" s="25" t="s">
        <v>974</v>
      </c>
      <c r="L278" s="31" t="s">
        <v>1179</v>
      </c>
      <c r="M278" s="25" t="s">
        <v>65</v>
      </c>
      <c r="N278" s="32" t="s">
        <v>1033</v>
      </c>
      <c r="O278" s="32" t="s">
        <v>1028</v>
      </c>
      <c r="P278" s="51">
        <v>25.666666666666668</v>
      </c>
      <c r="Q278" s="57">
        <v>9785980888053</v>
      </c>
      <c r="R278" s="66">
        <v>0.034999999999999996</v>
      </c>
    </row>
    <row r="279" spans="1:18" ht="21.75" customHeight="1">
      <c r="A279" s="25" t="s">
        <v>1180</v>
      </c>
      <c r="B279" s="25" t="s">
        <v>1181</v>
      </c>
      <c r="C279" s="49" t="str">
        <f>HYPERLINK("http://atberg.aha.ru/mir/knk-18.jpg")</f>
        <v>http://atberg.aha.ru/mir/knk-18.jpg</v>
      </c>
      <c r="D279" s="27"/>
      <c r="E279" s="25" t="s">
        <v>1182</v>
      </c>
      <c r="F279" s="28" t="s">
        <v>1183</v>
      </c>
      <c r="G279" s="25"/>
      <c r="H279" s="29"/>
      <c r="I279" s="30" t="s">
        <v>97</v>
      </c>
      <c r="J279" s="30">
        <v>0.7</v>
      </c>
      <c r="K279" s="25" t="s">
        <v>974</v>
      </c>
      <c r="L279" s="31" t="s">
        <v>1179</v>
      </c>
      <c r="M279" s="25" t="s">
        <v>65</v>
      </c>
      <c r="N279" s="32" t="s">
        <v>1033</v>
      </c>
      <c r="O279" s="32" t="s">
        <v>1028</v>
      </c>
      <c r="P279" s="51">
        <v>25.666666666666668</v>
      </c>
      <c r="Q279" s="57">
        <v>9785980887919</v>
      </c>
      <c r="R279" s="66">
        <v>0.034999999999999996</v>
      </c>
    </row>
    <row r="280" spans="1:18" ht="21.75" customHeight="1">
      <c r="A280" s="25" t="s">
        <v>1184</v>
      </c>
      <c r="B280" s="25" t="s">
        <v>1185</v>
      </c>
      <c r="C280" s="49" t="str">
        <f>HYPERLINK("http://atberg.aha.ru/mir/knk-17.jpg")</f>
        <v>http://atberg.aha.ru/mir/knk-17.jpg</v>
      </c>
      <c r="D280" s="27"/>
      <c r="E280" s="25" t="s">
        <v>1186</v>
      </c>
      <c r="F280" s="28" t="s">
        <v>1187</v>
      </c>
      <c r="G280" s="25"/>
      <c r="H280" s="29"/>
      <c r="I280" s="30" t="s">
        <v>97</v>
      </c>
      <c r="J280" s="30">
        <v>0.7</v>
      </c>
      <c r="K280" s="25" t="s">
        <v>974</v>
      </c>
      <c r="L280" s="31" t="s">
        <v>1179</v>
      </c>
      <c r="M280" s="25" t="s">
        <v>65</v>
      </c>
      <c r="N280" s="32" t="s">
        <v>1033</v>
      </c>
      <c r="O280" s="32" t="s">
        <v>1028</v>
      </c>
      <c r="P280" s="51">
        <v>25.666666666666668</v>
      </c>
      <c r="Q280" s="57">
        <v>9785980887926</v>
      </c>
      <c r="R280" s="66">
        <v>0.034999999999999996</v>
      </c>
    </row>
    <row r="281" spans="1:18" ht="21.75" customHeight="1">
      <c r="A281" s="25" t="s">
        <v>1188</v>
      </c>
      <c r="B281" s="25" t="s">
        <v>1189</v>
      </c>
      <c r="C281" s="49" t="str">
        <f>HYPERLINK("http://atberg.aha.ru/mir/knk-16.jpg")</f>
        <v>http://atberg.aha.ru/mir/knk-16.jpg</v>
      </c>
      <c r="D281" s="27"/>
      <c r="E281" s="25" t="s">
        <v>1190</v>
      </c>
      <c r="F281" s="28" t="s">
        <v>1191</v>
      </c>
      <c r="G281" s="25"/>
      <c r="H281" s="29"/>
      <c r="I281" s="30" t="s">
        <v>97</v>
      </c>
      <c r="J281" s="30">
        <v>0.7</v>
      </c>
      <c r="K281" s="25" t="s">
        <v>974</v>
      </c>
      <c r="L281" s="31" t="s">
        <v>1179</v>
      </c>
      <c r="M281" s="25" t="s">
        <v>65</v>
      </c>
      <c r="N281" s="32" t="s">
        <v>1033</v>
      </c>
      <c r="O281" s="32" t="s">
        <v>1028</v>
      </c>
      <c r="P281" s="51">
        <v>25.666666666666668</v>
      </c>
      <c r="Q281" s="57">
        <v>9785980887933</v>
      </c>
      <c r="R281" s="66">
        <v>0.034999999999999996</v>
      </c>
    </row>
    <row r="282" spans="1:18" ht="21.75" customHeight="1">
      <c r="A282" s="25" t="s">
        <v>1192</v>
      </c>
      <c r="B282" s="25" t="s">
        <v>1193</v>
      </c>
      <c r="C282" s="49" t="str">
        <f>HYPERLINK("http://atberg.aha.ru/mir/knk-22.jpg")</f>
        <v>http://atberg.aha.ru/mir/knk-22.jpg</v>
      </c>
      <c r="D282" s="27"/>
      <c r="E282" s="25" t="s">
        <v>1194</v>
      </c>
      <c r="F282" s="28" t="s">
        <v>1032</v>
      </c>
      <c r="G282" s="25"/>
      <c r="H282" s="29"/>
      <c r="I282" s="30" t="s">
        <v>97</v>
      </c>
      <c r="J282" s="30">
        <v>0.7</v>
      </c>
      <c r="K282" s="25" t="s">
        <v>974</v>
      </c>
      <c r="L282" s="31" t="s">
        <v>1179</v>
      </c>
      <c r="M282" s="25" t="s">
        <v>65</v>
      </c>
      <c r="N282" s="32" t="s">
        <v>1033</v>
      </c>
      <c r="O282" s="32" t="s">
        <v>1028</v>
      </c>
      <c r="P282" s="51">
        <v>25.666666666666668</v>
      </c>
      <c r="Q282" s="57">
        <v>9785980887872</v>
      </c>
      <c r="R282" s="66">
        <v>0.034999999999999996</v>
      </c>
    </row>
    <row r="283" spans="1:18" ht="21.75" customHeight="1">
      <c r="A283" s="25" t="s">
        <v>1195</v>
      </c>
      <c r="B283" s="25" t="s">
        <v>1196</v>
      </c>
      <c r="C283" s="49" t="str">
        <f>HYPERLINK("http://atberg.aha.ru/mir/knk-03.jpg")</f>
        <v>http://atberg.aha.ru/mir/knk-03.jpg</v>
      </c>
      <c r="D283" s="27"/>
      <c r="E283" s="25" t="s">
        <v>1197</v>
      </c>
      <c r="F283" s="28" t="s">
        <v>1198</v>
      </c>
      <c r="G283" s="25"/>
      <c r="H283" s="29"/>
      <c r="I283" s="30" t="s">
        <v>97</v>
      </c>
      <c r="J283" s="30">
        <v>0.7</v>
      </c>
      <c r="K283" s="25" t="s">
        <v>974</v>
      </c>
      <c r="L283" s="31" t="s">
        <v>1179</v>
      </c>
      <c r="M283" s="25" t="s">
        <v>65</v>
      </c>
      <c r="N283" s="32" t="s">
        <v>1033</v>
      </c>
      <c r="O283" s="32" t="s">
        <v>1028</v>
      </c>
      <c r="P283" s="51">
        <v>25.666666666666668</v>
      </c>
      <c r="Q283" s="57">
        <v>9785980888060</v>
      </c>
      <c r="R283" s="66">
        <v>0.034999999999999996</v>
      </c>
    </row>
    <row r="284" spans="1:18" ht="21.75" customHeight="1">
      <c r="A284" s="25" t="s">
        <v>1199</v>
      </c>
      <c r="B284" s="25" t="s">
        <v>1200</v>
      </c>
      <c r="C284" s="49" t="str">
        <f>HYPERLINK("http://atberg.aha.ru/mir/knk-10.jpg")</f>
        <v>http://atberg.aha.ru/mir/knk-10.jpg</v>
      </c>
      <c r="D284" s="27"/>
      <c r="E284" s="25" t="s">
        <v>1201</v>
      </c>
      <c r="F284" s="28" t="s">
        <v>997</v>
      </c>
      <c r="G284" s="25"/>
      <c r="H284" s="29"/>
      <c r="I284" s="30" t="s">
        <v>97</v>
      </c>
      <c r="J284" s="30">
        <v>0.7</v>
      </c>
      <c r="K284" s="25" t="s">
        <v>974</v>
      </c>
      <c r="L284" s="31" t="s">
        <v>1179</v>
      </c>
      <c r="M284" s="25" t="s">
        <v>65</v>
      </c>
      <c r="N284" s="32" t="s">
        <v>1033</v>
      </c>
      <c r="O284" s="32" t="s">
        <v>1028</v>
      </c>
      <c r="P284" s="51">
        <v>25.666666666666668</v>
      </c>
      <c r="Q284" s="57">
        <v>9785980887995</v>
      </c>
      <c r="R284" s="66">
        <v>0.034999999999999996</v>
      </c>
    </row>
    <row r="285" spans="1:18" ht="21.75" customHeight="1">
      <c r="A285" s="25" t="s">
        <v>1202</v>
      </c>
      <c r="B285" s="25" t="s">
        <v>1203</v>
      </c>
      <c r="C285" s="49" t="str">
        <f>HYPERLINK("http://atberg.aha.ru/mir/knk-07.jpg")</f>
        <v>http://atberg.aha.ru/mir/knk-07.jpg</v>
      </c>
      <c r="D285" s="27"/>
      <c r="E285" s="25" t="s">
        <v>1204</v>
      </c>
      <c r="F285" s="28" t="s">
        <v>1205</v>
      </c>
      <c r="G285" s="25"/>
      <c r="H285" s="29"/>
      <c r="I285" s="30" t="s">
        <v>97</v>
      </c>
      <c r="J285" s="30">
        <v>0.7</v>
      </c>
      <c r="K285" s="25" t="s">
        <v>974</v>
      </c>
      <c r="L285" s="31" t="s">
        <v>1179</v>
      </c>
      <c r="M285" s="25" t="s">
        <v>65</v>
      </c>
      <c r="N285" s="32" t="s">
        <v>1033</v>
      </c>
      <c r="O285" s="32" t="s">
        <v>1028</v>
      </c>
      <c r="P285" s="51">
        <v>25.666666666666668</v>
      </c>
      <c r="Q285" s="57">
        <v>9785980888022</v>
      </c>
      <c r="R285" s="66">
        <v>0.034999999999999996</v>
      </c>
    </row>
    <row r="286" spans="1:18" ht="21.75" customHeight="1">
      <c r="A286" s="25" t="s">
        <v>1206</v>
      </c>
      <c r="B286" s="25" t="s">
        <v>1207</v>
      </c>
      <c r="C286" s="49" t="str">
        <f>HYPERLINK("http://atberg.aha.ru/mir/knk-08.jpg")</f>
        <v>http://atberg.aha.ru/mir/knk-08.jpg</v>
      </c>
      <c r="D286" s="27"/>
      <c r="E286" s="25" t="s">
        <v>1208</v>
      </c>
      <c r="F286" s="28" t="s">
        <v>1209</v>
      </c>
      <c r="G286" s="25"/>
      <c r="H286" s="29"/>
      <c r="I286" s="30" t="s">
        <v>97</v>
      </c>
      <c r="J286" s="30">
        <v>0.7</v>
      </c>
      <c r="K286" s="25" t="s">
        <v>974</v>
      </c>
      <c r="L286" s="31" t="s">
        <v>1179</v>
      </c>
      <c r="M286" s="25" t="s">
        <v>65</v>
      </c>
      <c r="N286" s="32" t="s">
        <v>1033</v>
      </c>
      <c r="O286" s="32" t="s">
        <v>1028</v>
      </c>
      <c r="P286" s="51">
        <v>25.666666666666668</v>
      </c>
      <c r="Q286" s="57">
        <v>9785980888015</v>
      </c>
      <c r="R286" s="66">
        <v>0.034999999999999996</v>
      </c>
    </row>
    <row r="287" spans="1:18" ht="21.75" customHeight="1">
      <c r="A287" s="25" t="s">
        <v>1210</v>
      </c>
      <c r="B287" s="25" t="s">
        <v>1211</v>
      </c>
      <c r="C287" s="49" t="str">
        <f>HYPERLINK("http://atberg.aha.ru/mir/knk-12.jpg")</f>
        <v>http://atberg.aha.ru/mir/knk-12.jpg</v>
      </c>
      <c r="D287" s="27"/>
      <c r="E287" s="25" t="s">
        <v>1212</v>
      </c>
      <c r="F287" s="28" t="s">
        <v>1037</v>
      </c>
      <c r="G287" s="25"/>
      <c r="H287" s="29"/>
      <c r="I287" s="30" t="s">
        <v>97</v>
      </c>
      <c r="J287" s="30">
        <v>0.7</v>
      </c>
      <c r="K287" s="25" t="s">
        <v>974</v>
      </c>
      <c r="L287" s="31" t="s">
        <v>1179</v>
      </c>
      <c r="M287" s="25" t="s">
        <v>65</v>
      </c>
      <c r="N287" s="32" t="s">
        <v>1033</v>
      </c>
      <c r="O287" s="32" t="s">
        <v>1028</v>
      </c>
      <c r="P287" s="51">
        <v>25.666666666666668</v>
      </c>
      <c r="Q287" s="57">
        <v>9785980887971</v>
      </c>
      <c r="R287" s="66">
        <v>0.034999999999999996</v>
      </c>
    </row>
    <row r="288" spans="1:18" ht="21.75" customHeight="1">
      <c r="A288" s="25" t="s">
        <v>1213</v>
      </c>
      <c r="B288" s="25" t="s">
        <v>1214</v>
      </c>
      <c r="C288" s="49" t="str">
        <f>HYPERLINK("http://atberg.aha.ru/mir/knk-11.jpg")</f>
        <v>http://atberg.aha.ru/mir/knk-11.jpg</v>
      </c>
      <c r="D288" s="27"/>
      <c r="E288" s="25" t="s">
        <v>1215</v>
      </c>
      <c r="F288" s="28" t="s">
        <v>1041</v>
      </c>
      <c r="G288" s="25"/>
      <c r="H288" s="29"/>
      <c r="I288" s="30" t="s">
        <v>97</v>
      </c>
      <c r="J288" s="30">
        <v>0.7</v>
      </c>
      <c r="K288" s="25" t="s">
        <v>974</v>
      </c>
      <c r="L288" s="31" t="s">
        <v>1179</v>
      </c>
      <c r="M288" s="25" t="s">
        <v>65</v>
      </c>
      <c r="N288" s="32" t="s">
        <v>1033</v>
      </c>
      <c r="O288" s="32" t="s">
        <v>1028</v>
      </c>
      <c r="P288" s="51">
        <v>25.666666666666668</v>
      </c>
      <c r="Q288" s="57">
        <v>9785980887988</v>
      </c>
      <c r="R288" s="66">
        <v>0.034999999999999996</v>
      </c>
    </row>
    <row r="289" spans="1:18" ht="21.75" customHeight="1">
      <c r="A289" s="25" t="s">
        <v>1216</v>
      </c>
      <c r="B289" s="25" t="s">
        <v>1217</v>
      </c>
      <c r="C289" s="49" t="str">
        <f>HYPERLINK("http://atberg.aha.ru/mir/knk-21.jpg")</f>
        <v>http://atberg.aha.ru/mir/knk-21.jpg</v>
      </c>
      <c r="D289" s="27"/>
      <c r="E289" s="25" t="s">
        <v>1218</v>
      </c>
      <c r="F289" s="28" t="s">
        <v>1219</v>
      </c>
      <c r="G289" s="25"/>
      <c r="H289" s="29"/>
      <c r="I289" s="30" t="s">
        <v>97</v>
      </c>
      <c r="J289" s="30">
        <v>0.7</v>
      </c>
      <c r="K289" s="25" t="s">
        <v>974</v>
      </c>
      <c r="L289" s="31" t="s">
        <v>1179</v>
      </c>
      <c r="M289" s="25" t="s">
        <v>65</v>
      </c>
      <c r="N289" s="32" t="s">
        <v>1033</v>
      </c>
      <c r="O289" s="32" t="s">
        <v>1028</v>
      </c>
      <c r="P289" s="51">
        <v>25.666666666666668</v>
      </c>
      <c r="Q289" s="57">
        <v>9785980887889</v>
      </c>
      <c r="R289" s="66">
        <v>0.034999999999999996</v>
      </c>
    </row>
    <row r="290" spans="1:18" ht="21.75" customHeight="1">
      <c r="A290" s="25" t="s">
        <v>1220</v>
      </c>
      <c r="B290" s="25" t="s">
        <v>1221</v>
      </c>
      <c r="C290" s="49" t="str">
        <f>HYPERLINK("http://atberg.aha.ru/mir/knk-20.jpg")</f>
        <v>http://atberg.aha.ru/mir/knk-20.jpg</v>
      </c>
      <c r="D290" s="27"/>
      <c r="E290" s="25" t="s">
        <v>1222</v>
      </c>
      <c r="F290" s="28" t="s">
        <v>1045</v>
      </c>
      <c r="G290" s="25"/>
      <c r="H290" s="29"/>
      <c r="I290" s="30" t="s">
        <v>97</v>
      </c>
      <c r="J290" s="30">
        <v>0.7</v>
      </c>
      <c r="K290" s="25" t="s">
        <v>974</v>
      </c>
      <c r="L290" s="31" t="s">
        <v>1179</v>
      </c>
      <c r="M290" s="25" t="s">
        <v>65</v>
      </c>
      <c r="N290" s="32" t="s">
        <v>1033</v>
      </c>
      <c r="O290" s="32" t="s">
        <v>1028</v>
      </c>
      <c r="P290" s="51">
        <v>25.666666666666668</v>
      </c>
      <c r="Q290" s="57">
        <v>9785980887896</v>
      </c>
      <c r="R290" s="66">
        <v>0.034999999999999996</v>
      </c>
    </row>
    <row r="291" spans="1:18" ht="21.75" customHeight="1">
      <c r="A291" s="25" t="s">
        <v>1223</v>
      </c>
      <c r="B291" s="25" t="s">
        <v>1224</v>
      </c>
      <c r="C291" s="49" t="str">
        <f>HYPERLINK("http://atberg.aha.ru/mir/knk-23.jpg")</f>
        <v>http://atberg.aha.ru/mir/knk-23.jpg</v>
      </c>
      <c r="D291" s="27"/>
      <c r="E291" s="25" t="s">
        <v>1225</v>
      </c>
      <c r="F291" s="28" t="s">
        <v>1052</v>
      </c>
      <c r="G291" s="25"/>
      <c r="H291" s="29"/>
      <c r="I291" s="30" t="s">
        <v>97</v>
      </c>
      <c r="J291" s="30">
        <v>0.7</v>
      </c>
      <c r="K291" s="25" t="s">
        <v>974</v>
      </c>
      <c r="L291" s="31" t="s">
        <v>1179</v>
      </c>
      <c r="M291" s="25" t="s">
        <v>65</v>
      </c>
      <c r="N291" s="32" t="s">
        <v>1033</v>
      </c>
      <c r="O291" s="32" t="s">
        <v>1028</v>
      </c>
      <c r="P291" s="51">
        <v>25.666666666666668</v>
      </c>
      <c r="Q291" s="57">
        <v>9785980887865</v>
      </c>
      <c r="R291" s="66">
        <v>0.034999999999999996</v>
      </c>
    </row>
    <row r="292" spans="1:18" ht="21.75" customHeight="1">
      <c r="A292" s="25" t="s">
        <v>1226</v>
      </c>
      <c r="B292" s="25" t="s">
        <v>1227</v>
      </c>
      <c r="C292" s="49" t="str">
        <f>HYPERLINK("http://atberg.aha.ru/mir/knk-01.jpg")</f>
        <v>http://atberg.aha.ru/mir/knk-01.jpg</v>
      </c>
      <c r="D292" s="27"/>
      <c r="E292" s="25" t="s">
        <v>1228</v>
      </c>
      <c r="F292" s="28" t="s">
        <v>1101</v>
      </c>
      <c r="G292" s="25"/>
      <c r="H292" s="29"/>
      <c r="I292" s="30" t="s">
        <v>97</v>
      </c>
      <c r="J292" s="30">
        <v>0.7</v>
      </c>
      <c r="K292" s="25" t="s">
        <v>974</v>
      </c>
      <c r="L292" s="31" t="s">
        <v>1179</v>
      </c>
      <c r="M292" s="25" t="s">
        <v>65</v>
      </c>
      <c r="N292" s="32" t="s">
        <v>1033</v>
      </c>
      <c r="O292" s="32" t="s">
        <v>1028</v>
      </c>
      <c r="P292" s="51">
        <v>25.666666666666668</v>
      </c>
      <c r="Q292" s="57">
        <v>9785980888084</v>
      </c>
      <c r="R292" s="66">
        <v>0.034999999999999996</v>
      </c>
    </row>
    <row r="293" spans="1:18" ht="21.75" customHeight="1">
      <c r="A293" s="25" t="s">
        <v>1229</v>
      </c>
      <c r="B293" s="25" t="s">
        <v>1230</v>
      </c>
      <c r="C293" s="49" t="str">
        <f>HYPERLINK("http://atberg.aha.ru/mir/knk-02.jpg")</f>
        <v>http://atberg.aha.ru/mir/knk-02.jpg</v>
      </c>
      <c r="D293" s="27"/>
      <c r="E293" s="25" t="s">
        <v>1231</v>
      </c>
      <c r="F293" s="28" t="s">
        <v>1232</v>
      </c>
      <c r="G293" s="25"/>
      <c r="H293" s="29"/>
      <c r="I293" s="30" t="s">
        <v>97</v>
      </c>
      <c r="J293" s="30">
        <v>0.7</v>
      </c>
      <c r="K293" s="25" t="s">
        <v>974</v>
      </c>
      <c r="L293" s="31" t="s">
        <v>1179</v>
      </c>
      <c r="M293" s="25" t="s">
        <v>65</v>
      </c>
      <c r="N293" s="32" t="s">
        <v>1033</v>
      </c>
      <c r="O293" s="32" t="s">
        <v>1028</v>
      </c>
      <c r="P293" s="51">
        <v>25.666666666666668</v>
      </c>
      <c r="Q293" s="57">
        <v>9785980888077</v>
      </c>
      <c r="R293" s="66">
        <v>0.034999999999999996</v>
      </c>
    </row>
    <row r="294" spans="1:18" ht="21.75" customHeight="1">
      <c r="A294" s="25" t="s">
        <v>1233</v>
      </c>
      <c r="B294" s="25" t="s">
        <v>1234</v>
      </c>
      <c r="C294" s="49" t="str">
        <f>HYPERLINK("http://atberg.aha.ru/mir/knk-15.jpg")</f>
        <v>http://atberg.aha.ru/mir/knk-15.jpg</v>
      </c>
      <c r="D294" s="27"/>
      <c r="E294" s="25" t="s">
        <v>1235</v>
      </c>
      <c r="F294" s="28" t="s">
        <v>1068</v>
      </c>
      <c r="G294" s="25"/>
      <c r="H294" s="29"/>
      <c r="I294" s="30" t="s">
        <v>97</v>
      </c>
      <c r="J294" s="30">
        <v>0.7</v>
      </c>
      <c r="K294" s="25" t="s">
        <v>974</v>
      </c>
      <c r="L294" s="31" t="s">
        <v>1179</v>
      </c>
      <c r="M294" s="25" t="s">
        <v>65</v>
      </c>
      <c r="N294" s="32" t="s">
        <v>1033</v>
      </c>
      <c r="O294" s="32" t="s">
        <v>1028</v>
      </c>
      <c r="P294" s="51">
        <v>25.666666666666668</v>
      </c>
      <c r="Q294" s="57">
        <v>9785980887940</v>
      </c>
      <c r="R294" s="66">
        <v>0.034999999999999996</v>
      </c>
    </row>
    <row r="295" spans="1:18" ht="21.75" customHeight="1">
      <c r="A295" s="25" t="s">
        <v>1236</v>
      </c>
      <c r="B295" s="25" t="s">
        <v>1237</v>
      </c>
      <c r="C295" s="49" t="str">
        <f>HYPERLINK("http://atberg.aha.ru/mir/knk-14.jpg")</f>
        <v>http://atberg.aha.ru/mir/knk-14.jpg</v>
      </c>
      <c r="D295" s="27"/>
      <c r="E295" s="25" t="s">
        <v>1238</v>
      </c>
      <c r="F295" s="28" t="s">
        <v>1012</v>
      </c>
      <c r="G295" s="25"/>
      <c r="H295" s="29"/>
      <c r="I295" s="30" t="s">
        <v>97</v>
      </c>
      <c r="J295" s="30">
        <v>0.7</v>
      </c>
      <c r="K295" s="25" t="s">
        <v>974</v>
      </c>
      <c r="L295" s="31" t="s">
        <v>1179</v>
      </c>
      <c r="M295" s="25" t="s">
        <v>65</v>
      </c>
      <c r="N295" s="32" t="s">
        <v>1033</v>
      </c>
      <c r="O295" s="32" t="s">
        <v>1028</v>
      </c>
      <c r="P295" s="51">
        <v>25.666666666666668</v>
      </c>
      <c r="Q295" s="57">
        <v>9785980887957</v>
      </c>
      <c r="R295" s="66">
        <v>0.034999999999999996</v>
      </c>
    </row>
    <row r="296" spans="1:18" ht="21.75" customHeight="1">
      <c r="A296" s="25" t="s">
        <v>1239</v>
      </c>
      <c r="B296" s="25" t="s">
        <v>1240</v>
      </c>
      <c r="C296" s="49" t="str">
        <f>HYPERLINK("http://atberg.aha.ru/mir/knk-13.jpg")</f>
        <v>http://atberg.aha.ru/mir/knk-13.jpg</v>
      </c>
      <c r="D296" s="27"/>
      <c r="E296" s="25" t="s">
        <v>1241</v>
      </c>
      <c r="F296" s="28" t="s">
        <v>1242</v>
      </c>
      <c r="G296" s="25"/>
      <c r="H296" s="29"/>
      <c r="I296" s="30" t="s">
        <v>97</v>
      </c>
      <c r="J296" s="30">
        <v>0.7</v>
      </c>
      <c r="K296" s="25" t="s">
        <v>974</v>
      </c>
      <c r="L296" s="31" t="s">
        <v>1179</v>
      </c>
      <c r="M296" s="25" t="s">
        <v>65</v>
      </c>
      <c r="N296" s="32" t="s">
        <v>1033</v>
      </c>
      <c r="O296" s="32" t="s">
        <v>1028</v>
      </c>
      <c r="P296" s="51">
        <v>25.666666666666668</v>
      </c>
      <c r="Q296" s="57">
        <v>9785980887964</v>
      </c>
      <c r="R296" s="66">
        <v>0.034999999999999996</v>
      </c>
    </row>
    <row r="297" spans="1:18" ht="21.75" customHeight="1">
      <c r="A297" s="25" t="s">
        <v>1243</v>
      </c>
      <c r="B297" s="25" t="s">
        <v>1244</v>
      </c>
      <c r="C297" s="49" t="str">
        <f>HYPERLINK("http://atberg.aha.ru/mir/knk-05.jpg")</f>
        <v>http://atberg.aha.ru/mir/knk-05.jpg</v>
      </c>
      <c r="D297" s="27"/>
      <c r="E297" s="25" t="s">
        <v>1245</v>
      </c>
      <c r="F297" s="28" t="s">
        <v>891</v>
      </c>
      <c r="G297" s="25"/>
      <c r="H297" s="29"/>
      <c r="I297" s="30" t="s">
        <v>97</v>
      </c>
      <c r="J297" s="30">
        <v>0.7</v>
      </c>
      <c r="K297" s="25" t="s">
        <v>974</v>
      </c>
      <c r="L297" s="31" t="s">
        <v>1179</v>
      </c>
      <c r="M297" s="25" t="s">
        <v>65</v>
      </c>
      <c r="N297" s="32" t="s">
        <v>1033</v>
      </c>
      <c r="O297" s="32" t="s">
        <v>1028</v>
      </c>
      <c r="P297" s="51">
        <v>25.666666666666668</v>
      </c>
      <c r="Q297" s="57">
        <v>9785980888046</v>
      </c>
      <c r="R297" s="66">
        <v>0.034999999999999996</v>
      </c>
    </row>
    <row r="298" spans="1:18" ht="21.75" customHeight="1">
      <c r="A298" s="25" t="s">
        <v>1246</v>
      </c>
      <c r="B298" s="25" t="s">
        <v>1247</v>
      </c>
      <c r="C298" s="49" t="str">
        <f>HYPERLINK("http://atberg.aha.ru/mir/knk-06.jpg")</f>
        <v>http://atberg.aha.ru/mir/knk-06.jpg</v>
      </c>
      <c r="D298" s="27"/>
      <c r="E298" s="25" t="s">
        <v>1248</v>
      </c>
      <c r="F298" s="28" t="s">
        <v>1072</v>
      </c>
      <c r="G298" s="25"/>
      <c r="H298" s="29"/>
      <c r="I298" s="30" t="s">
        <v>97</v>
      </c>
      <c r="J298" s="30">
        <v>0.7</v>
      </c>
      <c r="K298" s="25" t="s">
        <v>974</v>
      </c>
      <c r="L298" s="31" t="s">
        <v>1179</v>
      </c>
      <c r="M298" s="25" t="s">
        <v>65</v>
      </c>
      <c r="N298" s="32" t="s">
        <v>1033</v>
      </c>
      <c r="O298" s="32" t="s">
        <v>1028</v>
      </c>
      <c r="P298" s="51">
        <v>25.666666666666668</v>
      </c>
      <c r="Q298" s="57">
        <v>9785980888039</v>
      </c>
      <c r="R298" s="66">
        <v>0.034999999999999996</v>
      </c>
    </row>
    <row r="299" spans="1:18" ht="21.75" customHeight="1">
      <c r="A299" s="25" t="s">
        <v>1249</v>
      </c>
      <c r="B299" s="25" t="s">
        <v>1250</v>
      </c>
      <c r="C299" s="49" t="str">
        <f>HYPERLINK("http://atberg.aha.ru/mir/knk-19.jpg")</f>
        <v>http://atberg.aha.ru/mir/knk-19.jpg</v>
      </c>
      <c r="D299" s="27"/>
      <c r="E299" s="25" t="s">
        <v>1251</v>
      </c>
      <c r="F299" s="28" t="s">
        <v>1076</v>
      </c>
      <c r="G299" s="25"/>
      <c r="H299" s="29"/>
      <c r="I299" s="30" t="s">
        <v>97</v>
      </c>
      <c r="J299" s="30">
        <v>0.7</v>
      </c>
      <c r="K299" s="25" t="s">
        <v>974</v>
      </c>
      <c r="L299" s="31" t="s">
        <v>1179</v>
      </c>
      <c r="M299" s="25" t="s">
        <v>65</v>
      </c>
      <c r="N299" s="32" t="s">
        <v>1033</v>
      </c>
      <c r="O299" s="32" t="s">
        <v>1028</v>
      </c>
      <c r="P299" s="51">
        <v>25.666666666666668</v>
      </c>
      <c r="Q299" s="57">
        <v>9785980887902</v>
      </c>
      <c r="R299" s="66">
        <v>0.034999999999999996</v>
      </c>
    </row>
    <row r="300" spans="1:18" ht="21.75" customHeight="1">
      <c r="A300" s="25" t="s">
        <v>1252</v>
      </c>
      <c r="B300" s="25" t="s">
        <v>1253</v>
      </c>
      <c r="C300" s="49" t="str">
        <f>HYPERLINK("http://atberg.aha.ru/mir/knk-09.jpg")</f>
        <v>http://atberg.aha.ru/mir/knk-09.jpg</v>
      </c>
      <c r="D300" s="27"/>
      <c r="E300" s="25" t="s">
        <v>1254</v>
      </c>
      <c r="F300" s="28" t="s">
        <v>1173</v>
      </c>
      <c r="G300" s="25"/>
      <c r="H300" s="29"/>
      <c r="I300" s="30" t="s">
        <v>97</v>
      </c>
      <c r="J300" s="30">
        <v>0.7</v>
      </c>
      <c r="K300" s="25" t="s">
        <v>974</v>
      </c>
      <c r="L300" s="31" t="s">
        <v>1179</v>
      </c>
      <c r="M300" s="25" t="s">
        <v>65</v>
      </c>
      <c r="N300" s="32" t="s">
        <v>1033</v>
      </c>
      <c r="O300" s="32" t="s">
        <v>1028</v>
      </c>
      <c r="P300" s="51">
        <v>25.666666666666668</v>
      </c>
      <c r="Q300" s="57">
        <v>9785980888008</v>
      </c>
      <c r="R300" s="66">
        <v>0.034999999999999996</v>
      </c>
    </row>
    <row r="301" spans="1:18" ht="21.75" customHeight="1" thickBot="1">
      <c r="A301" s="25" t="s">
        <v>1255</v>
      </c>
      <c r="B301" s="25" t="s">
        <v>1256</v>
      </c>
      <c r="C301" s="49" t="str">
        <f>HYPERLINK("http://atberg.aha.ru/mir/knk-24.jpg")</f>
        <v>http://atberg.aha.ru/mir/knk-24.jpg</v>
      </c>
      <c r="D301" s="27"/>
      <c r="E301" s="25" t="s">
        <v>1257</v>
      </c>
      <c r="F301" s="28" t="s">
        <v>1258</v>
      </c>
      <c r="G301" s="25"/>
      <c r="H301" s="29"/>
      <c r="I301" s="30" t="s">
        <v>97</v>
      </c>
      <c r="J301" s="30">
        <v>0.7</v>
      </c>
      <c r="K301" s="25" t="s">
        <v>974</v>
      </c>
      <c r="L301" s="31" t="s">
        <v>1179</v>
      </c>
      <c r="M301" s="25" t="s">
        <v>65</v>
      </c>
      <c r="N301" s="32" t="s">
        <v>1033</v>
      </c>
      <c r="O301" s="32" t="s">
        <v>1028</v>
      </c>
      <c r="P301" s="51">
        <v>25.666666666666668</v>
      </c>
      <c r="Q301" s="57">
        <v>9785980887858</v>
      </c>
      <c r="R301" s="66">
        <v>0.034999999999999996</v>
      </c>
    </row>
    <row r="302" spans="1:18" ht="12.75" customHeight="1">
      <c r="A302" s="18"/>
      <c r="B302" s="18"/>
      <c r="C302" s="18"/>
      <c r="D302" s="19"/>
      <c r="E302" s="20"/>
      <c r="F302" s="21" t="s">
        <v>1259</v>
      </c>
      <c r="G302" s="22"/>
      <c r="H302" s="23"/>
      <c r="I302" s="20"/>
      <c r="J302" s="20"/>
      <c r="K302" s="20"/>
      <c r="L302" s="20"/>
      <c r="M302" s="20"/>
      <c r="N302" s="20"/>
      <c r="O302" s="20"/>
      <c r="P302" s="24"/>
      <c r="Q302" s="56"/>
      <c r="R302" s="66"/>
    </row>
    <row r="303" spans="1:18" ht="53.25" customHeight="1">
      <c r="A303" s="25" t="s">
        <v>1260</v>
      </c>
      <c r="B303" s="25" t="s">
        <v>1261</v>
      </c>
      <c r="C303" s="49" t="str">
        <f>HYPERLINK("http://atberg.aha.ru/mir/kno01.jpg")</f>
        <v>http://atberg.aha.ru/mir/kno01.jpg</v>
      </c>
      <c r="D303" s="27"/>
      <c r="E303" s="25" t="s">
        <v>1262</v>
      </c>
      <c r="F303" s="28" t="s">
        <v>1041</v>
      </c>
      <c r="G303" s="25"/>
      <c r="H303" s="29"/>
      <c r="I303" s="30" t="s">
        <v>65</v>
      </c>
      <c r="J303" s="30">
        <v>2.45</v>
      </c>
      <c r="K303" s="25" t="s">
        <v>974</v>
      </c>
      <c r="L303" s="31" t="s">
        <v>1263</v>
      </c>
      <c r="M303" s="25" t="s">
        <v>65</v>
      </c>
      <c r="N303" s="32" t="s">
        <v>1264</v>
      </c>
      <c r="O303" s="32" t="s">
        <v>1265</v>
      </c>
      <c r="P303" s="51">
        <v>209.00000000000003</v>
      </c>
      <c r="Q303" s="57">
        <v>9785990873599</v>
      </c>
      <c r="R303" s="66">
        <v>0.24500000000000002</v>
      </c>
    </row>
    <row r="304" spans="1:18" ht="53.25" customHeight="1">
      <c r="A304" s="25" t="s">
        <v>1266</v>
      </c>
      <c r="B304" s="25" t="s">
        <v>1267</v>
      </c>
      <c r="C304" s="49" t="str">
        <f>HYPERLINK("http://atberg.aha.ru/mir/kno02.jpg")</f>
        <v>http://atberg.aha.ru/mir/kno02.jpg</v>
      </c>
      <c r="D304" s="27"/>
      <c r="E304" s="25" t="s">
        <v>1268</v>
      </c>
      <c r="F304" s="28" t="s">
        <v>1052</v>
      </c>
      <c r="G304" s="25"/>
      <c r="H304" s="29"/>
      <c r="I304" s="30" t="s">
        <v>65</v>
      </c>
      <c r="J304" s="30">
        <v>2.45</v>
      </c>
      <c r="K304" s="25" t="s">
        <v>974</v>
      </c>
      <c r="L304" s="31" t="s">
        <v>1269</v>
      </c>
      <c r="M304" s="25" t="s">
        <v>65</v>
      </c>
      <c r="N304" s="32" t="s">
        <v>1264</v>
      </c>
      <c r="O304" s="32" t="s">
        <v>1265</v>
      </c>
      <c r="P304" s="51">
        <v>209.00000000000003</v>
      </c>
      <c r="Q304" s="57">
        <v>9785990873605</v>
      </c>
      <c r="R304" s="66">
        <v>0.24500000000000002</v>
      </c>
    </row>
    <row r="305" spans="1:18" ht="53.25" customHeight="1">
      <c r="A305" s="25" t="s">
        <v>1270</v>
      </c>
      <c r="B305" s="25" t="s">
        <v>1271</v>
      </c>
      <c r="C305" s="49" t="str">
        <f>HYPERLINK("http://atberg.aha.ru/mir/kno03.jpg")</f>
        <v>http://atberg.aha.ru/mir/kno03.jpg</v>
      </c>
      <c r="D305" s="27"/>
      <c r="E305" s="25" t="s">
        <v>1272</v>
      </c>
      <c r="F305" s="28" t="s">
        <v>1068</v>
      </c>
      <c r="G305" s="25"/>
      <c r="H305" s="29"/>
      <c r="I305" s="30" t="s">
        <v>65</v>
      </c>
      <c r="J305" s="30">
        <v>2.45</v>
      </c>
      <c r="K305" s="25" t="s">
        <v>974</v>
      </c>
      <c r="L305" s="31" t="s">
        <v>1269</v>
      </c>
      <c r="M305" s="25" t="s">
        <v>65</v>
      </c>
      <c r="N305" s="32" t="s">
        <v>1264</v>
      </c>
      <c r="O305" s="32" t="s">
        <v>1265</v>
      </c>
      <c r="P305" s="51">
        <v>209.00000000000003</v>
      </c>
      <c r="Q305" s="57">
        <v>9785990873612</v>
      </c>
      <c r="R305" s="66">
        <v>0.24500000000000002</v>
      </c>
    </row>
    <row r="306" spans="1:18" ht="53.25" customHeight="1" thickBot="1">
      <c r="A306" s="25" t="s">
        <v>1273</v>
      </c>
      <c r="B306" s="25" t="s">
        <v>1274</v>
      </c>
      <c r="C306" s="49" t="str">
        <f>HYPERLINK("http://atberg.aha.ru/mir/kno04.jpg")</f>
        <v>http://atberg.aha.ru/mir/kno04.jpg</v>
      </c>
      <c r="D306" s="27"/>
      <c r="E306" s="25" t="s">
        <v>1275</v>
      </c>
      <c r="F306" s="28" t="s">
        <v>1072</v>
      </c>
      <c r="G306" s="25"/>
      <c r="H306" s="29"/>
      <c r="I306" s="30" t="s">
        <v>65</v>
      </c>
      <c r="J306" s="30">
        <v>2.45</v>
      </c>
      <c r="K306" s="25" t="s">
        <v>974</v>
      </c>
      <c r="L306" s="31" t="s">
        <v>1269</v>
      </c>
      <c r="M306" s="25" t="s">
        <v>65</v>
      </c>
      <c r="N306" s="32" t="s">
        <v>1264</v>
      </c>
      <c r="O306" s="32" t="s">
        <v>1265</v>
      </c>
      <c r="P306" s="51">
        <v>209.00000000000003</v>
      </c>
      <c r="Q306" s="57">
        <v>9785990873629</v>
      </c>
      <c r="R306" s="66">
        <v>0.24500000000000002</v>
      </c>
    </row>
    <row r="307" spans="1:18" ht="12.75" customHeight="1">
      <c r="A307" s="18"/>
      <c r="B307" s="18"/>
      <c r="C307" s="18"/>
      <c r="D307" s="19"/>
      <c r="E307" s="20"/>
      <c r="F307" s="21" t="s">
        <v>1276</v>
      </c>
      <c r="G307" s="22"/>
      <c r="H307" s="23"/>
      <c r="I307" s="20"/>
      <c r="J307" s="20"/>
      <c r="K307" s="20"/>
      <c r="L307" s="20"/>
      <c r="M307" s="20"/>
      <c r="N307" s="20"/>
      <c r="O307" s="20"/>
      <c r="P307" s="24"/>
      <c r="Q307" s="56"/>
      <c r="R307" s="66"/>
    </row>
    <row r="308" spans="1:18" ht="48.75" customHeight="1">
      <c r="A308" s="25" t="s">
        <v>1277</v>
      </c>
      <c r="B308" s="25" t="s">
        <v>1278</v>
      </c>
      <c r="C308" s="49" t="str">
        <f>HYPERLINK("http://atberg.aha.ru/mir/slv-19.jpg")</f>
        <v>http://atberg.aha.ru/mir/slv-19.jpg</v>
      </c>
      <c r="D308" s="27" t="s">
        <v>1279</v>
      </c>
      <c r="E308" s="25" t="s">
        <v>1280</v>
      </c>
      <c r="F308" s="28" t="s">
        <v>1281</v>
      </c>
      <c r="G308" s="25"/>
      <c r="H308" s="29"/>
      <c r="I308" s="30" t="s">
        <v>1282</v>
      </c>
      <c r="J308" s="30">
        <v>3.864</v>
      </c>
      <c r="K308" s="25" t="s">
        <v>1283</v>
      </c>
      <c r="L308" s="31" t="s">
        <v>1284</v>
      </c>
      <c r="M308" s="25" t="s">
        <v>1285</v>
      </c>
      <c r="N308" s="32" t="s">
        <v>69</v>
      </c>
      <c r="O308" s="32" t="s">
        <v>1286</v>
      </c>
      <c r="P308" s="51">
        <v>825</v>
      </c>
      <c r="Q308" s="57">
        <v>9785946666787</v>
      </c>
      <c r="R308" s="66">
        <v>0.966</v>
      </c>
    </row>
    <row r="309" spans="1:18" ht="36.75" customHeight="1" thickBot="1">
      <c r="A309" s="25" t="s">
        <v>1287</v>
      </c>
      <c r="B309" s="25" t="s">
        <v>1288</v>
      </c>
      <c r="C309" s="26"/>
      <c r="D309" s="27" t="s">
        <v>1279</v>
      </c>
      <c r="E309" s="25" t="s">
        <v>1289</v>
      </c>
      <c r="F309" s="28" t="s">
        <v>1290</v>
      </c>
      <c r="G309" s="25"/>
      <c r="H309" s="29"/>
      <c r="I309" s="30" t="s">
        <v>1282</v>
      </c>
      <c r="J309" s="30">
        <v>2.392</v>
      </c>
      <c r="K309" s="25" t="s">
        <v>1291</v>
      </c>
      <c r="L309" s="31" t="s">
        <v>1292</v>
      </c>
      <c r="M309" s="25" t="s">
        <v>1293</v>
      </c>
      <c r="N309" s="32" t="s">
        <v>16</v>
      </c>
      <c r="O309" s="32" t="s">
        <v>1286</v>
      </c>
      <c r="P309" s="51">
        <v>825</v>
      </c>
      <c r="Q309" s="57">
        <v>9785946666091</v>
      </c>
      <c r="R309" s="66">
        <v>0.598</v>
      </c>
    </row>
    <row r="310" spans="1:18" ht="12.75" customHeight="1">
      <c r="A310" s="18"/>
      <c r="B310" s="18"/>
      <c r="C310" s="18"/>
      <c r="D310" s="19"/>
      <c r="E310" s="20"/>
      <c r="F310" s="21" t="s">
        <v>1294</v>
      </c>
      <c r="G310" s="22"/>
      <c r="H310" s="23"/>
      <c r="I310" s="20"/>
      <c r="J310" s="20"/>
      <c r="K310" s="20"/>
      <c r="L310" s="20"/>
      <c r="M310" s="20"/>
      <c r="N310" s="20"/>
      <c r="O310" s="20"/>
      <c r="P310" s="24"/>
      <c r="Q310" s="56"/>
      <c r="R310" s="66"/>
    </row>
    <row r="311" spans="1:18" ht="24.75" customHeight="1">
      <c r="A311" s="25" t="s">
        <v>1295</v>
      </c>
      <c r="B311" s="25" t="s">
        <v>1296</v>
      </c>
      <c r="C311" s="26"/>
      <c r="D311" s="27"/>
      <c r="E311" s="25" t="s">
        <v>1297</v>
      </c>
      <c r="F311" s="28" t="s">
        <v>1298</v>
      </c>
      <c r="G311" s="25"/>
      <c r="H311" s="29"/>
      <c r="I311" s="30" t="s">
        <v>770</v>
      </c>
      <c r="J311" s="30">
        <v>4.272</v>
      </c>
      <c r="K311" s="25" t="s">
        <v>25</v>
      </c>
      <c r="L311" s="31" t="s">
        <v>1299</v>
      </c>
      <c r="M311" s="25" t="s">
        <v>820</v>
      </c>
      <c r="N311" s="32" t="s">
        <v>1300</v>
      </c>
      <c r="O311" s="32" t="s">
        <v>1301</v>
      </c>
      <c r="P311" s="51">
        <v>20.166666666666668</v>
      </c>
      <c r="Q311" s="57">
        <v>9785985039252</v>
      </c>
      <c r="R311" s="66">
        <v>0.04272</v>
      </c>
    </row>
    <row r="312" spans="1:18" ht="24.75" customHeight="1" thickBot="1">
      <c r="A312" s="25" t="s">
        <v>1302</v>
      </c>
      <c r="B312" s="25" t="s">
        <v>1303</v>
      </c>
      <c r="C312" s="26"/>
      <c r="D312" s="27"/>
      <c r="E312" s="25" t="s">
        <v>1304</v>
      </c>
      <c r="F312" s="28" t="s">
        <v>1305</v>
      </c>
      <c r="G312" s="25"/>
      <c r="H312" s="29"/>
      <c r="I312" s="30" t="s">
        <v>97</v>
      </c>
      <c r="J312" s="30">
        <v>1.675</v>
      </c>
      <c r="K312" s="25" t="s">
        <v>25</v>
      </c>
      <c r="L312" s="31" t="s">
        <v>905</v>
      </c>
      <c r="M312" s="25" t="s">
        <v>820</v>
      </c>
      <c r="N312" s="32" t="s">
        <v>1300</v>
      </c>
      <c r="O312" s="32" t="s">
        <v>1301</v>
      </c>
      <c r="P312" s="51">
        <v>44.550000000000004</v>
      </c>
      <c r="Q312" s="57">
        <v>9785985039269</v>
      </c>
      <c r="R312" s="66">
        <v>0.08375</v>
      </c>
    </row>
    <row r="313" spans="1:18" ht="12.75" customHeight="1">
      <c r="A313" s="18"/>
      <c r="B313" s="18"/>
      <c r="C313" s="18"/>
      <c r="D313" s="19"/>
      <c r="E313" s="20"/>
      <c r="F313" s="21" t="s">
        <v>1306</v>
      </c>
      <c r="G313" s="22"/>
      <c r="H313" s="23"/>
      <c r="I313" s="20"/>
      <c r="J313" s="20"/>
      <c r="K313" s="20"/>
      <c r="L313" s="20"/>
      <c r="M313" s="20"/>
      <c r="N313" s="20"/>
      <c r="O313" s="20"/>
      <c r="P313" s="24"/>
      <c r="Q313" s="56"/>
      <c r="R313" s="66"/>
    </row>
    <row r="314" spans="1:18" ht="70.5" customHeight="1" thickBot="1">
      <c r="A314" s="25" t="s">
        <v>1307</v>
      </c>
      <c r="B314" s="25" t="s">
        <v>1308</v>
      </c>
      <c r="C314" s="26"/>
      <c r="D314" s="27" t="s">
        <v>1309</v>
      </c>
      <c r="E314" s="25" t="s">
        <v>1310</v>
      </c>
      <c r="F314" s="28" t="s">
        <v>1311</v>
      </c>
      <c r="G314" s="25"/>
      <c r="H314" s="29"/>
      <c r="I314" s="30" t="s">
        <v>97</v>
      </c>
      <c r="J314" s="30">
        <v>5.14</v>
      </c>
      <c r="K314" s="25" t="s">
        <v>1312</v>
      </c>
      <c r="L314" s="31" t="s">
        <v>1313</v>
      </c>
      <c r="M314" s="25" t="s">
        <v>217</v>
      </c>
      <c r="N314" s="32" t="s">
        <v>16</v>
      </c>
      <c r="O314" s="32" t="s">
        <v>1314</v>
      </c>
      <c r="P314" s="51">
        <v>226.41666666666666</v>
      </c>
      <c r="Q314" s="57">
        <v>9785904873363</v>
      </c>
      <c r="R314" s="66">
        <v>0.257</v>
      </c>
    </row>
    <row r="315" spans="1:18" ht="12.75" customHeight="1" thickBot="1">
      <c r="A315" s="18"/>
      <c r="B315" s="18"/>
      <c r="C315" s="18"/>
      <c r="D315" s="19"/>
      <c r="E315" s="20"/>
      <c r="F315" s="21" t="s">
        <v>1315</v>
      </c>
      <c r="G315" s="22"/>
      <c r="H315" s="23"/>
      <c r="I315" s="20"/>
      <c r="J315" s="20"/>
      <c r="K315" s="20"/>
      <c r="L315" s="20"/>
      <c r="M315" s="20"/>
      <c r="N315" s="20"/>
      <c r="O315" s="20"/>
      <c r="P315" s="24"/>
      <c r="Q315" s="56"/>
      <c r="R315" s="66"/>
    </row>
    <row r="316" spans="1:18" ht="12.75" customHeight="1">
      <c r="A316" s="18"/>
      <c r="B316" s="18"/>
      <c r="C316" s="18"/>
      <c r="D316" s="19"/>
      <c r="E316" s="20"/>
      <c r="F316" s="21" t="s">
        <v>1316</v>
      </c>
      <c r="G316" s="22"/>
      <c r="H316" s="23"/>
      <c r="I316" s="20"/>
      <c r="J316" s="20"/>
      <c r="K316" s="20"/>
      <c r="L316" s="20"/>
      <c r="M316" s="20"/>
      <c r="N316" s="20"/>
      <c r="O316" s="20"/>
      <c r="P316" s="24"/>
      <c r="Q316" s="56"/>
      <c r="R316" s="66"/>
    </row>
    <row r="317" spans="1:18" ht="21.75" customHeight="1">
      <c r="A317" s="25" t="s">
        <v>1317</v>
      </c>
      <c r="B317" s="25" t="s">
        <v>1318</v>
      </c>
      <c r="C317" s="49" t="str">
        <f>HYPERLINK("http://atberg.aha.ru/mir/vrv-01.jpg")</f>
        <v>http://atberg.aha.ru/mir/vrv-01.jpg</v>
      </c>
      <c r="D317" s="27"/>
      <c r="E317" s="25" t="s">
        <v>1319</v>
      </c>
      <c r="F317" s="28" t="s">
        <v>1320</v>
      </c>
      <c r="G317" s="25"/>
      <c r="H317" s="29"/>
      <c r="I317" s="30" t="s">
        <v>813</v>
      </c>
      <c r="J317" s="30">
        <v>1.56</v>
      </c>
      <c r="K317" s="25" t="s">
        <v>1321</v>
      </c>
      <c r="L317" s="31" t="s">
        <v>1322</v>
      </c>
      <c r="M317" s="25" t="s">
        <v>1027</v>
      </c>
      <c r="N317" s="32" t="s">
        <v>1323</v>
      </c>
      <c r="O317" s="32" t="s">
        <v>1324</v>
      </c>
      <c r="P317" s="51">
        <v>55</v>
      </c>
      <c r="Q317" s="57">
        <v>9785971106678</v>
      </c>
      <c r="R317" s="66">
        <v>0.052000000000000005</v>
      </c>
    </row>
    <row r="318" spans="1:18" ht="21.75" customHeight="1">
      <c r="A318" s="25" t="s">
        <v>1325</v>
      </c>
      <c r="B318" s="25" t="s">
        <v>1326</v>
      </c>
      <c r="C318" s="49" t="str">
        <f>HYPERLINK("http://atberg.aha.ru/mir/vrv-01.jpg")</f>
        <v>http://atberg.aha.ru/mir/vrv-01.jpg</v>
      </c>
      <c r="D318" s="27"/>
      <c r="E318" s="25" t="s">
        <v>1327</v>
      </c>
      <c r="F318" s="28" t="s">
        <v>1328</v>
      </c>
      <c r="G318" s="25"/>
      <c r="H318" s="29"/>
      <c r="I318" s="30" t="s">
        <v>813</v>
      </c>
      <c r="J318" s="30">
        <v>1.68</v>
      </c>
      <c r="K318" s="25" t="s">
        <v>1321</v>
      </c>
      <c r="L318" s="31" t="s">
        <v>1322</v>
      </c>
      <c r="M318" s="25" t="s">
        <v>1027</v>
      </c>
      <c r="N318" s="32" t="s">
        <v>1323</v>
      </c>
      <c r="O318" s="32" t="s">
        <v>1324</v>
      </c>
      <c r="P318" s="51">
        <v>55</v>
      </c>
      <c r="Q318" s="57">
        <v>9785971106685</v>
      </c>
      <c r="R318" s="66">
        <v>0.056</v>
      </c>
    </row>
    <row r="319" spans="1:18" ht="21.75" customHeight="1" thickBot="1">
      <c r="A319" s="25" t="s">
        <v>1329</v>
      </c>
      <c r="B319" s="25" t="s">
        <v>1330</v>
      </c>
      <c r="C319" s="49" t="str">
        <f>HYPERLINK("http://atberg.aha.ru/mir/vrv-01.jpg")</f>
        <v>http://atberg.aha.ru/mir/vrv-01.jpg</v>
      </c>
      <c r="D319" s="27"/>
      <c r="E319" s="25" t="s">
        <v>1331</v>
      </c>
      <c r="F319" s="28" t="s">
        <v>1332</v>
      </c>
      <c r="G319" s="25"/>
      <c r="H319" s="29"/>
      <c r="I319" s="30" t="s">
        <v>813</v>
      </c>
      <c r="J319" s="30">
        <v>1.68</v>
      </c>
      <c r="K319" s="25" t="s">
        <v>1321</v>
      </c>
      <c r="L319" s="31" t="s">
        <v>1322</v>
      </c>
      <c r="M319" s="25" t="s">
        <v>1027</v>
      </c>
      <c r="N319" s="32" t="s">
        <v>1323</v>
      </c>
      <c r="O319" s="32" t="s">
        <v>1324</v>
      </c>
      <c r="P319" s="51">
        <v>55</v>
      </c>
      <c r="Q319" s="57">
        <v>9785971106708</v>
      </c>
      <c r="R319" s="66">
        <v>0.056</v>
      </c>
    </row>
    <row r="320" spans="1:18" ht="12.75" customHeight="1">
      <c r="A320" s="18"/>
      <c r="B320" s="18"/>
      <c r="C320" s="18"/>
      <c r="D320" s="19"/>
      <c r="E320" s="20"/>
      <c r="F320" s="21" t="s">
        <v>1333</v>
      </c>
      <c r="G320" s="22"/>
      <c r="H320" s="23"/>
      <c r="I320" s="20"/>
      <c r="J320" s="20"/>
      <c r="K320" s="20"/>
      <c r="L320" s="20"/>
      <c r="M320" s="20"/>
      <c r="N320" s="20"/>
      <c r="O320" s="20"/>
      <c r="P320" s="24"/>
      <c r="Q320" s="56"/>
      <c r="R320" s="66"/>
    </row>
    <row r="321" spans="1:18" ht="21.75" customHeight="1">
      <c r="A321" s="25" t="s">
        <v>1334</v>
      </c>
      <c r="B321" s="25" t="s">
        <v>1335</v>
      </c>
      <c r="C321" s="49" t="str">
        <f>HYPERLINK("http://www.atberg.aha.ru/atberg/vra02.jpg")</f>
        <v>http://www.atberg.aha.ru/atberg/vra02.jpg</v>
      </c>
      <c r="D321" s="27"/>
      <c r="E321" s="25" t="s">
        <v>1336</v>
      </c>
      <c r="F321" s="28" t="s">
        <v>1337</v>
      </c>
      <c r="G321" s="25"/>
      <c r="H321" s="29"/>
      <c r="I321" s="30" t="s">
        <v>24</v>
      </c>
      <c r="J321" s="30">
        <v>2.65</v>
      </c>
      <c r="K321" s="25" t="s">
        <v>1321</v>
      </c>
      <c r="L321" s="31" t="s">
        <v>1338</v>
      </c>
      <c r="M321" s="25" t="s">
        <v>27</v>
      </c>
      <c r="N321" s="32" t="s">
        <v>1339</v>
      </c>
      <c r="O321" s="32" t="s">
        <v>1324</v>
      </c>
      <c r="P321" s="51">
        <v>56.833333333333336</v>
      </c>
      <c r="Q321" s="57">
        <v>9785971103202</v>
      </c>
      <c r="R321" s="66">
        <v>0.053</v>
      </c>
    </row>
    <row r="322" spans="1:18" ht="21.75" customHeight="1">
      <c r="A322" s="25" t="s">
        <v>1340</v>
      </c>
      <c r="B322" s="25" t="s">
        <v>1341</v>
      </c>
      <c r="C322" s="49" t="str">
        <f>HYPERLINK("http://www.atberg.aha.ru/atberg/vra01.jpg")</f>
        <v>http://www.atberg.aha.ru/atberg/vra01.jpg</v>
      </c>
      <c r="D322" s="27"/>
      <c r="E322" s="25" t="s">
        <v>1342</v>
      </c>
      <c r="F322" s="28" t="s">
        <v>1343</v>
      </c>
      <c r="G322" s="25"/>
      <c r="H322" s="29"/>
      <c r="I322" s="30" t="s">
        <v>24</v>
      </c>
      <c r="J322" s="30">
        <v>2.65</v>
      </c>
      <c r="K322" s="25" t="s">
        <v>1321</v>
      </c>
      <c r="L322" s="31" t="s">
        <v>1338</v>
      </c>
      <c r="M322" s="25" t="s">
        <v>27</v>
      </c>
      <c r="N322" s="32" t="s">
        <v>1339</v>
      </c>
      <c r="O322" s="32" t="s">
        <v>1324</v>
      </c>
      <c r="P322" s="51">
        <v>56.833333333333336</v>
      </c>
      <c r="Q322" s="57">
        <v>9785971103189</v>
      </c>
      <c r="R322" s="66">
        <v>0.053</v>
      </c>
    </row>
    <row r="323" spans="1:18" ht="21.75" customHeight="1">
      <c r="A323" s="25" t="s">
        <v>1344</v>
      </c>
      <c r="B323" s="25" t="s">
        <v>1345</v>
      </c>
      <c r="C323" s="49" t="str">
        <f>HYPERLINK("http://atberg.aha.ru/atberg/vra11.jpg")</f>
        <v>http://atberg.aha.ru/atberg/vra11.jpg</v>
      </c>
      <c r="D323" s="27"/>
      <c r="E323" s="25" t="s">
        <v>1346</v>
      </c>
      <c r="F323" s="28" t="s">
        <v>1347</v>
      </c>
      <c r="G323" s="25"/>
      <c r="H323" s="29"/>
      <c r="I323" s="30" t="s">
        <v>24</v>
      </c>
      <c r="J323" s="30">
        <v>2.65</v>
      </c>
      <c r="K323" s="25" t="s">
        <v>1321</v>
      </c>
      <c r="L323" s="31" t="s">
        <v>1338</v>
      </c>
      <c r="M323" s="25" t="s">
        <v>27</v>
      </c>
      <c r="N323" s="32" t="s">
        <v>1339</v>
      </c>
      <c r="O323" s="32" t="s">
        <v>1324</v>
      </c>
      <c r="P323" s="51">
        <v>56.833333333333336</v>
      </c>
      <c r="Q323" s="57">
        <v>9785971104759</v>
      </c>
      <c r="R323" s="66">
        <v>0.053</v>
      </c>
    </row>
    <row r="324" spans="1:18" ht="21.75" customHeight="1">
      <c r="A324" s="25" t="s">
        <v>1348</v>
      </c>
      <c r="B324" s="25" t="s">
        <v>1349</v>
      </c>
      <c r="C324" s="49" t="str">
        <f>HYPERLINK("http://atberg.aha.ru/atberg/vra09.jpg")</f>
        <v>http://atberg.aha.ru/atberg/vra09.jpg</v>
      </c>
      <c r="D324" s="27"/>
      <c r="E324" s="25" t="s">
        <v>1350</v>
      </c>
      <c r="F324" s="28" t="s">
        <v>1351</v>
      </c>
      <c r="G324" s="25"/>
      <c r="H324" s="29"/>
      <c r="I324" s="30" t="s">
        <v>24</v>
      </c>
      <c r="J324" s="30">
        <v>2.65</v>
      </c>
      <c r="K324" s="25" t="s">
        <v>1321</v>
      </c>
      <c r="L324" s="31" t="s">
        <v>1338</v>
      </c>
      <c r="M324" s="25" t="s">
        <v>27</v>
      </c>
      <c r="N324" s="32" t="s">
        <v>1339</v>
      </c>
      <c r="O324" s="32" t="s">
        <v>1324</v>
      </c>
      <c r="P324" s="51">
        <v>56.833333333333336</v>
      </c>
      <c r="Q324" s="57">
        <v>9785971104766</v>
      </c>
      <c r="R324" s="66">
        <v>0.053</v>
      </c>
    </row>
    <row r="325" spans="1:18" ht="21.75" customHeight="1">
      <c r="A325" s="25" t="s">
        <v>1352</v>
      </c>
      <c r="B325" s="25" t="s">
        <v>1353</v>
      </c>
      <c r="C325" s="49" t="str">
        <f>HYPERLINK("http://www.atberg.aha.ru/atberg/vra08.jpg")</f>
        <v>http://www.atberg.aha.ru/atberg/vra08.jpg</v>
      </c>
      <c r="D325" s="27"/>
      <c r="E325" s="25" t="s">
        <v>1354</v>
      </c>
      <c r="F325" s="28" t="s">
        <v>1355</v>
      </c>
      <c r="G325" s="25"/>
      <c r="H325" s="29"/>
      <c r="I325" s="30" t="s">
        <v>24</v>
      </c>
      <c r="J325" s="30">
        <v>2.65</v>
      </c>
      <c r="K325" s="25" t="s">
        <v>1321</v>
      </c>
      <c r="L325" s="31" t="s">
        <v>1338</v>
      </c>
      <c r="M325" s="25" t="s">
        <v>27</v>
      </c>
      <c r="N325" s="32" t="s">
        <v>1339</v>
      </c>
      <c r="O325" s="32" t="s">
        <v>1324</v>
      </c>
      <c r="P325" s="51">
        <v>56.833333333333336</v>
      </c>
      <c r="Q325" s="57">
        <v>9785971103554</v>
      </c>
      <c r="R325" s="66">
        <v>0.053</v>
      </c>
    </row>
    <row r="326" spans="1:18" ht="21.75" customHeight="1">
      <c r="A326" s="25" t="s">
        <v>1356</v>
      </c>
      <c r="B326" s="25" t="s">
        <v>1357</v>
      </c>
      <c r="C326" s="49" t="str">
        <f>HYPERLINK("http://www.atberg.aha.ru/atberg/vra07.jpg")</f>
        <v>http://www.atberg.aha.ru/atberg/vra07.jpg</v>
      </c>
      <c r="D326" s="27"/>
      <c r="E326" s="25" t="s">
        <v>1358</v>
      </c>
      <c r="F326" s="28" t="s">
        <v>1359</v>
      </c>
      <c r="G326" s="25"/>
      <c r="H326" s="29"/>
      <c r="I326" s="30" t="s">
        <v>24</v>
      </c>
      <c r="J326" s="30">
        <v>2.65</v>
      </c>
      <c r="K326" s="25" t="s">
        <v>1321</v>
      </c>
      <c r="L326" s="31" t="s">
        <v>1338</v>
      </c>
      <c r="M326" s="25" t="s">
        <v>27</v>
      </c>
      <c r="N326" s="32" t="s">
        <v>1339</v>
      </c>
      <c r="O326" s="32" t="s">
        <v>1324</v>
      </c>
      <c r="P326" s="51">
        <v>56.833333333333336</v>
      </c>
      <c r="Q326" s="57">
        <v>9785971103547</v>
      </c>
      <c r="R326" s="66">
        <v>0.053</v>
      </c>
    </row>
    <row r="327" spans="1:18" ht="21.75" customHeight="1">
      <c r="A327" s="25" t="s">
        <v>1360</v>
      </c>
      <c r="B327" s="25" t="s">
        <v>1361</v>
      </c>
      <c r="C327" s="49" t="str">
        <f>HYPERLINK("http://atberg.aha.ru/atberg/vra12.jpg")</f>
        <v>http://atberg.aha.ru/atberg/vra12.jpg</v>
      </c>
      <c r="D327" s="27"/>
      <c r="E327" s="25" t="s">
        <v>1362</v>
      </c>
      <c r="F327" s="28" t="s">
        <v>1363</v>
      </c>
      <c r="G327" s="25"/>
      <c r="H327" s="29"/>
      <c r="I327" s="30" t="s">
        <v>24</v>
      </c>
      <c r="J327" s="30">
        <v>2.65</v>
      </c>
      <c r="K327" s="25" t="s">
        <v>1321</v>
      </c>
      <c r="L327" s="31" t="s">
        <v>1338</v>
      </c>
      <c r="M327" s="25" t="s">
        <v>27</v>
      </c>
      <c r="N327" s="32" t="s">
        <v>1339</v>
      </c>
      <c r="O327" s="32" t="s">
        <v>1324</v>
      </c>
      <c r="P327" s="51">
        <v>56.833333333333336</v>
      </c>
      <c r="Q327" s="57">
        <v>9785971104735</v>
      </c>
      <c r="R327" s="66">
        <v>0.053</v>
      </c>
    </row>
    <row r="328" spans="1:18" ht="21.75" customHeight="1">
      <c r="A328" s="25" t="s">
        <v>1364</v>
      </c>
      <c r="B328" s="25" t="s">
        <v>1365</v>
      </c>
      <c r="C328" s="49" t="str">
        <f>HYPERLINK("http://www.atberg.aha.ru/atberg/vra04.jpg")</f>
        <v>http://www.atberg.aha.ru/atberg/vra04.jpg</v>
      </c>
      <c r="D328" s="27"/>
      <c r="E328" s="25" t="s">
        <v>1366</v>
      </c>
      <c r="F328" s="28" t="s">
        <v>1367</v>
      </c>
      <c r="G328" s="25"/>
      <c r="H328" s="29"/>
      <c r="I328" s="30" t="s">
        <v>24</v>
      </c>
      <c r="J328" s="30">
        <v>2.65</v>
      </c>
      <c r="K328" s="25" t="s">
        <v>1321</v>
      </c>
      <c r="L328" s="31" t="s">
        <v>1338</v>
      </c>
      <c r="M328" s="25" t="s">
        <v>27</v>
      </c>
      <c r="N328" s="32" t="s">
        <v>1339</v>
      </c>
      <c r="O328" s="32" t="s">
        <v>1324</v>
      </c>
      <c r="P328" s="51">
        <v>56.833333333333336</v>
      </c>
      <c r="Q328" s="57">
        <v>9785971103219</v>
      </c>
      <c r="R328" s="66">
        <v>0.053</v>
      </c>
    </row>
    <row r="329" spans="1:18" ht="21.75" customHeight="1">
      <c r="A329" s="25" t="s">
        <v>1368</v>
      </c>
      <c r="B329" s="25" t="s">
        <v>1369</v>
      </c>
      <c r="C329" s="49" t="str">
        <f>HYPERLINK("http://atberg.aha.ru/atberg/vra10.jpg")</f>
        <v>http://atberg.aha.ru/atberg/vra10.jpg</v>
      </c>
      <c r="D329" s="27"/>
      <c r="E329" s="25" t="s">
        <v>1370</v>
      </c>
      <c r="F329" s="28" t="s">
        <v>1371</v>
      </c>
      <c r="G329" s="25"/>
      <c r="H329" s="29"/>
      <c r="I329" s="30" t="s">
        <v>24</v>
      </c>
      <c r="J329" s="30">
        <v>2.65</v>
      </c>
      <c r="K329" s="25" t="s">
        <v>1321</v>
      </c>
      <c r="L329" s="31" t="s">
        <v>1338</v>
      </c>
      <c r="M329" s="25" t="s">
        <v>27</v>
      </c>
      <c r="N329" s="32" t="s">
        <v>1339</v>
      </c>
      <c r="O329" s="32" t="s">
        <v>1324</v>
      </c>
      <c r="P329" s="51">
        <v>56.833333333333336</v>
      </c>
      <c r="Q329" s="57">
        <v>9785971104742</v>
      </c>
      <c r="R329" s="66">
        <v>0.053</v>
      </c>
    </row>
    <row r="330" spans="1:18" ht="21.75" customHeight="1" thickBot="1">
      <c r="A330" s="25" t="s">
        <v>1372</v>
      </c>
      <c r="B330" s="25" t="s">
        <v>1373</v>
      </c>
      <c r="C330" s="49" t="str">
        <f>HYPERLINK("http://www.atberg.aha.ru/atberg/vra03.jpg")</f>
        <v>http://www.atberg.aha.ru/atberg/vra03.jpg</v>
      </c>
      <c r="D330" s="27"/>
      <c r="E330" s="25" t="s">
        <v>1374</v>
      </c>
      <c r="F330" s="28" t="s">
        <v>1375</v>
      </c>
      <c r="G330" s="25"/>
      <c r="H330" s="29"/>
      <c r="I330" s="30" t="s">
        <v>24</v>
      </c>
      <c r="J330" s="30">
        <v>2.65</v>
      </c>
      <c r="K330" s="25" t="s">
        <v>1321</v>
      </c>
      <c r="L330" s="31" t="s">
        <v>1338</v>
      </c>
      <c r="M330" s="25" t="s">
        <v>27</v>
      </c>
      <c r="N330" s="32" t="s">
        <v>1339</v>
      </c>
      <c r="O330" s="32" t="s">
        <v>1324</v>
      </c>
      <c r="P330" s="51">
        <v>56.833333333333336</v>
      </c>
      <c r="Q330" s="57">
        <v>9785971103196</v>
      </c>
      <c r="R330" s="66">
        <v>0.053</v>
      </c>
    </row>
    <row r="331" spans="1:18" ht="12.75" customHeight="1">
      <c r="A331" s="18"/>
      <c r="B331" s="18"/>
      <c r="C331" s="18"/>
      <c r="D331" s="19"/>
      <c r="E331" s="20"/>
      <c r="F331" s="21" t="s">
        <v>1376</v>
      </c>
      <c r="G331" s="22"/>
      <c r="H331" s="23"/>
      <c r="I331" s="20"/>
      <c r="J331" s="20"/>
      <c r="K331" s="20"/>
      <c r="L331" s="20"/>
      <c r="M331" s="20"/>
      <c r="N331" s="20"/>
      <c r="O331" s="20"/>
      <c r="P331" s="24"/>
      <c r="Q331" s="56"/>
      <c r="R331" s="66"/>
    </row>
    <row r="332" spans="1:18" ht="21.75" customHeight="1">
      <c r="A332" s="25" t="s">
        <v>1377</v>
      </c>
      <c r="B332" s="25" t="s">
        <v>1378</v>
      </c>
      <c r="C332" s="49" t="str">
        <f>HYPERLINK("http://atberg.aha.ru/raskr/rv18.gif")</f>
        <v>http://atberg.aha.ru/raskr/rv18.gif</v>
      </c>
      <c r="D332" s="27"/>
      <c r="E332" s="25" t="s">
        <v>1379</v>
      </c>
      <c r="F332" s="28" t="s">
        <v>1380</v>
      </c>
      <c r="G332" s="25"/>
      <c r="H332" s="29"/>
      <c r="I332" s="30" t="s">
        <v>24</v>
      </c>
      <c r="J332" s="30">
        <v>1.83</v>
      </c>
      <c r="K332" s="25" t="s">
        <v>1381</v>
      </c>
      <c r="L332" s="31" t="s">
        <v>1382</v>
      </c>
      <c r="M332" s="25" t="s">
        <v>1027</v>
      </c>
      <c r="N332" s="32" t="s">
        <v>1383</v>
      </c>
      <c r="O332" s="32" t="s">
        <v>1324</v>
      </c>
      <c r="P332" s="51">
        <v>49.5</v>
      </c>
      <c r="Q332" s="57">
        <v>9785971104544</v>
      </c>
      <c r="R332" s="66">
        <v>0.0366</v>
      </c>
    </row>
    <row r="333" spans="1:18" ht="32.25" customHeight="1">
      <c r="A333" s="25" t="s">
        <v>1384</v>
      </c>
      <c r="B333" s="25" t="s">
        <v>1385</v>
      </c>
      <c r="C333" s="49" t="str">
        <f>HYPERLINK("http://www.atberg.aha.ru/raskr/rkvodveselyezagadki.gif")</f>
        <v>http://www.atberg.aha.ru/raskr/rkvodveselyezagadki.gif</v>
      </c>
      <c r="D333" s="27"/>
      <c r="E333" s="25" t="s">
        <v>1386</v>
      </c>
      <c r="F333" s="28" t="s">
        <v>1387</v>
      </c>
      <c r="G333" s="25"/>
      <c r="H333" s="29"/>
      <c r="I333" s="30" t="s">
        <v>24</v>
      </c>
      <c r="J333" s="30">
        <v>1.83</v>
      </c>
      <c r="K333" s="25" t="s">
        <v>1072</v>
      </c>
      <c r="L333" s="31" t="s">
        <v>1382</v>
      </c>
      <c r="M333" s="25" t="s">
        <v>1027</v>
      </c>
      <c r="N333" s="32" t="s">
        <v>1300</v>
      </c>
      <c r="O333" s="32" t="s">
        <v>1324</v>
      </c>
      <c r="P333" s="51">
        <v>49.5</v>
      </c>
      <c r="Q333" s="57">
        <v>9785971104988</v>
      </c>
      <c r="R333" s="66">
        <v>0.0366</v>
      </c>
    </row>
    <row r="334" spans="1:18" ht="21.75" customHeight="1">
      <c r="A334" s="25" t="s">
        <v>1388</v>
      </c>
      <c r="B334" s="25" t="s">
        <v>1389</v>
      </c>
      <c r="C334" s="49" t="str">
        <f>HYPERLINK("http://www.atberg.aha.ru/raskr/vkr02.gif")</f>
        <v>http://www.atberg.aha.ru/raskr/vkr02.gif</v>
      </c>
      <c r="D334" s="27"/>
      <c r="E334" s="25" t="s">
        <v>1390</v>
      </c>
      <c r="F334" s="28" t="s">
        <v>1391</v>
      </c>
      <c r="G334" s="25"/>
      <c r="H334" s="29"/>
      <c r="I334" s="30" t="s">
        <v>24</v>
      </c>
      <c r="J334" s="30">
        <v>1.83</v>
      </c>
      <c r="K334" s="25" t="s">
        <v>1381</v>
      </c>
      <c r="L334" s="31" t="s">
        <v>1382</v>
      </c>
      <c r="M334" s="25" t="s">
        <v>1027</v>
      </c>
      <c r="N334" s="32" t="s">
        <v>1383</v>
      </c>
      <c r="O334" s="32" t="s">
        <v>1324</v>
      </c>
      <c r="P334" s="51">
        <v>49.5</v>
      </c>
      <c r="Q334" s="57">
        <v>9785971104698</v>
      </c>
      <c r="R334" s="66">
        <v>0.0366</v>
      </c>
    </row>
    <row r="335" spans="1:18" ht="21.75" customHeight="1">
      <c r="A335" s="25" t="s">
        <v>1392</v>
      </c>
      <c r="B335" s="25" t="s">
        <v>1393</v>
      </c>
      <c r="C335" s="49" t="str">
        <f>HYPERLINK("http://www.atberg.aha.ru/raskr/rv20.gif")</f>
        <v>http://www.atberg.aha.ru/raskr/rv20.gif</v>
      </c>
      <c r="D335" s="27"/>
      <c r="E335" s="25" t="s">
        <v>1394</v>
      </c>
      <c r="F335" s="28" t="s">
        <v>1395</v>
      </c>
      <c r="G335" s="25"/>
      <c r="H335" s="29"/>
      <c r="I335" s="30" t="s">
        <v>24</v>
      </c>
      <c r="J335" s="30">
        <v>1.83</v>
      </c>
      <c r="K335" s="25" t="s">
        <v>1381</v>
      </c>
      <c r="L335" s="31" t="s">
        <v>1382</v>
      </c>
      <c r="M335" s="25" t="s">
        <v>1027</v>
      </c>
      <c r="N335" s="32" t="s">
        <v>1383</v>
      </c>
      <c r="O335" s="32" t="s">
        <v>1324</v>
      </c>
      <c r="P335" s="51">
        <v>49.5</v>
      </c>
      <c r="Q335" s="57">
        <v>9785971104704</v>
      </c>
      <c r="R335" s="66">
        <v>0.0366</v>
      </c>
    </row>
    <row r="336" spans="1:18" ht="21.75" customHeight="1">
      <c r="A336" s="25" t="s">
        <v>1396</v>
      </c>
      <c r="B336" s="25" t="s">
        <v>1397</v>
      </c>
      <c r="C336" s="49" t="str">
        <f>HYPERLINK("http://www.atberg.aha.ru/raskr/rv17.gif")</f>
        <v>http://www.atberg.aha.ru/raskr/rv17.gif</v>
      </c>
      <c r="D336" s="27"/>
      <c r="E336" s="25" t="s">
        <v>1398</v>
      </c>
      <c r="F336" s="28" t="s">
        <v>1399</v>
      </c>
      <c r="G336" s="25"/>
      <c r="H336" s="29"/>
      <c r="I336" s="30" t="s">
        <v>24</v>
      </c>
      <c r="J336" s="30">
        <v>1.83</v>
      </c>
      <c r="K336" s="25" t="s">
        <v>1381</v>
      </c>
      <c r="L336" s="31" t="s">
        <v>1382</v>
      </c>
      <c r="M336" s="25" t="s">
        <v>1027</v>
      </c>
      <c r="N336" s="32" t="s">
        <v>1383</v>
      </c>
      <c r="O336" s="32" t="s">
        <v>1324</v>
      </c>
      <c r="P336" s="51">
        <v>49.5</v>
      </c>
      <c r="Q336" s="57">
        <v>9785971104728</v>
      </c>
      <c r="R336" s="66">
        <v>0.0366</v>
      </c>
    </row>
    <row r="337" spans="1:18" ht="21.75" customHeight="1">
      <c r="A337" s="25" t="s">
        <v>1400</v>
      </c>
      <c r="B337" s="25" t="s">
        <v>1401</v>
      </c>
      <c r="C337" s="49" t="str">
        <f>HYPERLINK("http://www.atberg.aha.ru/raskr/vkr08.gif")</f>
        <v>http://www.atberg.aha.ru/raskr/vkr08.gif</v>
      </c>
      <c r="D337" s="27"/>
      <c r="E337" s="25" t="s">
        <v>1402</v>
      </c>
      <c r="F337" s="28" t="s">
        <v>1403</v>
      </c>
      <c r="G337" s="25"/>
      <c r="H337" s="29"/>
      <c r="I337" s="30" t="s">
        <v>24</v>
      </c>
      <c r="J337" s="30">
        <v>2.65</v>
      </c>
      <c r="K337" s="25" t="s">
        <v>1072</v>
      </c>
      <c r="L337" s="31" t="s">
        <v>1382</v>
      </c>
      <c r="M337" s="25" t="s">
        <v>1027</v>
      </c>
      <c r="N337" s="32" t="s">
        <v>1300</v>
      </c>
      <c r="O337" s="32" t="s">
        <v>1324</v>
      </c>
      <c r="P337" s="51">
        <v>49.5</v>
      </c>
      <c r="Q337" s="57">
        <v>9785971107781</v>
      </c>
      <c r="R337" s="66">
        <v>0.053</v>
      </c>
    </row>
    <row r="338" spans="1:18" ht="21.75" customHeight="1">
      <c r="A338" s="25" t="s">
        <v>1404</v>
      </c>
      <c r="B338" s="25" t="s">
        <v>1405</v>
      </c>
      <c r="C338" s="49" t="str">
        <f>HYPERLINK("http://www.atberg.aha.ru/raskr/rv19.gif")</f>
        <v>http://www.atberg.aha.ru/raskr/rv19.gif</v>
      </c>
      <c r="D338" s="27"/>
      <c r="E338" s="25" t="s">
        <v>1406</v>
      </c>
      <c r="F338" s="28" t="s">
        <v>1407</v>
      </c>
      <c r="G338" s="25"/>
      <c r="H338" s="29"/>
      <c r="I338" s="30" t="s">
        <v>24</v>
      </c>
      <c r="J338" s="30">
        <v>1.83</v>
      </c>
      <c r="K338" s="25" t="s">
        <v>1381</v>
      </c>
      <c r="L338" s="31" t="s">
        <v>1382</v>
      </c>
      <c r="M338" s="25" t="s">
        <v>1027</v>
      </c>
      <c r="N338" s="32" t="s">
        <v>1300</v>
      </c>
      <c r="O338" s="32" t="s">
        <v>1324</v>
      </c>
      <c r="P338" s="51">
        <v>49.5</v>
      </c>
      <c r="Q338" s="57">
        <v>9785971101079</v>
      </c>
      <c r="R338" s="66">
        <v>0.0366</v>
      </c>
    </row>
    <row r="339" spans="1:18" ht="21.75" customHeight="1">
      <c r="A339" s="25" t="s">
        <v>1408</v>
      </c>
      <c r="B339" s="25" t="s">
        <v>1409</v>
      </c>
      <c r="C339" s="49" t="str">
        <f>HYPERLINK("http://www.atberg.aha.ru/raskr/vkr09.gif")</f>
        <v>http://www.atberg.aha.ru/raskr/vkr09.gif</v>
      </c>
      <c r="D339" s="27"/>
      <c r="E339" s="25" t="s">
        <v>1410</v>
      </c>
      <c r="F339" s="28" t="s">
        <v>1411</v>
      </c>
      <c r="G339" s="25"/>
      <c r="H339" s="29"/>
      <c r="I339" s="30" t="s">
        <v>24</v>
      </c>
      <c r="J339" s="30">
        <v>1.83</v>
      </c>
      <c r="K339" s="25" t="s">
        <v>1072</v>
      </c>
      <c r="L339" s="31" t="s">
        <v>1382</v>
      </c>
      <c r="M339" s="25" t="s">
        <v>1027</v>
      </c>
      <c r="N339" s="32" t="s">
        <v>1300</v>
      </c>
      <c r="O339" s="32" t="s">
        <v>1324</v>
      </c>
      <c r="P339" s="51">
        <v>49.5</v>
      </c>
      <c r="Q339" s="57">
        <v>9785971107798</v>
      </c>
      <c r="R339" s="66">
        <v>0.0366</v>
      </c>
    </row>
    <row r="340" spans="1:18" ht="21.75" customHeight="1" thickBot="1">
      <c r="A340" s="25" t="s">
        <v>1412</v>
      </c>
      <c r="B340" s="25" t="s">
        <v>1413</v>
      </c>
      <c r="C340" s="49" t="str">
        <f>HYPERLINK("http://www.atberg.aha.ru/raskr/vkr07.gif")</f>
        <v>http://www.atberg.aha.ru/raskr/vkr07.gif</v>
      </c>
      <c r="D340" s="27"/>
      <c r="E340" s="25" t="s">
        <v>1414</v>
      </c>
      <c r="F340" s="28" t="s">
        <v>1415</v>
      </c>
      <c r="G340" s="25"/>
      <c r="H340" s="29"/>
      <c r="I340" s="30" t="s">
        <v>24</v>
      </c>
      <c r="J340" s="30">
        <v>1.83</v>
      </c>
      <c r="K340" s="25" t="s">
        <v>1381</v>
      </c>
      <c r="L340" s="31" t="s">
        <v>1382</v>
      </c>
      <c r="M340" s="25" t="s">
        <v>1027</v>
      </c>
      <c r="N340" s="32" t="s">
        <v>1383</v>
      </c>
      <c r="O340" s="32" t="s">
        <v>1324</v>
      </c>
      <c r="P340" s="51">
        <v>49.5</v>
      </c>
      <c r="Q340" s="57">
        <v>9785971105008</v>
      </c>
      <c r="R340" s="66">
        <v>0.0366</v>
      </c>
    </row>
    <row r="341" spans="1:18" ht="12.75" customHeight="1">
      <c r="A341" s="18"/>
      <c r="B341" s="18"/>
      <c r="C341" s="18"/>
      <c r="D341" s="19"/>
      <c r="E341" s="20"/>
      <c r="F341" s="21" t="s">
        <v>1416</v>
      </c>
      <c r="G341" s="22"/>
      <c r="H341" s="23"/>
      <c r="I341" s="20"/>
      <c r="J341" s="20"/>
      <c r="K341" s="20"/>
      <c r="L341" s="20"/>
      <c r="M341" s="20"/>
      <c r="N341" s="20"/>
      <c r="O341" s="20"/>
      <c r="P341" s="24"/>
      <c r="Q341" s="56"/>
      <c r="R341" s="66"/>
    </row>
    <row r="342" spans="1:18" ht="21.75" customHeight="1">
      <c r="A342" s="25" t="s">
        <v>1417</v>
      </c>
      <c r="B342" s="25" t="s">
        <v>1418</v>
      </c>
      <c r="C342" s="49" t="str">
        <f>HYPERLINK("http://atberg.aha.ru/raskr/rv3-41.jpg")</f>
        <v>http://atberg.aha.ru/raskr/rv3-41.jpg</v>
      </c>
      <c r="D342" s="27"/>
      <c r="E342" s="25" t="s">
        <v>1419</v>
      </c>
      <c r="F342" s="28" t="s">
        <v>1420</v>
      </c>
      <c r="G342" s="25"/>
      <c r="H342" s="29"/>
      <c r="I342" s="30" t="s">
        <v>24</v>
      </c>
      <c r="J342" s="30">
        <v>2.048</v>
      </c>
      <c r="K342" s="25" t="s">
        <v>1321</v>
      </c>
      <c r="L342" s="31" t="s">
        <v>1382</v>
      </c>
      <c r="M342" s="25" t="s">
        <v>1027</v>
      </c>
      <c r="N342" s="32" t="s">
        <v>1300</v>
      </c>
      <c r="O342" s="32" t="s">
        <v>1324</v>
      </c>
      <c r="P342" s="51">
        <v>49.5</v>
      </c>
      <c r="Q342" s="57">
        <v>9785971108337</v>
      </c>
      <c r="R342" s="66">
        <v>0.04096</v>
      </c>
    </row>
    <row r="343" spans="1:18" ht="21.75" customHeight="1">
      <c r="A343" s="25" t="s">
        <v>1421</v>
      </c>
      <c r="B343" s="25" t="s">
        <v>1422</v>
      </c>
      <c r="C343" s="49" t="str">
        <f>HYPERLINK("http://atberg.aha.ru/raskr/rv3-36.jpg")</f>
        <v>http://atberg.aha.ru/raskr/rv3-36.jpg</v>
      </c>
      <c r="D343" s="27"/>
      <c r="E343" s="25" t="s">
        <v>1423</v>
      </c>
      <c r="F343" s="28" t="s">
        <v>1424</v>
      </c>
      <c r="G343" s="25"/>
      <c r="H343" s="29"/>
      <c r="I343" s="30" t="s">
        <v>24</v>
      </c>
      <c r="J343" s="30">
        <v>1.9</v>
      </c>
      <c r="K343" s="25" t="s">
        <v>1321</v>
      </c>
      <c r="L343" s="31" t="s">
        <v>1382</v>
      </c>
      <c r="M343" s="25" t="s">
        <v>1027</v>
      </c>
      <c r="N343" s="32" t="s">
        <v>1300</v>
      </c>
      <c r="O343" s="32" t="s">
        <v>1324</v>
      </c>
      <c r="P343" s="51">
        <v>49.5</v>
      </c>
      <c r="Q343" s="57">
        <v>9785971105084</v>
      </c>
      <c r="R343" s="66">
        <v>0.038</v>
      </c>
    </row>
    <row r="344" spans="1:18" ht="21.75" customHeight="1">
      <c r="A344" s="25" t="s">
        <v>1425</v>
      </c>
      <c r="B344" s="25" t="s">
        <v>1426</v>
      </c>
      <c r="C344" s="49" t="str">
        <f>HYPERLINK("http://atberg.aha.ru/raskr/rv3-48.jpg")</f>
        <v>http://atberg.aha.ru/raskr/rv3-48.jpg</v>
      </c>
      <c r="D344" s="27"/>
      <c r="E344" s="25" t="s">
        <v>1427</v>
      </c>
      <c r="F344" s="28" t="s">
        <v>1428</v>
      </c>
      <c r="G344" s="25"/>
      <c r="H344" s="29"/>
      <c r="I344" s="30" t="s">
        <v>24</v>
      </c>
      <c r="J344" s="30">
        <v>1.9</v>
      </c>
      <c r="K344" s="25" t="s">
        <v>1321</v>
      </c>
      <c r="L344" s="31" t="s">
        <v>1382</v>
      </c>
      <c r="M344" s="25" t="s">
        <v>1027</v>
      </c>
      <c r="N344" s="32" t="s">
        <v>1300</v>
      </c>
      <c r="O344" s="32" t="s">
        <v>1324</v>
      </c>
      <c r="P344" s="51">
        <v>49.5</v>
      </c>
      <c r="Q344" s="57">
        <v>9785971108344</v>
      </c>
      <c r="R344" s="66">
        <v>0.038</v>
      </c>
    </row>
    <row r="345" spans="1:18" ht="21.75" customHeight="1">
      <c r="A345" s="25" t="s">
        <v>1429</v>
      </c>
      <c r="B345" s="25" t="s">
        <v>1430</v>
      </c>
      <c r="C345" s="49" t="str">
        <f>HYPERLINK("http://www.atberg.aha.ru/raskr/rv3-01.jpg")</f>
        <v>http://www.atberg.aha.ru/raskr/rv3-01.jpg</v>
      </c>
      <c r="D345" s="27"/>
      <c r="E345" s="25" t="s">
        <v>1431</v>
      </c>
      <c r="F345" s="28" t="s">
        <v>1032</v>
      </c>
      <c r="G345" s="25"/>
      <c r="H345" s="29"/>
      <c r="I345" s="30" t="s">
        <v>24</v>
      </c>
      <c r="J345" s="30">
        <v>1.9</v>
      </c>
      <c r="K345" s="25" t="s">
        <v>1321</v>
      </c>
      <c r="L345" s="31" t="s">
        <v>1382</v>
      </c>
      <c r="M345" s="25" t="s">
        <v>1027</v>
      </c>
      <c r="N345" s="32" t="s">
        <v>1300</v>
      </c>
      <c r="O345" s="32" t="s">
        <v>1324</v>
      </c>
      <c r="P345" s="51">
        <v>49.5</v>
      </c>
      <c r="Q345" s="57">
        <v>9785971103660</v>
      </c>
      <c r="R345" s="66">
        <v>0.038</v>
      </c>
    </row>
    <row r="346" spans="1:18" ht="21.75" customHeight="1">
      <c r="A346" s="25" t="s">
        <v>1432</v>
      </c>
      <c r="B346" s="25" t="s">
        <v>1433</v>
      </c>
      <c r="C346" s="49" t="str">
        <f>HYPERLINK("http://www.atberg.aha.ru/raskr/rv3-18.jpg")</f>
        <v>http://www.atberg.aha.ru/raskr/rv3-18.jpg</v>
      </c>
      <c r="D346" s="27"/>
      <c r="E346" s="25" t="s">
        <v>1434</v>
      </c>
      <c r="F346" s="28" t="s">
        <v>37</v>
      </c>
      <c r="G346" s="25"/>
      <c r="H346" s="29"/>
      <c r="I346" s="30" t="s">
        <v>24</v>
      </c>
      <c r="J346" s="30">
        <v>1.9</v>
      </c>
      <c r="K346" s="25" t="s">
        <v>1321</v>
      </c>
      <c r="L346" s="31" t="s">
        <v>1382</v>
      </c>
      <c r="M346" s="25" t="s">
        <v>1027</v>
      </c>
      <c r="N346" s="32" t="s">
        <v>1300</v>
      </c>
      <c r="O346" s="32" t="s">
        <v>1324</v>
      </c>
      <c r="P346" s="51">
        <v>49.5</v>
      </c>
      <c r="Q346" s="57">
        <v>9785971103592</v>
      </c>
      <c r="R346" s="66">
        <v>0.038</v>
      </c>
    </row>
    <row r="347" spans="1:18" ht="21.75" customHeight="1">
      <c r="A347" s="25" t="s">
        <v>1435</v>
      </c>
      <c r="B347" s="25" t="s">
        <v>1436</v>
      </c>
      <c r="C347" s="49" t="str">
        <f>HYPERLINK("http://atberg.aha.ru/raskr/rv3-42.jpg")</f>
        <v>http://atberg.aha.ru/raskr/rv3-42.jpg</v>
      </c>
      <c r="D347" s="27"/>
      <c r="E347" s="25" t="s">
        <v>1437</v>
      </c>
      <c r="F347" s="28" t="s">
        <v>1438</v>
      </c>
      <c r="G347" s="25"/>
      <c r="H347" s="29"/>
      <c r="I347" s="30" t="s">
        <v>24</v>
      </c>
      <c r="J347" s="30">
        <v>2.048</v>
      </c>
      <c r="K347" s="25" t="s">
        <v>1321</v>
      </c>
      <c r="L347" s="31" t="s">
        <v>1382</v>
      </c>
      <c r="M347" s="25" t="s">
        <v>1027</v>
      </c>
      <c r="N347" s="32" t="s">
        <v>1300</v>
      </c>
      <c r="O347" s="32" t="s">
        <v>1324</v>
      </c>
      <c r="P347" s="51">
        <v>49.5</v>
      </c>
      <c r="Q347" s="57">
        <v>9785971108351</v>
      </c>
      <c r="R347" s="66">
        <v>0.04096</v>
      </c>
    </row>
    <row r="348" spans="1:18" ht="21.75" customHeight="1">
      <c r="A348" s="25" t="s">
        <v>1439</v>
      </c>
      <c r="B348" s="25" t="s">
        <v>1440</v>
      </c>
      <c r="C348" s="49" t="str">
        <f>HYPERLINK("http://atberg.aha.ru/raskr/rv3-44.jpg")</f>
        <v>http://atberg.aha.ru/raskr/rv3-44.jpg</v>
      </c>
      <c r="D348" s="27"/>
      <c r="E348" s="25" t="s">
        <v>1441</v>
      </c>
      <c r="F348" s="28" t="s">
        <v>1442</v>
      </c>
      <c r="G348" s="25"/>
      <c r="H348" s="29"/>
      <c r="I348" s="30" t="s">
        <v>24</v>
      </c>
      <c r="J348" s="30">
        <v>2.032</v>
      </c>
      <c r="K348" s="25" t="s">
        <v>1321</v>
      </c>
      <c r="L348" s="31" t="s">
        <v>1382</v>
      </c>
      <c r="M348" s="25" t="s">
        <v>1027</v>
      </c>
      <c r="N348" s="32" t="s">
        <v>1300</v>
      </c>
      <c r="O348" s="32" t="s">
        <v>1324</v>
      </c>
      <c r="P348" s="51">
        <v>49.5</v>
      </c>
      <c r="Q348" s="57">
        <v>9785971108368</v>
      </c>
      <c r="R348" s="66">
        <v>0.04064</v>
      </c>
    </row>
    <row r="349" spans="1:18" ht="21.75" customHeight="1">
      <c r="A349" s="25" t="s">
        <v>1443</v>
      </c>
      <c r="B349" s="25" t="s">
        <v>1444</v>
      </c>
      <c r="C349" s="49" t="str">
        <f>HYPERLINK("http://atberg.aha.ru/raskr/rv3-43.jpg")</f>
        <v>http://atberg.aha.ru/raskr/rv3-43.jpg</v>
      </c>
      <c r="D349" s="27"/>
      <c r="E349" s="25" t="s">
        <v>1445</v>
      </c>
      <c r="F349" s="28" t="s">
        <v>1446</v>
      </c>
      <c r="G349" s="25"/>
      <c r="H349" s="29"/>
      <c r="I349" s="30" t="s">
        <v>24</v>
      </c>
      <c r="J349" s="30">
        <v>2.048</v>
      </c>
      <c r="K349" s="25" t="s">
        <v>1321</v>
      </c>
      <c r="L349" s="31" t="s">
        <v>1382</v>
      </c>
      <c r="M349" s="25" t="s">
        <v>1027</v>
      </c>
      <c r="N349" s="32" t="s">
        <v>1300</v>
      </c>
      <c r="O349" s="32" t="s">
        <v>1324</v>
      </c>
      <c r="P349" s="51">
        <v>49.5</v>
      </c>
      <c r="Q349" s="57">
        <v>9785971108375</v>
      </c>
      <c r="R349" s="66">
        <v>0.04096</v>
      </c>
    </row>
    <row r="350" spans="1:18" ht="21.75" customHeight="1">
      <c r="A350" s="25" t="s">
        <v>1447</v>
      </c>
      <c r="B350" s="25" t="s">
        <v>1448</v>
      </c>
      <c r="C350" s="49" t="str">
        <f>HYPERLINK("http://www.atberg.aha.ru/raskr/rv3-02.jpg")</f>
        <v>http://www.atberg.aha.ru/raskr/rv3-02.jpg</v>
      </c>
      <c r="D350" s="27"/>
      <c r="E350" s="25" t="s">
        <v>1449</v>
      </c>
      <c r="F350" s="28" t="s">
        <v>1052</v>
      </c>
      <c r="G350" s="25"/>
      <c r="H350" s="29"/>
      <c r="I350" s="30" t="s">
        <v>24</v>
      </c>
      <c r="J350" s="30">
        <v>1.9</v>
      </c>
      <c r="K350" s="25" t="s">
        <v>1321</v>
      </c>
      <c r="L350" s="31" t="s">
        <v>1382</v>
      </c>
      <c r="M350" s="25" t="s">
        <v>1027</v>
      </c>
      <c r="N350" s="32" t="s">
        <v>1300</v>
      </c>
      <c r="O350" s="32" t="s">
        <v>1324</v>
      </c>
      <c r="P350" s="51">
        <v>49.5</v>
      </c>
      <c r="Q350" s="57">
        <v>9785971103653</v>
      </c>
      <c r="R350" s="66">
        <v>0.038</v>
      </c>
    </row>
    <row r="351" spans="1:18" ht="21.75" customHeight="1">
      <c r="A351" s="25" t="s">
        <v>1450</v>
      </c>
      <c r="B351" s="25" t="s">
        <v>1451</v>
      </c>
      <c r="C351" s="49" t="str">
        <f>HYPERLINK("http://atberg.aha.ru/raskr/rv3-45.jpg")</f>
        <v>http://atberg.aha.ru/raskr/rv3-45.jpg</v>
      </c>
      <c r="D351" s="27"/>
      <c r="E351" s="25" t="s">
        <v>1452</v>
      </c>
      <c r="F351" s="28" t="s">
        <v>1453</v>
      </c>
      <c r="G351" s="25"/>
      <c r="H351" s="29"/>
      <c r="I351" s="30" t="s">
        <v>24</v>
      </c>
      <c r="J351" s="30">
        <v>1.9</v>
      </c>
      <c r="K351" s="25" t="s">
        <v>1321</v>
      </c>
      <c r="L351" s="31" t="s">
        <v>1382</v>
      </c>
      <c r="M351" s="25" t="s">
        <v>1027</v>
      </c>
      <c r="N351" s="32" t="s">
        <v>1300</v>
      </c>
      <c r="O351" s="32" t="s">
        <v>1324</v>
      </c>
      <c r="P351" s="51">
        <v>49.5</v>
      </c>
      <c r="Q351" s="57">
        <v>9785971108382</v>
      </c>
      <c r="R351" s="66">
        <v>0.038</v>
      </c>
    </row>
    <row r="352" spans="1:18" ht="21.75" customHeight="1">
      <c r="A352" s="25" t="s">
        <v>1454</v>
      </c>
      <c r="B352" s="25" t="s">
        <v>1455</v>
      </c>
      <c r="C352" s="49" t="str">
        <f>HYPERLINK("http://atberg.aha.ru/raskr/rv3-47.jpg")</f>
        <v>http://atberg.aha.ru/raskr/rv3-47.jpg</v>
      </c>
      <c r="D352" s="27"/>
      <c r="E352" s="25" t="s">
        <v>1456</v>
      </c>
      <c r="F352" s="28" t="s">
        <v>1457</v>
      </c>
      <c r="G352" s="25"/>
      <c r="H352" s="29"/>
      <c r="I352" s="30" t="s">
        <v>24</v>
      </c>
      <c r="J352" s="30">
        <v>1.9</v>
      </c>
      <c r="K352" s="25" t="s">
        <v>1321</v>
      </c>
      <c r="L352" s="31" t="s">
        <v>1382</v>
      </c>
      <c r="M352" s="25" t="s">
        <v>1027</v>
      </c>
      <c r="N352" s="32" t="s">
        <v>1300</v>
      </c>
      <c r="O352" s="32" t="s">
        <v>1324</v>
      </c>
      <c r="P352" s="51">
        <v>49.5</v>
      </c>
      <c r="Q352" s="57">
        <v>9785971108399</v>
      </c>
      <c r="R352" s="66">
        <v>0.038</v>
      </c>
    </row>
    <row r="353" spans="1:18" ht="21.75" customHeight="1">
      <c r="A353" s="25" t="s">
        <v>1458</v>
      </c>
      <c r="B353" s="25" t="s">
        <v>1459</v>
      </c>
      <c r="C353" s="49" t="str">
        <f>HYPERLINK("http://www.atberg.aha.ru/raskr/rv3-03.jpg")</f>
        <v>http://www.atberg.aha.ru/raskr/rv3-03.jpg</v>
      </c>
      <c r="D353" s="27"/>
      <c r="E353" s="25" t="s">
        <v>1460</v>
      </c>
      <c r="F353" s="28" t="s">
        <v>1060</v>
      </c>
      <c r="G353" s="25"/>
      <c r="H353" s="29"/>
      <c r="I353" s="30" t="s">
        <v>24</v>
      </c>
      <c r="J353" s="30">
        <v>1.9</v>
      </c>
      <c r="K353" s="25" t="s">
        <v>1321</v>
      </c>
      <c r="L353" s="31" t="s">
        <v>1382</v>
      </c>
      <c r="M353" s="25" t="s">
        <v>1027</v>
      </c>
      <c r="N353" s="32" t="s">
        <v>1300</v>
      </c>
      <c r="O353" s="32" t="s">
        <v>1324</v>
      </c>
      <c r="P353" s="51">
        <v>49.5</v>
      </c>
      <c r="Q353" s="57">
        <v>9785971103561</v>
      </c>
      <c r="R353" s="66">
        <v>0.038</v>
      </c>
    </row>
    <row r="354" spans="1:18" ht="21.75" customHeight="1">
      <c r="A354" s="25" t="s">
        <v>1461</v>
      </c>
      <c r="B354" s="25" t="s">
        <v>1462</v>
      </c>
      <c r="C354" s="49" t="str">
        <f>HYPERLINK("http://atberg.aha.ru/raskr/rv3-37.jpg")</f>
        <v>http://atberg.aha.ru/raskr/rv3-37.jpg</v>
      </c>
      <c r="D354" s="27"/>
      <c r="E354" s="25" t="s">
        <v>1463</v>
      </c>
      <c r="F354" s="28" t="s">
        <v>1464</v>
      </c>
      <c r="G354" s="25"/>
      <c r="H354" s="29"/>
      <c r="I354" s="30" t="s">
        <v>24</v>
      </c>
      <c r="J354" s="30">
        <v>1.9</v>
      </c>
      <c r="K354" s="25" t="s">
        <v>1321</v>
      </c>
      <c r="L354" s="31" t="s">
        <v>1382</v>
      </c>
      <c r="M354" s="25" t="s">
        <v>1027</v>
      </c>
      <c r="N354" s="32" t="s">
        <v>1300</v>
      </c>
      <c r="O354" s="32" t="s">
        <v>1324</v>
      </c>
      <c r="P354" s="51">
        <v>49.5</v>
      </c>
      <c r="Q354" s="57">
        <v>9785971105091</v>
      </c>
      <c r="R354" s="66">
        <v>0.038</v>
      </c>
    </row>
    <row r="355" spans="1:18" ht="21.75" customHeight="1">
      <c r="A355" s="25" t="s">
        <v>1465</v>
      </c>
      <c r="B355" s="25" t="s">
        <v>1466</v>
      </c>
      <c r="C355" s="49" t="str">
        <f>HYPERLINK("http://atberg.aha.ru/raskr/rv3-38.jpg")</f>
        <v>http://atberg.aha.ru/raskr/rv3-38.jpg</v>
      </c>
      <c r="D355" s="27"/>
      <c r="E355" s="25" t="s">
        <v>1467</v>
      </c>
      <c r="F355" s="28" t="s">
        <v>1468</v>
      </c>
      <c r="G355" s="25"/>
      <c r="H355" s="29"/>
      <c r="I355" s="30" t="s">
        <v>24</v>
      </c>
      <c r="J355" s="30">
        <v>1.9</v>
      </c>
      <c r="K355" s="25" t="s">
        <v>1321</v>
      </c>
      <c r="L355" s="31" t="s">
        <v>1382</v>
      </c>
      <c r="M355" s="25" t="s">
        <v>1027</v>
      </c>
      <c r="N355" s="32" t="s">
        <v>1300</v>
      </c>
      <c r="O355" s="32" t="s">
        <v>1324</v>
      </c>
      <c r="P355" s="51">
        <v>49.5</v>
      </c>
      <c r="Q355" s="57">
        <v>9785971105107</v>
      </c>
      <c r="R355" s="66">
        <v>0.038</v>
      </c>
    </row>
    <row r="356" spans="1:18" ht="21.75" customHeight="1">
      <c r="A356" s="25" t="s">
        <v>1469</v>
      </c>
      <c r="B356" s="25" t="s">
        <v>1470</v>
      </c>
      <c r="C356" s="49" t="str">
        <f>HYPERLINK("http://atberg.aha.ru/raskr/rv3-39.jpg")</f>
        <v>http://atberg.aha.ru/raskr/rv3-39.jpg</v>
      </c>
      <c r="D356" s="27"/>
      <c r="E356" s="25" t="s">
        <v>1471</v>
      </c>
      <c r="F356" s="28" t="s">
        <v>1472</v>
      </c>
      <c r="G356" s="25"/>
      <c r="H356" s="29"/>
      <c r="I356" s="30" t="s">
        <v>24</v>
      </c>
      <c r="J356" s="30">
        <v>1.9</v>
      </c>
      <c r="K356" s="25" t="s">
        <v>1321</v>
      </c>
      <c r="L356" s="31" t="s">
        <v>1382</v>
      </c>
      <c r="M356" s="25" t="s">
        <v>1027</v>
      </c>
      <c r="N356" s="32" t="s">
        <v>1300</v>
      </c>
      <c r="O356" s="32" t="s">
        <v>1324</v>
      </c>
      <c r="P356" s="51">
        <v>49.5</v>
      </c>
      <c r="Q356" s="57">
        <v>9785971105114</v>
      </c>
      <c r="R356" s="66">
        <v>0.038</v>
      </c>
    </row>
    <row r="357" spans="1:18" ht="21.75" customHeight="1">
      <c r="A357" s="25" t="s">
        <v>1473</v>
      </c>
      <c r="B357" s="25" t="s">
        <v>1474</v>
      </c>
      <c r="C357" s="49" t="str">
        <f>HYPERLINK("http://www.atberg.aha.ru/raskr/rv3-25.jpg")</f>
        <v>http://www.atberg.aha.ru/raskr/rv3-25.jpg</v>
      </c>
      <c r="D357" s="27"/>
      <c r="E357" s="25" t="s">
        <v>1475</v>
      </c>
      <c r="F357" s="28" t="s">
        <v>1476</v>
      </c>
      <c r="G357" s="25"/>
      <c r="H357" s="29"/>
      <c r="I357" s="30" t="s">
        <v>24</v>
      </c>
      <c r="J357" s="30">
        <v>1.9</v>
      </c>
      <c r="K357" s="25" t="s">
        <v>1321</v>
      </c>
      <c r="L357" s="31" t="s">
        <v>1382</v>
      </c>
      <c r="M357" s="25" t="s">
        <v>1027</v>
      </c>
      <c r="N357" s="32" t="s">
        <v>1300</v>
      </c>
      <c r="O357" s="32" t="s">
        <v>1324</v>
      </c>
      <c r="P357" s="51">
        <v>49.5</v>
      </c>
      <c r="Q357" s="57">
        <v>9785971103769</v>
      </c>
      <c r="R357" s="66">
        <v>0.038</v>
      </c>
    </row>
    <row r="358" spans="1:18" ht="21.75" customHeight="1">
      <c r="A358" s="25" t="s">
        <v>1477</v>
      </c>
      <c r="B358" s="25" t="s">
        <v>1478</v>
      </c>
      <c r="C358" s="49" t="str">
        <f>HYPERLINK("http://www.atberg.aha.ru/raskr/rv3-22.jpg")</f>
        <v>http://www.atberg.aha.ru/raskr/rv3-22.jpg</v>
      </c>
      <c r="D358" s="27"/>
      <c r="E358" s="25" t="s">
        <v>1479</v>
      </c>
      <c r="F358" s="28" t="s">
        <v>1480</v>
      </c>
      <c r="G358" s="25"/>
      <c r="H358" s="29"/>
      <c r="I358" s="30" t="s">
        <v>24</v>
      </c>
      <c r="J358" s="30">
        <v>1.9</v>
      </c>
      <c r="K358" s="25" t="s">
        <v>1321</v>
      </c>
      <c r="L358" s="31" t="s">
        <v>1382</v>
      </c>
      <c r="M358" s="25" t="s">
        <v>1027</v>
      </c>
      <c r="N358" s="32" t="s">
        <v>1300</v>
      </c>
      <c r="O358" s="32" t="s">
        <v>1324</v>
      </c>
      <c r="P358" s="51">
        <v>49.5</v>
      </c>
      <c r="Q358" s="57">
        <v>9785971103776</v>
      </c>
      <c r="R358" s="66">
        <v>0.038</v>
      </c>
    </row>
    <row r="359" spans="1:18" ht="21.75" customHeight="1">
      <c r="A359" s="25" t="s">
        <v>1481</v>
      </c>
      <c r="B359" s="25" t="s">
        <v>1482</v>
      </c>
      <c r="C359" s="49" t="str">
        <f>HYPERLINK("http://atberg.aha.ru/raskr/rv3-46.jpg")</f>
        <v>http://atberg.aha.ru/raskr/rv3-46.jpg</v>
      </c>
      <c r="D359" s="27"/>
      <c r="E359" s="25" t="s">
        <v>1483</v>
      </c>
      <c r="F359" s="28" t="s">
        <v>1484</v>
      </c>
      <c r="G359" s="25"/>
      <c r="H359" s="29"/>
      <c r="I359" s="30" t="s">
        <v>24</v>
      </c>
      <c r="J359" s="30">
        <v>1.9</v>
      </c>
      <c r="K359" s="25" t="s">
        <v>1321</v>
      </c>
      <c r="L359" s="31" t="s">
        <v>1382</v>
      </c>
      <c r="M359" s="25" t="s">
        <v>1027</v>
      </c>
      <c r="N359" s="32" t="s">
        <v>1300</v>
      </c>
      <c r="O359" s="32" t="s">
        <v>1324</v>
      </c>
      <c r="P359" s="51">
        <v>49.5</v>
      </c>
      <c r="Q359" s="57">
        <v>9785971108405</v>
      </c>
      <c r="R359" s="66">
        <v>0.038</v>
      </c>
    </row>
    <row r="360" spans="1:18" ht="21.75" customHeight="1">
      <c r="A360" s="25" t="s">
        <v>1485</v>
      </c>
      <c r="B360" s="25" t="s">
        <v>1486</v>
      </c>
      <c r="C360" s="49" t="str">
        <f>HYPERLINK("http://www.atberg.aha.ru/raskr/rv3-23.jpg")</f>
        <v>http://www.atberg.aha.ru/raskr/rv3-23.jpg</v>
      </c>
      <c r="D360" s="27"/>
      <c r="E360" s="25" t="s">
        <v>1487</v>
      </c>
      <c r="F360" s="28" t="s">
        <v>1488</v>
      </c>
      <c r="G360" s="25"/>
      <c r="H360" s="29"/>
      <c r="I360" s="30" t="s">
        <v>24</v>
      </c>
      <c r="J360" s="30">
        <v>1.9</v>
      </c>
      <c r="K360" s="25" t="s">
        <v>1321</v>
      </c>
      <c r="L360" s="31" t="s">
        <v>1382</v>
      </c>
      <c r="M360" s="25" t="s">
        <v>1027</v>
      </c>
      <c r="N360" s="32" t="s">
        <v>1300</v>
      </c>
      <c r="O360" s="32" t="s">
        <v>1324</v>
      </c>
      <c r="P360" s="51">
        <v>49.5</v>
      </c>
      <c r="Q360" s="57">
        <v>9785971103790</v>
      </c>
      <c r="R360" s="66">
        <v>0.038</v>
      </c>
    </row>
    <row r="361" spans="1:18" ht="21.75" customHeight="1" thickBot="1">
      <c r="A361" s="25" t="s">
        <v>1489</v>
      </c>
      <c r="B361" s="25" t="s">
        <v>1490</v>
      </c>
      <c r="C361" s="49" t="str">
        <f>HYPERLINK("http://www.atberg.aha.ru/raskr/rv3-24.jpg")</f>
        <v>http://www.atberg.aha.ru/raskr/rv3-24.jpg</v>
      </c>
      <c r="D361" s="27"/>
      <c r="E361" s="25" t="s">
        <v>1491</v>
      </c>
      <c r="F361" s="28" t="s">
        <v>1492</v>
      </c>
      <c r="G361" s="25"/>
      <c r="H361" s="29"/>
      <c r="I361" s="30" t="s">
        <v>24</v>
      </c>
      <c r="J361" s="30">
        <v>1.9</v>
      </c>
      <c r="K361" s="25" t="s">
        <v>1321</v>
      </c>
      <c r="L361" s="31" t="s">
        <v>1382</v>
      </c>
      <c r="M361" s="25" t="s">
        <v>1027</v>
      </c>
      <c r="N361" s="32" t="s">
        <v>1300</v>
      </c>
      <c r="O361" s="32" t="s">
        <v>1324</v>
      </c>
      <c r="P361" s="51">
        <v>49.5</v>
      </c>
      <c r="Q361" s="57">
        <v>9785971103783</v>
      </c>
      <c r="R361" s="66">
        <v>0.038</v>
      </c>
    </row>
    <row r="362" spans="1:18" ht="12.75" customHeight="1" thickBot="1">
      <c r="A362" s="18"/>
      <c r="B362" s="18"/>
      <c r="C362" s="18"/>
      <c r="D362" s="19"/>
      <c r="E362" s="20"/>
      <c r="F362" s="21" t="s">
        <v>1493</v>
      </c>
      <c r="G362" s="22"/>
      <c r="H362" s="23"/>
      <c r="I362" s="20"/>
      <c r="J362" s="20"/>
      <c r="K362" s="20"/>
      <c r="L362" s="20"/>
      <c r="M362" s="20"/>
      <c r="N362" s="20"/>
      <c r="O362" s="20"/>
      <c r="P362" s="24"/>
      <c r="Q362" s="56"/>
      <c r="R362" s="66"/>
    </row>
    <row r="363" spans="1:18" ht="12.75" customHeight="1">
      <c r="A363" s="18"/>
      <c r="B363" s="18"/>
      <c r="C363" s="18"/>
      <c r="D363" s="19"/>
      <c r="E363" s="20"/>
      <c r="F363" s="21" t="s">
        <v>1494</v>
      </c>
      <c r="G363" s="22"/>
      <c r="H363" s="23"/>
      <c r="I363" s="20"/>
      <c r="J363" s="20"/>
      <c r="K363" s="20"/>
      <c r="L363" s="20"/>
      <c r="M363" s="20"/>
      <c r="N363" s="20"/>
      <c r="O363" s="20"/>
      <c r="P363" s="24"/>
      <c r="Q363" s="56"/>
      <c r="R363" s="66"/>
    </row>
    <row r="364" spans="1:18" ht="21.75" customHeight="1">
      <c r="A364" s="25" t="s">
        <v>1495</v>
      </c>
      <c r="B364" s="25" t="s">
        <v>1496</v>
      </c>
      <c r="C364" s="49" t="str">
        <f>HYPERLINK("http://www.atberg.aha.ru/raskr/inf02.jpg")</f>
        <v>http://www.atberg.aha.ru/raskr/inf02.jpg</v>
      </c>
      <c r="D364" s="27"/>
      <c r="E364" s="25" t="s">
        <v>1497</v>
      </c>
      <c r="F364" s="28" t="s">
        <v>1498</v>
      </c>
      <c r="G364" s="25"/>
      <c r="H364" s="29"/>
      <c r="I364" s="30" t="s">
        <v>24</v>
      </c>
      <c r="J364" s="30">
        <v>2.48</v>
      </c>
      <c r="K364" s="25" t="s">
        <v>1499</v>
      </c>
      <c r="L364" s="31" t="s">
        <v>1382</v>
      </c>
      <c r="M364" s="25" t="s">
        <v>27</v>
      </c>
      <c r="N364" s="32" t="s">
        <v>1300</v>
      </c>
      <c r="O364" s="32" t="s">
        <v>1500</v>
      </c>
      <c r="P364" s="51">
        <v>22</v>
      </c>
      <c r="Q364" s="57">
        <v>9785766810186</v>
      </c>
      <c r="R364" s="66">
        <v>0.0496</v>
      </c>
    </row>
    <row r="365" spans="1:18" ht="21.75" customHeight="1">
      <c r="A365" s="25" t="s">
        <v>1501</v>
      </c>
      <c r="B365" s="25" t="s">
        <v>1502</v>
      </c>
      <c r="C365" s="49" t="str">
        <f>HYPERLINK("http://www.atberg.aha.ru/raskr/inf01.jpg")</f>
        <v>http://www.atberg.aha.ru/raskr/inf01.jpg</v>
      </c>
      <c r="D365" s="27"/>
      <c r="E365" s="25" t="s">
        <v>1503</v>
      </c>
      <c r="F365" s="28" t="s">
        <v>1504</v>
      </c>
      <c r="G365" s="25"/>
      <c r="H365" s="29"/>
      <c r="I365" s="30" t="s">
        <v>24</v>
      </c>
      <c r="J365" s="30">
        <v>2.48</v>
      </c>
      <c r="K365" s="25" t="s">
        <v>1499</v>
      </c>
      <c r="L365" s="31" t="s">
        <v>1382</v>
      </c>
      <c r="M365" s="25" t="s">
        <v>27</v>
      </c>
      <c r="N365" s="32" t="s">
        <v>1300</v>
      </c>
      <c r="O365" s="32" t="s">
        <v>1500</v>
      </c>
      <c r="P365" s="51">
        <v>22</v>
      </c>
      <c r="Q365" s="57">
        <v>9785766810193</v>
      </c>
      <c r="R365" s="66">
        <v>0.0496</v>
      </c>
    </row>
    <row r="366" spans="1:18" ht="21.75" customHeight="1">
      <c r="A366" s="25" t="s">
        <v>1505</v>
      </c>
      <c r="B366" s="25" t="s">
        <v>1506</v>
      </c>
      <c r="C366" s="49" t="str">
        <f>HYPERLINK("http://www.atberg.aha.ru/raskr/inf04.jpg")</f>
        <v>http://www.atberg.aha.ru/raskr/inf04.jpg</v>
      </c>
      <c r="D366" s="27"/>
      <c r="E366" s="25" t="s">
        <v>1507</v>
      </c>
      <c r="F366" s="28" t="s">
        <v>1508</v>
      </c>
      <c r="G366" s="25"/>
      <c r="H366" s="29"/>
      <c r="I366" s="30" t="s">
        <v>24</v>
      </c>
      <c r="J366" s="30">
        <v>2.48</v>
      </c>
      <c r="K366" s="25" t="s">
        <v>1499</v>
      </c>
      <c r="L366" s="31" t="s">
        <v>1382</v>
      </c>
      <c r="M366" s="25" t="s">
        <v>27</v>
      </c>
      <c r="N366" s="32" t="s">
        <v>1300</v>
      </c>
      <c r="O366" s="32" t="s">
        <v>1500</v>
      </c>
      <c r="P366" s="51">
        <v>22</v>
      </c>
      <c r="Q366" s="57">
        <v>9785766810209</v>
      </c>
      <c r="R366" s="66">
        <v>0.0496</v>
      </c>
    </row>
    <row r="367" spans="1:18" ht="21.75" customHeight="1" thickBot="1">
      <c r="A367" s="25" t="s">
        <v>1509</v>
      </c>
      <c r="B367" s="25" t="s">
        <v>1510</v>
      </c>
      <c r="C367" s="49" t="str">
        <f>HYPERLINK("http://www.atberg.aha.ru/raskr/inf03.jpg")</f>
        <v>http://www.atberg.aha.ru/raskr/inf03.jpg</v>
      </c>
      <c r="D367" s="27"/>
      <c r="E367" s="25" t="s">
        <v>1511</v>
      </c>
      <c r="F367" s="28" t="s">
        <v>1512</v>
      </c>
      <c r="G367" s="25"/>
      <c r="H367" s="29"/>
      <c r="I367" s="30" t="s">
        <v>24</v>
      </c>
      <c r="J367" s="30">
        <v>2.48</v>
      </c>
      <c r="K367" s="25" t="s">
        <v>1499</v>
      </c>
      <c r="L367" s="31" t="s">
        <v>1382</v>
      </c>
      <c r="M367" s="25" t="s">
        <v>27</v>
      </c>
      <c r="N367" s="32" t="s">
        <v>1300</v>
      </c>
      <c r="O367" s="32" t="s">
        <v>1500</v>
      </c>
      <c r="P367" s="51">
        <v>22</v>
      </c>
      <c r="Q367" s="57">
        <v>9785766810216</v>
      </c>
      <c r="R367" s="66">
        <v>0.0496</v>
      </c>
    </row>
    <row r="368" spans="1:18" ht="12.75" customHeight="1">
      <c r="A368" s="18"/>
      <c r="B368" s="18"/>
      <c r="C368" s="18"/>
      <c r="D368" s="19"/>
      <c r="E368" s="20"/>
      <c r="F368" s="21" t="s">
        <v>1513</v>
      </c>
      <c r="G368" s="22"/>
      <c r="H368" s="23"/>
      <c r="I368" s="20"/>
      <c r="J368" s="20"/>
      <c r="K368" s="20"/>
      <c r="L368" s="20"/>
      <c r="M368" s="20"/>
      <c r="N368" s="20"/>
      <c r="O368" s="20"/>
      <c r="P368" s="24"/>
      <c r="Q368" s="56"/>
      <c r="R368" s="66"/>
    </row>
    <row r="369" spans="1:18" ht="21.75" customHeight="1">
      <c r="A369" s="25" t="s">
        <v>1514</v>
      </c>
      <c r="B369" s="25" t="s">
        <v>1515</v>
      </c>
      <c r="C369" s="49" t="str">
        <f>HYPERLINK("http://atberg.aha.ru/mir/apl04.jpg")</f>
        <v>http://atberg.aha.ru/mir/apl04.jpg</v>
      </c>
      <c r="D369" s="27"/>
      <c r="E369" s="25" t="s">
        <v>1516</v>
      </c>
      <c r="F369" s="28" t="s">
        <v>1517</v>
      </c>
      <c r="G369" s="25"/>
      <c r="H369" s="29"/>
      <c r="I369" s="30" t="s">
        <v>24</v>
      </c>
      <c r="J369" s="30">
        <v>2.9</v>
      </c>
      <c r="K369" s="25" t="s">
        <v>1518</v>
      </c>
      <c r="L369" s="31" t="s">
        <v>1382</v>
      </c>
      <c r="M369" s="25" t="s">
        <v>27</v>
      </c>
      <c r="N369" s="32" t="s">
        <v>1383</v>
      </c>
      <c r="O369" s="32" t="s">
        <v>1519</v>
      </c>
      <c r="P369" s="51">
        <v>30.433333333333337</v>
      </c>
      <c r="Q369" s="57">
        <v>9785985037036</v>
      </c>
      <c r="R369" s="66">
        <v>0.057999999999999996</v>
      </c>
    </row>
    <row r="370" spans="1:18" ht="21.75" customHeight="1">
      <c r="A370" s="25" t="s">
        <v>1520</v>
      </c>
      <c r="B370" s="25" t="s">
        <v>1521</v>
      </c>
      <c r="C370" s="49" t="str">
        <f>HYPERLINK("http://atberg.aha.ru/mir/apl01.jpg")</f>
        <v>http://atberg.aha.ru/mir/apl01.jpg</v>
      </c>
      <c r="D370" s="27"/>
      <c r="E370" s="25" t="s">
        <v>1522</v>
      </c>
      <c r="F370" s="28" t="s">
        <v>1523</v>
      </c>
      <c r="G370" s="25"/>
      <c r="H370" s="29"/>
      <c r="I370" s="30" t="s">
        <v>24</v>
      </c>
      <c r="J370" s="30">
        <v>2.9</v>
      </c>
      <c r="K370" s="25" t="s">
        <v>1518</v>
      </c>
      <c r="L370" s="31" t="s">
        <v>1382</v>
      </c>
      <c r="M370" s="25" t="s">
        <v>27</v>
      </c>
      <c r="N370" s="32" t="s">
        <v>1383</v>
      </c>
      <c r="O370" s="32" t="s">
        <v>1519</v>
      </c>
      <c r="P370" s="51">
        <v>30.433333333333337</v>
      </c>
      <c r="Q370" s="57">
        <v>9785985037043</v>
      </c>
      <c r="R370" s="66">
        <v>0.057999999999999996</v>
      </c>
    </row>
    <row r="371" spans="1:18" ht="21.75" customHeight="1">
      <c r="A371" s="25" t="s">
        <v>1524</v>
      </c>
      <c r="B371" s="25" t="s">
        <v>1525</v>
      </c>
      <c r="C371" s="49" t="str">
        <f>HYPERLINK("http://atberg.aha.ru/mir/apl02.jpg")</f>
        <v>http://atberg.aha.ru/mir/apl02.jpg</v>
      </c>
      <c r="D371" s="27"/>
      <c r="E371" s="25" t="s">
        <v>1526</v>
      </c>
      <c r="F371" s="28" t="s">
        <v>1527</v>
      </c>
      <c r="G371" s="25"/>
      <c r="H371" s="29"/>
      <c r="I371" s="30" t="s">
        <v>24</v>
      </c>
      <c r="J371" s="30">
        <v>2.9</v>
      </c>
      <c r="K371" s="25" t="s">
        <v>1518</v>
      </c>
      <c r="L371" s="31" t="s">
        <v>1382</v>
      </c>
      <c r="M371" s="25" t="s">
        <v>27</v>
      </c>
      <c r="N371" s="32" t="s">
        <v>1383</v>
      </c>
      <c r="O371" s="32" t="s">
        <v>1519</v>
      </c>
      <c r="P371" s="51">
        <v>30.433333333333337</v>
      </c>
      <c r="Q371" s="57">
        <v>9785985037050</v>
      </c>
      <c r="R371" s="66">
        <v>0.057999999999999996</v>
      </c>
    </row>
    <row r="372" spans="1:18" ht="21.75" customHeight="1" thickBot="1">
      <c r="A372" s="25" t="s">
        <v>1528</v>
      </c>
      <c r="B372" s="25" t="s">
        <v>1529</v>
      </c>
      <c r="C372" s="49" t="str">
        <f>HYPERLINK("http://atberg.aha.ru/mir/apl03.jpg")</f>
        <v>http://atberg.aha.ru/mir/apl03.jpg</v>
      </c>
      <c r="D372" s="27"/>
      <c r="E372" s="25" t="s">
        <v>1530</v>
      </c>
      <c r="F372" s="28" t="s">
        <v>1531</v>
      </c>
      <c r="G372" s="25"/>
      <c r="H372" s="29"/>
      <c r="I372" s="30" t="s">
        <v>24</v>
      </c>
      <c r="J372" s="30">
        <v>2.9</v>
      </c>
      <c r="K372" s="25" t="s">
        <v>1518</v>
      </c>
      <c r="L372" s="31" t="s">
        <v>1382</v>
      </c>
      <c r="M372" s="25" t="s">
        <v>27</v>
      </c>
      <c r="N372" s="32" t="s">
        <v>1383</v>
      </c>
      <c r="O372" s="32" t="s">
        <v>1519</v>
      </c>
      <c r="P372" s="51">
        <v>30.433333333333337</v>
      </c>
      <c r="Q372" s="57">
        <v>9785985037067</v>
      </c>
      <c r="R372" s="66">
        <v>0.057999999999999996</v>
      </c>
    </row>
    <row r="373" spans="1:18" ht="12.75" customHeight="1">
      <c r="A373" s="18"/>
      <c r="B373" s="18"/>
      <c r="C373" s="18"/>
      <c r="D373" s="19"/>
      <c r="E373" s="20"/>
      <c r="F373" s="21" t="s">
        <v>1532</v>
      </c>
      <c r="G373" s="22"/>
      <c r="H373" s="23"/>
      <c r="I373" s="20"/>
      <c r="J373" s="20"/>
      <c r="K373" s="20"/>
      <c r="L373" s="20"/>
      <c r="M373" s="20"/>
      <c r="N373" s="20"/>
      <c r="O373" s="20"/>
      <c r="P373" s="24"/>
      <c r="Q373" s="56"/>
      <c r="R373" s="66"/>
    </row>
    <row r="374" spans="1:18" ht="21.75" customHeight="1">
      <c r="A374" s="25" t="s">
        <v>1533</v>
      </c>
      <c r="B374" s="25" t="s">
        <v>1534</v>
      </c>
      <c r="C374" s="49" t="str">
        <f>HYPERLINK("http://www.atberg.aha.ru/raskr/pir09.gif")</f>
        <v>http://www.atberg.aha.ru/raskr/pir09.gif</v>
      </c>
      <c r="D374" s="27"/>
      <c r="E374" s="25" t="s">
        <v>1535</v>
      </c>
      <c r="F374" s="28" t="s">
        <v>1536</v>
      </c>
      <c r="G374" s="25"/>
      <c r="H374" s="29"/>
      <c r="I374" s="30" t="s">
        <v>24</v>
      </c>
      <c r="J374" s="30">
        <v>1.745</v>
      </c>
      <c r="K374" s="25" t="s">
        <v>1537</v>
      </c>
      <c r="L374" s="31" t="s">
        <v>1538</v>
      </c>
      <c r="M374" s="25" t="s">
        <v>27</v>
      </c>
      <c r="N374" s="32" t="s">
        <v>1300</v>
      </c>
      <c r="O374" s="32" t="s">
        <v>1539</v>
      </c>
      <c r="P374" s="51">
        <v>21.083333333333336</v>
      </c>
      <c r="Q374" s="57">
        <v>9785985038743</v>
      </c>
      <c r="R374" s="66">
        <v>0.0349</v>
      </c>
    </row>
    <row r="375" spans="1:18" ht="21.75" customHeight="1">
      <c r="A375" s="25" t="s">
        <v>1540</v>
      </c>
      <c r="B375" s="25" t="s">
        <v>1541</v>
      </c>
      <c r="C375" s="49" t="str">
        <f>HYPERLINK("http://www.atberg.aha.ru/raskr/pir11.gif")</f>
        <v>http://www.atberg.aha.ru/raskr/pir11.gif</v>
      </c>
      <c r="D375" s="27"/>
      <c r="E375" s="25" t="s">
        <v>1542</v>
      </c>
      <c r="F375" s="28" t="s">
        <v>1543</v>
      </c>
      <c r="G375" s="25"/>
      <c r="H375" s="29"/>
      <c r="I375" s="30" t="s">
        <v>24</v>
      </c>
      <c r="J375" s="30">
        <v>1.745</v>
      </c>
      <c r="K375" s="25" t="s">
        <v>1537</v>
      </c>
      <c r="L375" s="31" t="s">
        <v>1544</v>
      </c>
      <c r="M375" s="25" t="s">
        <v>27</v>
      </c>
      <c r="N375" s="32" t="s">
        <v>1300</v>
      </c>
      <c r="O375" s="32" t="s">
        <v>1539</v>
      </c>
      <c r="P375" s="51">
        <v>21.083333333333336</v>
      </c>
      <c r="Q375" s="57">
        <v>9785985038750</v>
      </c>
      <c r="R375" s="66">
        <v>0.0349</v>
      </c>
    </row>
    <row r="376" spans="1:18" ht="21.75" customHeight="1">
      <c r="A376" s="25" t="s">
        <v>1545</v>
      </c>
      <c r="B376" s="25" t="s">
        <v>1546</v>
      </c>
      <c r="C376" s="49" t="str">
        <f>HYPERLINK("http://www.atberg.aha.ru/raskr/pir12.gif")</f>
        <v>http://www.atberg.aha.ru/raskr/pir12.gif</v>
      </c>
      <c r="D376" s="27"/>
      <c r="E376" s="25" t="s">
        <v>1547</v>
      </c>
      <c r="F376" s="28" t="s">
        <v>1548</v>
      </c>
      <c r="G376" s="25"/>
      <c r="H376" s="29"/>
      <c r="I376" s="30" t="s">
        <v>24</v>
      </c>
      <c r="J376" s="30">
        <v>1.745</v>
      </c>
      <c r="K376" s="25" t="s">
        <v>1537</v>
      </c>
      <c r="L376" s="31" t="s">
        <v>1544</v>
      </c>
      <c r="M376" s="25" t="s">
        <v>27</v>
      </c>
      <c r="N376" s="32" t="s">
        <v>1300</v>
      </c>
      <c r="O376" s="32" t="s">
        <v>1539</v>
      </c>
      <c r="P376" s="51">
        <v>21.083333333333336</v>
      </c>
      <c r="Q376" s="57">
        <v>9785985038767</v>
      </c>
      <c r="R376" s="66">
        <v>0.0349</v>
      </c>
    </row>
    <row r="377" spans="1:18" ht="21.75" customHeight="1">
      <c r="A377" s="25" t="s">
        <v>1549</v>
      </c>
      <c r="B377" s="25" t="s">
        <v>1550</v>
      </c>
      <c r="C377" s="49" t="str">
        <f>HYPERLINK("http://www.atberg.aha.ru/raskr/pir13.gif")</f>
        <v>http://www.atberg.aha.ru/raskr/pir13.gif</v>
      </c>
      <c r="D377" s="27"/>
      <c r="E377" s="25" t="s">
        <v>1551</v>
      </c>
      <c r="F377" s="28" t="s">
        <v>1552</v>
      </c>
      <c r="G377" s="25"/>
      <c r="H377" s="29"/>
      <c r="I377" s="30" t="s">
        <v>24</v>
      </c>
      <c r="J377" s="30">
        <v>1.745</v>
      </c>
      <c r="K377" s="25" t="s">
        <v>1537</v>
      </c>
      <c r="L377" s="31" t="s">
        <v>1544</v>
      </c>
      <c r="M377" s="25" t="s">
        <v>27</v>
      </c>
      <c r="N377" s="32" t="s">
        <v>1300</v>
      </c>
      <c r="O377" s="32" t="s">
        <v>1539</v>
      </c>
      <c r="P377" s="51">
        <v>21.083333333333336</v>
      </c>
      <c r="Q377" s="57">
        <v>9785985038781</v>
      </c>
      <c r="R377" s="66">
        <v>0.0349</v>
      </c>
    </row>
    <row r="378" spans="1:18" ht="21.75" customHeight="1">
      <c r="A378" s="25" t="s">
        <v>1553</v>
      </c>
      <c r="B378" s="25" t="s">
        <v>1554</v>
      </c>
      <c r="C378" s="49" t="str">
        <f>HYPERLINK("http://www.atberg.aha.ru/raskr/pir14.gif")</f>
        <v>http://www.atberg.aha.ru/raskr/pir14.gif</v>
      </c>
      <c r="D378" s="27"/>
      <c r="E378" s="25" t="s">
        <v>1555</v>
      </c>
      <c r="F378" s="28" t="s">
        <v>45</v>
      </c>
      <c r="G378" s="25"/>
      <c r="H378" s="29"/>
      <c r="I378" s="30" t="s">
        <v>24</v>
      </c>
      <c r="J378" s="30">
        <v>1.745</v>
      </c>
      <c r="K378" s="25" t="s">
        <v>1537</v>
      </c>
      <c r="L378" s="31" t="s">
        <v>1544</v>
      </c>
      <c r="M378" s="25" t="s">
        <v>27</v>
      </c>
      <c r="N378" s="32" t="s">
        <v>1300</v>
      </c>
      <c r="O378" s="32" t="s">
        <v>1539</v>
      </c>
      <c r="P378" s="51">
        <v>21.083333333333336</v>
      </c>
      <c r="Q378" s="57">
        <v>9785985037135</v>
      </c>
      <c r="R378" s="66">
        <v>0.0349</v>
      </c>
    </row>
    <row r="379" spans="1:18" ht="21.75" customHeight="1">
      <c r="A379" s="25" t="s">
        <v>1556</v>
      </c>
      <c r="B379" s="25" t="s">
        <v>1557</v>
      </c>
      <c r="C379" s="49" t="str">
        <f>HYPERLINK("http://www.atberg.aha.ru/raskr/pir08.gif")</f>
        <v>http://www.atberg.aha.ru/raskr/pir08.gif</v>
      </c>
      <c r="D379" s="27"/>
      <c r="E379" s="25" t="s">
        <v>1558</v>
      </c>
      <c r="F379" s="28" t="s">
        <v>1219</v>
      </c>
      <c r="G379" s="25"/>
      <c r="H379" s="29"/>
      <c r="I379" s="30" t="s">
        <v>24</v>
      </c>
      <c r="J379" s="30">
        <v>1.745</v>
      </c>
      <c r="K379" s="25" t="s">
        <v>1537</v>
      </c>
      <c r="L379" s="31" t="s">
        <v>1544</v>
      </c>
      <c r="M379" s="25" t="s">
        <v>27</v>
      </c>
      <c r="N379" s="32" t="s">
        <v>1300</v>
      </c>
      <c r="O379" s="32" t="s">
        <v>1539</v>
      </c>
      <c r="P379" s="51">
        <v>21.083333333333336</v>
      </c>
      <c r="Q379" s="57">
        <v>9785985038804</v>
      </c>
      <c r="R379" s="66">
        <v>0.0349</v>
      </c>
    </row>
    <row r="380" spans="1:18" ht="21.75" customHeight="1">
      <c r="A380" s="25" t="s">
        <v>1559</v>
      </c>
      <c r="B380" s="25" t="s">
        <v>1560</v>
      </c>
      <c r="C380" s="49" t="str">
        <f>HYPERLINK("http://www.atberg.aha.ru/raskr/pir16.gif")</f>
        <v>http://www.atberg.aha.ru/raskr/pir16.gif</v>
      </c>
      <c r="D380" s="27"/>
      <c r="E380" s="25" t="s">
        <v>1561</v>
      </c>
      <c r="F380" s="28" t="s">
        <v>1562</v>
      </c>
      <c r="G380" s="25"/>
      <c r="H380" s="29"/>
      <c r="I380" s="30" t="s">
        <v>24</v>
      </c>
      <c r="J380" s="30">
        <v>1.745</v>
      </c>
      <c r="K380" s="25" t="s">
        <v>1537</v>
      </c>
      <c r="L380" s="31" t="s">
        <v>1544</v>
      </c>
      <c r="M380" s="25" t="s">
        <v>27</v>
      </c>
      <c r="N380" s="32" t="s">
        <v>1300</v>
      </c>
      <c r="O380" s="32" t="s">
        <v>1539</v>
      </c>
      <c r="P380" s="51">
        <v>21.083333333333336</v>
      </c>
      <c r="Q380" s="57">
        <v>9785985038811</v>
      </c>
      <c r="R380" s="66">
        <v>0.0349</v>
      </c>
    </row>
    <row r="381" spans="1:18" ht="21.75" customHeight="1" thickBot="1">
      <c r="A381" s="25" t="s">
        <v>1563</v>
      </c>
      <c r="B381" s="25" t="s">
        <v>1564</v>
      </c>
      <c r="C381" s="49" t="str">
        <f>HYPERLINK("http://www.atberg.aha.ru/raskr/pir15.gif")</f>
        <v>http://www.atberg.aha.ru/raskr/pir15.gif</v>
      </c>
      <c r="D381" s="27"/>
      <c r="E381" s="25" t="s">
        <v>1565</v>
      </c>
      <c r="F381" s="28" t="s">
        <v>1566</v>
      </c>
      <c r="G381" s="25"/>
      <c r="H381" s="29"/>
      <c r="I381" s="30" t="s">
        <v>24</v>
      </c>
      <c r="J381" s="30">
        <v>1.745</v>
      </c>
      <c r="K381" s="25" t="s">
        <v>1537</v>
      </c>
      <c r="L381" s="31" t="s">
        <v>1544</v>
      </c>
      <c r="M381" s="25" t="s">
        <v>27</v>
      </c>
      <c r="N381" s="32" t="s">
        <v>1300</v>
      </c>
      <c r="O381" s="32" t="s">
        <v>1539</v>
      </c>
      <c r="P381" s="51">
        <v>21.083333333333336</v>
      </c>
      <c r="Q381" s="57">
        <v>9785985037166</v>
      </c>
      <c r="R381" s="66">
        <v>0.0349</v>
      </c>
    </row>
    <row r="382" spans="1:18" ht="12.75" customHeight="1">
      <c r="A382" s="18"/>
      <c r="B382" s="18"/>
      <c r="C382" s="18"/>
      <c r="D382" s="19"/>
      <c r="E382" s="20"/>
      <c r="F382" s="21" t="s">
        <v>1567</v>
      </c>
      <c r="G382" s="22"/>
      <c r="H382" s="23"/>
      <c r="I382" s="20"/>
      <c r="J382" s="20"/>
      <c r="K382" s="20"/>
      <c r="L382" s="20"/>
      <c r="M382" s="20"/>
      <c r="N382" s="20"/>
      <c r="O382" s="20"/>
      <c r="P382" s="24"/>
      <c r="Q382" s="56"/>
      <c r="R382" s="66"/>
    </row>
    <row r="383" spans="1:18" ht="21.75" customHeight="1">
      <c r="A383" s="25" t="s">
        <v>1568</v>
      </c>
      <c r="B383" s="25" t="s">
        <v>1569</v>
      </c>
      <c r="C383" s="49" t="str">
        <f>HYPERLINK("http://atberg.aha.ru/raskr/pmk05.jpg")</f>
        <v>http://atberg.aha.ru/raskr/pmk05.jpg</v>
      </c>
      <c r="D383" s="27"/>
      <c r="E383" s="25" t="s">
        <v>1570</v>
      </c>
      <c r="F383" s="28" t="s">
        <v>1571</v>
      </c>
      <c r="G383" s="25"/>
      <c r="H383" s="29"/>
      <c r="I383" s="30" t="s">
        <v>813</v>
      </c>
      <c r="J383" s="30">
        <v>2.14</v>
      </c>
      <c r="K383" s="25" t="s">
        <v>1572</v>
      </c>
      <c r="L383" s="31" t="s">
        <v>1573</v>
      </c>
      <c r="M383" s="25" t="s">
        <v>27</v>
      </c>
      <c r="N383" s="32" t="s">
        <v>1339</v>
      </c>
      <c r="O383" s="32" t="s">
        <v>1574</v>
      </c>
      <c r="P383" s="51">
        <v>36.66666666666667</v>
      </c>
      <c r="Q383" s="57">
        <v>9785985038590</v>
      </c>
      <c r="R383" s="66">
        <v>0.07133333333333333</v>
      </c>
    </row>
    <row r="384" spans="1:18" ht="21.75" customHeight="1">
      <c r="A384" s="25" t="s">
        <v>1575</v>
      </c>
      <c r="B384" s="25" t="s">
        <v>1576</v>
      </c>
      <c r="C384" s="49" t="str">
        <f>HYPERLINK("http://atberg.aha.ru/raskr/pmk06.jpg")</f>
        <v>http://atberg.aha.ru/raskr/pmk06.jpg</v>
      </c>
      <c r="D384" s="27"/>
      <c r="E384" s="25" t="s">
        <v>1577</v>
      </c>
      <c r="F384" s="28" t="s">
        <v>1578</v>
      </c>
      <c r="G384" s="25"/>
      <c r="H384" s="29"/>
      <c r="I384" s="30" t="s">
        <v>813</v>
      </c>
      <c r="J384" s="30">
        <v>2.14</v>
      </c>
      <c r="K384" s="25" t="s">
        <v>1572</v>
      </c>
      <c r="L384" s="31" t="s">
        <v>1573</v>
      </c>
      <c r="M384" s="25" t="s">
        <v>27</v>
      </c>
      <c r="N384" s="32" t="s">
        <v>1339</v>
      </c>
      <c r="O384" s="32" t="s">
        <v>1574</v>
      </c>
      <c r="P384" s="51">
        <v>36.66666666666667</v>
      </c>
      <c r="Q384" s="57">
        <v>9785985038606</v>
      </c>
      <c r="R384" s="66">
        <v>0.07133333333333333</v>
      </c>
    </row>
    <row r="385" spans="1:18" ht="21.75" customHeight="1">
      <c r="A385" s="25" t="s">
        <v>1579</v>
      </c>
      <c r="B385" s="25" t="s">
        <v>1580</v>
      </c>
      <c r="C385" s="49" t="str">
        <f>HYPERLINK("http://www.atberg.aha.ru/raskr/pmk04.jpg")</f>
        <v>http://www.atberg.aha.ru/raskr/pmk04.jpg</v>
      </c>
      <c r="D385" s="27"/>
      <c r="E385" s="25" t="s">
        <v>1581</v>
      </c>
      <c r="F385" s="28" t="s">
        <v>1582</v>
      </c>
      <c r="G385" s="25"/>
      <c r="H385" s="29"/>
      <c r="I385" s="30" t="s">
        <v>813</v>
      </c>
      <c r="J385" s="30">
        <v>2.13</v>
      </c>
      <c r="K385" s="25" t="s">
        <v>1572</v>
      </c>
      <c r="L385" s="31" t="s">
        <v>1573</v>
      </c>
      <c r="M385" s="25" t="s">
        <v>27</v>
      </c>
      <c r="N385" s="32" t="s">
        <v>1339</v>
      </c>
      <c r="O385" s="32" t="s">
        <v>1583</v>
      </c>
      <c r="P385" s="51">
        <v>36.66666666666667</v>
      </c>
      <c r="Q385" s="57">
        <v>9785985038576</v>
      </c>
      <c r="R385" s="66">
        <v>0.071</v>
      </c>
    </row>
    <row r="386" spans="1:18" ht="21.75" customHeight="1" thickBot="1">
      <c r="A386" s="25" t="s">
        <v>1584</v>
      </c>
      <c r="B386" s="25" t="s">
        <v>1585</v>
      </c>
      <c r="C386" s="49" t="str">
        <f>HYPERLINK("http://www.atberg.aha.ru/raskr/pmk01.jpg")</f>
        <v>http://www.atberg.aha.ru/raskr/pmk01.jpg</v>
      </c>
      <c r="D386" s="27"/>
      <c r="E386" s="25" t="s">
        <v>1586</v>
      </c>
      <c r="F386" s="28" t="s">
        <v>1492</v>
      </c>
      <c r="G386" s="25"/>
      <c r="H386" s="29"/>
      <c r="I386" s="30" t="s">
        <v>813</v>
      </c>
      <c r="J386" s="30">
        <v>2.13</v>
      </c>
      <c r="K386" s="25" t="s">
        <v>1572</v>
      </c>
      <c r="L386" s="31" t="s">
        <v>1573</v>
      </c>
      <c r="M386" s="25" t="s">
        <v>27</v>
      </c>
      <c r="N386" s="32" t="s">
        <v>1339</v>
      </c>
      <c r="O386" s="32" t="s">
        <v>1583</v>
      </c>
      <c r="P386" s="51">
        <v>36.66666666666667</v>
      </c>
      <c r="Q386" s="57">
        <v>9785985038583</v>
      </c>
      <c r="R386" s="66">
        <v>0.071</v>
      </c>
    </row>
    <row r="387" spans="1:18" ht="12.75" customHeight="1">
      <c r="A387" s="18"/>
      <c r="B387" s="18"/>
      <c r="C387" s="18"/>
      <c r="D387" s="19"/>
      <c r="E387" s="20"/>
      <c r="F387" s="21" t="s">
        <v>1587</v>
      </c>
      <c r="G387" s="22"/>
      <c r="H387" s="23"/>
      <c r="I387" s="20"/>
      <c r="J387" s="20"/>
      <c r="K387" s="20"/>
      <c r="L387" s="20"/>
      <c r="M387" s="20"/>
      <c r="N387" s="20"/>
      <c r="O387" s="20"/>
      <c r="P387" s="24"/>
      <c r="Q387" s="56"/>
      <c r="R387" s="66"/>
    </row>
    <row r="388" spans="1:18" ht="21.75" customHeight="1">
      <c r="A388" s="25" t="s">
        <v>1588</v>
      </c>
      <c r="B388" s="25" t="s">
        <v>1589</v>
      </c>
      <c r="C388" s="49" t="str">
        <f>HYPERLINK("http://www.atberg.aha.ru/raskr/pmm01.jpg")</f>
        <v>http://www.atberg.aha.ru/raskr/pmm01.jpg</v>
      </c>
      <c r="D388" s="27"/>
      <c r="E388" s="25" t="s">
        <v>1590</v>
      </c>
      <c r="F388" s="28" t="s">
        <v>1337</v>
      </c>
      <c r="G388" s="25"/>
      <c r="H388" s="29"/>
      <c r="I388" s="30" t="s">
        <v>813</v>
      </c>
      <c r="J388" s="30">
        <v>2.38</v>
      </c>
      <c r="K388" s="25" t="s">
        <v>1572</v>
      </c>
      <c r="L388" s="31" t="s">
        <v>1591</v>
      </c>
      <c r="M388" s="25" t="s">
        <v>27</v>
      </c>
      <c r="N388" s="32" t="s">
        <v>1592</v>
      </c>
      <c r="O388" s="32" t="s">
        <v>1593</v>
      </c>
      <c r="P388" s="51">
        <v>41.25</v>
      </c>
      <c r="Q388" s="57">
        <v>9785985039313</v>
      </c>
      <c r="R388" s="66">
        <v>0.07933333333333333</v>
      </c>
    </row>
    <row r="389" spans="1:18" ht="21.75" customHeight="1">
      <c r="A389" s="25" t="s">
        <v>1594</v>
      </c>
      <c r="B389" s="25" t="s">
        <v>1595</v>
      </c>
      <c r="C389" s="49" t="str">
        <f>HYPERLINK("http://www.atberg.aha.ru/raskr/pmm02.jpg")</f>
        <v>http://www.atberg.aha.ru/raskr/pmm02.jpg</v>
      </c>
      <c r="D389" s="27"/>
      <c r="E389" s="25" t="s">
        <v>1596</v>
      </c>
      <c r="F389" s="28" t="s">
        <v>1597</v>
      </c>
      <c r="G389" s="25"/>
      <c r="H389" s="29"/>
      <c r="I389" s="30" t="s">
        <v>813</v>
      </c>
      <c r="J389" s="30">
        <v>2.38</v>
      </c>
      <c r="K389" s="25" t="s">
        <v>1572</v>
      </c>
      <c r="L389" s="31" t="s">
        <v>1591</v>
      </c>
      <c r="M389" s="25" t="s">
        <v>27</v>
      </c>
      <c r="N389" s="32" t="s">
        <v>1592</v>
      </c>
      <c r="O389" s="32" t="s">
        <v>1593</v>
      </c>
      <c r="P389" s="51">
        <v>41.25</v>
      </c>
      <c r="Q389" s="57">
        <v>9785985039306</v>
      </c>
      <c r="R389" s="66">
        <v>0.07933333333333333</v>
      </c>
    </row>
    <row r="390" spans="1:18" ht="21.75" customHeight="1">
      <c r="A390" s="25" t="s">
        <v>1598</v>
      </c>
      <c r="B390" s="25" t="s">
        <v>1599</v>
      </c>
      <c r="C390" s="49" t="str">
        <f>HYPERLINK("http://www.atberg.aha.ru/raskr/pmm03.jpg")</f>
        <v>http://www.atberg.aha.ru/raskr/pmm03.jpg</v>
      </c>
      <c r="D390" s="27"/>
      <c r="E390" s="25" t="s">
        <v>1600</v>
      </c>
      <c r="F390" s="28" t="s">
        <v>1601</v>
      </c>
      <c r="G390" s="25"/>
      <c r="H390" s="29"/>
      <c r="I390" s="30" t="s">
        <v>813</v>
      </c>
      <c r="J390" s="30">
        <v>2.38</v>
      </c>
      <c r="K390" s="25" t="s">
        <v>1572</v>
      </c>
      <c r="L390" s="31" t="s">
        <v>1591</v>
      </c>
      <c r="M390" s="25" t="s">
        <v>27</v>
      </c>
      <c r="N390" s="32" t="s">
        <v>1592</v>
      </c>
      <c r="O390" s="32" t="s">
        <v>1593</v>
      </c>
      <c r="P390" s="51">
        <v>41.25</v>
      </c>
      <c r="Q390" s="57">
        <v>9785985039290</v>
      </c>
      <c r="R390" s="66">
        <v>0.07933333333333333</v>
      </c>
    </row>
    <row r="391" spans="1:18" ht="21.75" customHeight="1" thickBot="1">
      <c r="A391" s="25" t="s">
        <v>1602</v>
      </c>
      <c r="B391" s="25" t="s">
        <v>1603</v>
      </c>
      <c r="C391" s="49" t="str">
        <f>HYPERLINK("http://www.atberg.aha.ru/raskr/pmm04.jpg")</f>
        <v>http://www.atberg.aha.ru/raskr/pmm04.jpg</v>
      </c>
      <c r="D391" s="27"/>
      <c r="E391" s="25" t="s">
        <v>1604</v>
      </c>
      <c r="F391" s="28" t="s">
        <v>1605</v>
      </c>
      <c r="G391" s="25"/>
      <c r="H391" s="29"/>
      <c r="I391" s="30" t="s">
        <v>813</v>
      </c>
      <c r="J391" s="30">
        <v>2.38</v>
      </c>
      <c r="K391" s="25" t="s">
        <v>1572</v>
      </c>
      <c r="L391" s="31" t="s">
        <v>1591</v>
      </c>
      <c r="M391" s="25" t="s">
        <v>27</v>
      </c>
      <c r="N391" s="32" t="s">
        <v>1592</v>
      </c>
      <c r="O391" s="32" t="s">
        <v>1593</v>
      </c>
      <c r="P391" s="51">
        <v>41.25</v>
      </c>
      <c r="Q391" s="57">
        <v>9785985039283</v>
      </c>
      <c r="R391" s="66">
        <v>0.07933333333333333</v>
      </c>
    </row>
    <row r="392" spans="1:18" ht="12.75" customHeight="1">
      <c r="A392" s="18"/>
      <c r="B392" s="18"/>
      <c r="C392" s="18"/>
      <c r="D392" s="19"/>
      <c r="E392" s="20"/>
      <c r="F392" s="21" t="s">
        <v>1606</v>
      </c>
      <c r="G392" s="22"/>
      <c r="H392" s="23"/>
      <c r="I392" s="20"/>
      <c r="J392" s="20"/>
      <c r="K392" s="20"/>
      <c r="L392" s="20"/>
      <c r="M392" s="20"/>
      <c r="N392" s="20"/>
      <c r="O392" s="20"/>
      <c r="P392" s="24"/>
      <c r="Q392" s="56"/>
      <c r="R392" s="66"/>
    </row>
    <row r="393" spans="1:18" ht="32.25" customHeight="1">
      <c r="A393" s="25" t="s">
        <v>1607</v>
      </c>
      <c r="B393" s="25" t="s">
        <v>1608</v>
      </c>
      <c r="C393" s="49" t="str">
        <f>HYPERLINK("http://atberg.aha.ru/raskr/mpr-03.jpg")</f>
        <v>http://atberg.aha.ru/raskr/mpr-03.jpg</v>
      </c>
      <c r="D393" s="27"/>
      <c r="E393" s="25" t="s">
        <v>1609</v>
      </c>
      <c r="F393" s="28" t="s">
        <v>1610</v>
      </c>
      <c r="G393" s="25"/>
      <c r="H393" s="29"/>
      <c r="I393" s="30" t="s">
        <v>97</v>
      </c>
      <c r="J393" s="30">
        <v>2.415</v>
      </c>
      <c r="K393" s="25" t="s">
        <v>25</v>
      </c>
      <c r="L393" s="31" t="s">
        <v>1611</v>
      </c>
      <c r="M393" s="25" t="s">
        <v>1612</v>
      </c>
      <c r="N393" s="32" t="s">
        <v>1613</v>
      </c>
      <c r="O393" s="32" t="s">
        <v>1614</v>
      </c>
      <c r="P393" s="51">
        <v>49.5</v>
      </c>
      <c r="Q393" s="57">
        <v>9785971107934</v>
      </c>
      <c r="R393" s="66">
        <v>0.12075</v>
      </c>
    </row>
    <row r="394" spans="1:18" ht="32.25" customHeight="1" thickBot="1">
      <c r="A394" s="25" t="s">
        <v>1615</v>
      </c>
      <c r="B394" s="25" t="s">
        <v>1616</v>
      </c>
      <c r="C394" s="49" t="str">
        <f>HYPERLINK("http://atberg.aha.ru/raskr/mpr-06.jpg")</f>
        <v>http://atberg.aha.ru/raskr/mpr-06.jpg</v>
      </c>
      <c r="D394" s="27"/>
      <c r="E394" s="25" t="s">
        <v>1617</v>
      </c>
      <c r="F394" s="28" t="s">
        <v>1618</v>
      </c>
      <c r="G394" s="25"/>
      <c r="H394" s="29"/>
      <c r="I394" s="30" t="s">
        <v>97</v>
      </c>
      <c r="J394" s="30">
        <v>2.415</v>
      </c>
      <c r="K394" s="25" t="s">
        <v>25</v>
      </c>
      <c r="L394" s="31" t="s">
        <v>1611</v>
      </c>
      <c r="M394" s="25" t="s">
        <v>1612</v>
      </c>
      <c r="N394" s="32" t="s">
        <v>1613</v>
      </c>
      <c r="O394" s="32" t="s">
        <v>1614</v>
      </c>
      <c r="P394" s="51">
        <v>49.5</v>
      </c>
      <c r="Q394" s="57">
        <v>9785971107958</v>
      </c>
      <c r="R394" s="66">
        <v>0.12075</v>
      </c>
    </row>
    <row r="395" spans="1:18" ht="12.75" customHeight="1">
      <c r="A395" s="18"/>
      <c r="B395" s="18"/>
      <c r="C395" s="18"/>
      <c r="D395" s="19"/>
      <c r="E395" s="20"/>
      <c r="F395" s="21" t="s">
        <v>1619</v>
      </c>
      <c r="G395" s="22"/>
      <c r="H395" s="23"/>
      <c r="I395" s="20"/>
      <c r="J395" s="20"/>
      <c r="K395" s="20"/>
      <c r="L395" s="20"/>
      <c r="M395" s="20"/>
      <c r="N395" s="20"/>
      <c r="O395" s="20"/>
      <c r="P395" s="24"/>
      <c r="Q395" s="56"/>
      <c r="R395" s="66"/>
    </row>
    <row r="396" spans="1:18" ht="21.75" customHeight="1">
      <c r="A396" s="25" t="s">
        <v>1620</v>
      </c>
      <c r="B396" s="25" t="s">
        <v>1621</v>
      </c>
      <c r="C396" s="49" t="str">
        <f>HYPERLINK("http://www.atberg.aha.ru/raskr/mprv01.jpg")</f>
        <v>http://www.atberg.aha.ru/raskr/mprv01.jpg</v>
      </c>
      <c r="D396" s="27"/>
      <c r="E396" s="25" t="s">
        <v>1622</v>
      </c>
      <c r="F396" s="28" t="s">
        <v>1623</v>
      </c>
      <c r="G396" s="25"/>
      <c r="H396" s="29"/>
      <c r="I396" s="30" t="s">
        <v>813</v>
      </c>
      <c r="J396" s="30">
        <v>1.42</v>
      </c>
      <c r="K396" s="25" t="s">
        <v>1624</v>
      </c>
      <c r="L396" s="31" t="s">
        <v>1625</v>
      </c>
      <c r="M396" s="25" t="s">
        <v>1027</v>
      </c>
      <c r="N396" s="32" t="s">
        <v>1339</v>
      </c>
      <c r="O396" s="32" t="s">
        <v>1626</v>
      </c>
      <c r="P396" s="51">
        <v>25.666666666666668</v>
      </c>
      <c r="Q396" s="57">
        <v>9785985034585</v>
      </c>
      <c r="R396" s="66">
        <v>0.04733333333333333</v>
      </c>
    </row>
    <row r="397" spans="1:18" ht="21.75" customHeight="1">
      <c r="A397" s="25" t="s">
        <v>1627</v>
      </c>
      <c r="B397" s="25" t="s">
        <v>1628</v>
      </c>
      <c r="C397" s="49" t="str">
        <f>HYPERLINK("http://www.atberg.aha.ru/raskr/mprv02.jpg")</f>
        <v>http://www.atberg.aha.ru/raskr/mprv02.jpg</v>
      </c>
      <c r="D397" s="27"/>
      <c r="E397" s="25" t="s">
        <v>1629</v>
      </c>
      <c r="F397" s="28" t="s">
        <v>1630</v>
      </c>
      <c r="G397" s="25"/>
      <c r="H397" s="29"/>
      <c r="I397" s="30" t="s">
        <v>813</v>
      </c>
      <c r="J397" s="30">
        <v>1.39</v>
      </c>
      <c r="K397" s="25" t="s">
        <v>1624</v>
      </c>
      <c r="L397" s="31" t="s">
        <v>1625</v>
      </c>
      <c r="M397" s="25" t="s">
        <v>1027</v>
      </c>
      <c r="N397" s="32" t="s">
        <v>1339</v>
      </c>
      <c r="O397" s="32" t="s">
        <v>1626</v>
      </c>
      <c r="P397" s="51">
        <v>25.666666666666668</v>
      </c>
      <c r="Q397" s="57">
        <v>9785985034592</v>
      </c>
      <c r="R397" s="66">
        <v>0.04633333333333333</v>
      </c>
    </row>
    <row r="398" spans="1:18" ht="21.75" customHeight="1">
      <c r="A398" s="25" t="s">
        <v>1631</v>
      </c>
      <c r="B398" s="25" t="s">
        <v>1632</v>
      </c>
      <c r="C398" s="49" t="str">
        <f>HYPERLINK("http://atberg.aha.ru/raskr/mprv03.jpg")</f>
        <v>http://atberg.aha.ru/raskr/mprv03.jpg</v>
      </c>
      <c r="D398" s="27"/>
      <c r="E398" s="25" t="s">
        <v>1633</v>
      </c>
      <c r="F398" s="28" t="s">
        <v>1634</v>
      </c>
      <c r="G398" s="25"/>
      <c r="H398" s="29"/>
      <c r="I398" s="30" t="s">
        <v>813</v>
      </c>
      <c r="J398" s="30">
        <v>1.42</v>
      </c>
      <c r="K398" s="25" t="s">
        <v>1624</v>
      </c>
      <c r="L398" s="31" t="s">
        <v>1625</v>
      </c>
      <c r="M398" s="25" t="s">
        <v>1027</v>
      </c>
      <c r="N398" s="32" t="s">
        <v>1339</v>
      </c>
      <c r="O398" s="32" t="s">
        <v>1626</v>
      </c>
      <c r="P398" s="51">
        <v>25.666666666666668</v>
      </c>
      <c r="Q398" s="57">
        <v>9785985034608</v>
      </c>
      <c r="R398" s="66">
        <v>0.04733333333333333</v>
      </c>
    </row>
    <row r="399" spans="1:18" ht="21.75" customHeight="1" thickBot="1">
      <c r="A399" s="25" t="s">
        <v>1635</v>
      </c>
      <c r="B399" s="25" t="s">
        <v>1636</v>
      </c>
      <c r="C399" s="49" t="str">
        <f>HYPERLINK("http://www.atberg.aha.ru/raskr/mprv04.jpg")</f>
        <v>http://www.atberg.aha.ru/raskr/mprv04.jpg</v>
      </c>
      <c r="D399" s="27"/>
      <c r="E399" s="25" t="s">
        <v>1637</v>
      </c>
      <c r="F399" s="28" t="s">
        <v>1638</v>
      </c>
      <c r="G399" s="25"/>
      <c r="H399" s="29"/>
      <c r="I399" s="30" t="s">
        <v>813</v>
      </c>
      <c r="J399" s="30">
        <v>1.42</v>
      </c>
      <c r="K399" s="25" t="s">
        <v>1624</v>
      </c>
      <c r="L399" s="31" t="s">
        <v>1625</v>
      </c>
      <c r="M399" s="25" t="s">
        <v>1027</v>
      </c>
      <c r="N399" s="32" t="s">
        <v>1339</v>
      </c>
      <c r="O399" s="32" t="s">
        <v>1626</v>
      </c>
      <c r="P399" s="51">
        <v>25.666666666666668</v>
      </c>
      <c r="Q399" s="57">
        <v>9785985034615</v>
      </c>
      <c r="R399" s="66">
        <v>0.04733333333333333</v>
      </c>
    </row>
    <row r="400" spans="1:18" ht="12.75" customHeight="1">
      <c r="A400" s="18"/>
      <c r="B400" s="18"/>
      <c r="C400" s="18"/>
      <c r="D400" s="19"/>
      <c r="E400" s="20"/>
      <c r="F400" s="21" t="s">
        <v>1639</v>
      </c>
      <c r="G400" s="22"/>
      <c r="H400" s="23"/>
      <c r="I400" s="20"/>
      <c r="J400" s="20"/>
      <c r="K400" s="20"/>
      <c r="L400" s="20"/>
      <c r="M400" s="20"/>
      <c r="N400" s="20"/>
      <c r="O400" s="20"/>
      <c r="P400" s="24"/>
      <c r="Q400" s="56"/>
      <c r="R400" s="66"/>
    </row>
    <row r="401" spans="1:18" ht="21.75" customHeight="1">
      <c r="A401" s="25" t="s">
        <v>1640</v>
      </c>
      <c r="B401" s="25" t="s">
        <v>1641</v>
      </c>
      <c r="C401" s="49" t="str">
        <f>HYPERLINK("http://atberg.aha.ru/avto/pdm01.jpg")</f>
        <v>http://atberg.aha.ru/avto/pdm01.jpg</v>
      </c>
      <c r="D401" s="27"/>
      <c r="E401" s="25" t="s">
        <v>1642</v>
      </c>
      <c r="F401" s="28" t="s">
        <v>1643</v>
      </c>
      <c r="G401" s="25"/>
      <c r="H401" s="29"/>
      <c r="I401" s="30" t="s">
        <v>24</v>
      </c>
      <c r="J401" s="30">
        <v>1.6</v>
      </c>
      <c r="K401" s="25" t="s">
        <v>1644</v>
      </c>
      <c r="L401" s="31" t="s">
        <v>1645</v>
      </c>
      <c r="M401" s="25" t="s">
        <v>27</v>
      </c>
      <c r="N401" s="32" t="s">
        <v>1646</v>
      </c>
      <c r="O401" s="32" t="s">
        <v>1647</v>
      </c>
      <c r="P401" s="51">
        <v>18.333333333333336</v>
      </c>
      <c r="Q401" s="57">
        <v>9785978015355</v>
      </c>
      <c r="R401" s="66">
        <v>0.032</v>
      </c>
    </row>
    <row r="402" spans="1:18" ht="21.75" customHeight="1">
      <c r="A402" s="25" t="s">
        <v>1648</v>
      </c>
      <c r="B402" s="25" t="s">
        <v>1649</v>
      </c>
      <c r="C402" s="49" t="str">
        <f>HYPERLINK("http://atberg.aha.ru/avto/pdm02.jpg")</f>
        <v>http://atberg.aha.ru/avto/pdm02.jpg</v>
      </c>
      <c r="D402" s="27"/>
      <c r="E402" s="25" t="s">
        <v>1650</v>
      </c>
      <c r="F402" s="28" t="s">
        <v>1651</v>
      </c>
      <c r="G402" s="25"/>
      <c r="H402" s="29"/>
      <c r="I402" s="30" t="s">
        <v>24</v>
      </c>
      <c r="J402" s="30">
        <v>1.6</v>
      </c>
      <c r="K402" s="25" t="s">
        <v>1644</v>
      </c>
      <c r="L402" s="31" t="s">
        <v>1645</v>
      </c>
      <c r="M402" s="25" t="s">
        <v>27</v>
      </c>
      <c r="N402" s="32" t="s">
        <v>1646</v>
      </c>
      <c r="O402" s="32" t="s">
        <v>1647</v>
      </c>
      <c r="P402" s="51">
        <v>18.333333333333336</v>
      </c>
      <c r="Q402" s="57">
        <v>9785978014068</v>
      </c>
      <c r="R402" s="66">
        <v>0.032</v>
      </c>
    </row>
    <row r="403" spans="1:18" ht="21.75" customHeight="1">
      <c r="A403" s="25" t="s">
        <v>1652</v>
      </c>
      <c r="B403" s="25" t="s">
        <v>1653</v>
      </c>
      <c r="C403" s="49" t="str">
        <f>HYPERLINK("http://atberg.aha.ru/avto/pdm03.jpg")</f>
        <v>http://atberg.aha.ru/avto/pdm03.jpg</v>
      </c>
      <c r="D403" s="27"/>
      <c r="E403" s="25" t="s">
        <v>1654</v>
      </c>
      <c r="F403" s="28" t="s">
        <v>1655</v>
      </c>
      <c r="G403" s="25"/>
      <c r="H403" s="29"/>
      <c r="I403" s="30" t="s">
        <v>24</v>
      </c>
      <c r="J403" s="30">
        <v>1.6</v>
      </c>
      <c r="K403" s="25" t="s">
        <v>1644</v>
      </c>
      <c r="L403" s="31" t="s">
        <v>1645</v>
      </c>
      <c r="M403" s="25" t="s">
        <v>27</v>
      </c>
      <c r="N403" s="32" t="s">
        <v>1646</v>
      </c>
      <c r="O403" s="32" t="s">
        <v>1656</v>
      </c>
      <c r="P403" s="51">
        <v>18.333333333333336</v>
      </c>
      <c r="Q403" s="57">
        <v>9785766811282</v>
      </c>
      <c r="R403" s="66">
        <v>0.032</v>
      </c>
    </row>
    <row r="404" spans="1:18" ht="21.75" customHeight="1">
      <c r="A404" s="25" t="s">
        <v>1657</v>
      </c>
      <c r="B404" s="25" t="s">
        <v>1658</v>
      </c>
      <c r="C404" s="49" t="str">
        <f>HYPERLINK("http://atberg.aha.ru/avto/pdm04.jpg")</f>
        <v>http://atberg.aha.ru/avto/pdm04.jpg</v>
      </c>
      <c r="D404" s="27"/>
      <c r="E404" s="25" t="s">
        <v>1659</v>
      </c>
      <c r="F404" s="28" t="s">
        <v>1660</v>
      </c>
      <c r="G404" s="25"/>
      <c r="H404" s="29"/>
      <c r="I404" s="30" t="s">
        <v>24</v>
      </c>
      <c r="J404" s="30">
        <v>1.6</v>
      </c>
      <c r="K404" s="25" t="s">
        <v>1644</v>
      </c>
      <c r="L404" s="31" t="s">
        <v>1645</v>
      </c>
      <c r="M404" s="25" t="s">
        <v>27</v>
      </c>
      <c r="N404" s="32" t="s">
        <v>1646</v>
      </c>
      <c r="O404" s="32" t="s">
        <v>1647</v>
      </c>
      <c r="P404" s="51">
        <v>18.333333333333336</v>
      </c>
      <c r="Q404" s="57">
        <v>9785978015379</v>
      </c>
      <c r="R404" s="66">
        <v>0.032</v>
      </c>
    </row>
    <row r="405" spans="1:18" ht="21.75" customHeight="1">
      <c r="A405" s="25" t="s">
        <v>1661</v>
      </c>
      <c r="B405" s="25" t="s">
        <v>1662</v>
      </c>
      <c r="C405" s="49" t="str">
        <f>HYPERLINK("http://atberg.aha.ru/avto/pdm05.jpg")</f>
        <v>http://atberg.aha.ru/avto/pdm05.jpg</v>
      </c>
      <c r="D405" s="27"/>
      <c r="E405" s="25" t="s">
        <v>1663</v>
      </c>
      <c r="F405" s="28" t="s">
        <v>1664</v>
      </c>
      <c r="G405" s="25"/>
      <c r="H405" s="29"/>
      <c r="I405" s="30" t="s">
        <v>24</v>
      </c>
      <c r="J405" s="30">
        <v>1.6</v>
      </c>
      <c r="K405" s="25" t="s">
        <v>1644</v>
      </c>
      <c r="L405" s="31" t="s">
        <v>1645</v>
      </c>
      <c r="M405" s="25" t="s">
        <v>27</v>
      </c>
      <c r="N405" s="32" t="s">
        <v>1646</v>
      </c>
      <c r="O405" s="32" t="s">
        <v>1656</v>
      </c>
      <c r="P405" s="51">
        <v>18.333333333333336</v>
      </c>
      <c r="Q405" s="57">
        <v>9785766811299</v>
      </c>
      <c r="R405" s="66">
        <v>0.032</v>
      </c>
    </row>
    <row r="406" spans="1:18" ht="21.75" customHeight="1">
      <c r="A406" s="25" t="s">
        <v>1665</v>
      </c>
      <c r="B406" s="25" t="s">
        <v>1666</v>
      </c>
      <c r="C406" s="49" t="str">
        <f>HYPERLINK("http://atberg.aha.ru/avto/pdm06.jpg")</f>
        <v>http://atberg.aha.ru/avto/pdm06.jpg</v>
      </c>
      <c r="D406" s="27"/>
      <c r="E406" s="25" t="s">
        <v>1667</v>
      </c>
      <c r="F406" s="28" t="s">
        <v>1668</v>
      </c>
      <c r="G406" s="25"/>
      <c r="H406" s="29"/>
      <c r="I406" s="30" t="s">
        <v>24</v>
      </c>
      <c r="J406" s="30">
        <v>1.6</v>
      </c>
      <c r="K406" s="25" t="s">
        <v>1644</v>
      </c>
      <c r="L406" s="31" t="s">
        <v>1645</v>
      </c>
      <c r="M406" s="25" t="s">
        <v>27</v>
      </c>
      <c r="N406" s="32" t="s">
        <v>1646</v>
      </c>
      <c r="O406" s="32" t="s">
        <v>1647</v>
      </c>
      <c r="P406" s="51">
        <v>18.333333333333336</v>
      </c>
      <c r="Q406" s="57">
        <v>9785978015386</v>
      </c>
      <c r="R406" s="66">
        <v>0.032</v>
      </c>
    </row>
    <row r="407" spans="1:18" ht="21.75" customHeight="1">
      <c r="A407" s="25" t="s">
        <v>1669</v>
      </c>
      <c r="B407" s="25" t="s">
        <v>1670</v>
      </c>
      <c r="C407" s="49" t="str">
        <f>HYPERLINK("http://atberg.aha.ru/avto/pdm07.jpg")</f>
        <v>http://atberg.aha.ru/avto/pdm07.jpg</v>
      </c>
      <c r="D407" s="27"/>
      <c r="E407" s="25" t="s">
        <v>1671</v>
      </c>
      <c r="F407" s="28" t="s">
        <v>1672</v>
      </c>
      <c r="G407" s="25"/>
      <c r="H407" s="29"/>
      <c r="I407" s="30" t="s">
        <v>24</v>
      </c>
      <c r="J407" s="30">
        <v>1.6</v>
      </c>
      <c r="K407" s="25" t="s">
        <v>1644</v>
      </c>
      <c r="L407" s="31" t="s">
        <v>1645</v>
      </c>
      <c r="M407" s="25" t="s">
        <v>27</v>
      </c>
      <c r="N407" s="32" t="s">
        <v>1646</v>
      </c>
      <c r="O407" s="32" t="s">
        <v>1656</v>
      </c>
      <c r="P407" s="51">
        <v>18.333333333333336</v>
      </c>
      <c r="Q407" s="57">
        <v>9785766811305</v>
      </c>
      <c r="R407" s="66">
        <v>0.032</v>
      </c>
    </row>
    <row r="408" spans="1:18" ht="21.75" customHeight="1" thickBot="1">
      <c r="A408" s="25" t="s">
        <v>1673</v>
      </c>
      <c r="B408" s="25" t="s">
        <v>1674</v>
      </c>
      <c r="C408" s="49" t="str">
        <f>HYPERLINK("http://atberg.aha.ru/avto/pdm08.jpg")</f>
        <v>http://atberg.aha.ru/avto/pdm08.jpg</v>
      </c>
      <c r="D408" s="27"/>
      <c r="E408" s="25" t="s">
        <v>1675</v>
      </c>
      <c r="F408" s="28" t="s">
        <v>1676</v>
      </c>
      <c r="G408" s="25"/>
      <c r="H408" s="29"/>
      <c r="I408" s="30" t="s">
        <v>24</v>
      </c>
      <c r="J408" s="30">
        <v>1.6</v>
      </c>
      <c r="K408" s="25" t="s">
        <v>1644</v>
      </c>
      <c r="L408" s="31" t="s">
        <v>1645</v>
      </c>
      <c r="M408" s="25" t="s">
        <v>27</v>
      </c>
      <c r="N408" s="32" t="s">
        <v>1646</v>
      </c>
      <c r="O408" s="32" t="s">
        <v>1656</v>
      </c>
      <c r="P408" s="51">
        <v>18.333333333333336</v>
      </c>
      <c r="Q408" s="57">
        <v>9785766811312</v>
      </c>
      <c r="R408" s="66">
        <v>0.032</v>
      </c>
    </row>
    <row r="409" spans="1:18" ht="12.75" customHeight="1">
      <c r="A409" s="18"/>
      <c r="B409" s="18"/>
      <c r="C409" s="18"/>
      <c r="D409" s="19"/>
      <c r="E409" s="20"/>
      <c r="F409" s="21" t="s">
        <v>1677</v>
      </c>
      <c r="G409" s="22"/>
      <c r="H409" s="23"/>
      <c r="I409" s="20"/>
      <c r="J409" s="20"/>
      <c r="K409" s="20"/>
      <c r="L409" s="20"/>
      <c r="M409" s="20"/>
      <c r="N409" s="20"/>
      <c r="O409" s="20"/>
      <c r="P409" s="24"/>
      <c r="Q409" s="56"/>
      <c r="R409" s="66"/>
    </row>
    <row r="410" spans="1:18" ht="21.75" customHeight="1">
      <c r="A410" s="25" t="s">
        <v>1678</v>
      </c>
      <c r="B410" s="25" t="s">
        <v>1679</v>
      </c>
      <c r="C410" s="49" t="str">
        <f>HYPERLINK("http://atberg.aha.ru/raskr/ram13.jpg")</f>
        <v>http://atberg.aha.ru/raskr/ram13.jpg</v>
      </c>
      <c r="D410" s="27"/>
      <c r="E410" s="25" t="s">
        <v>1680</v>
      </c>
      <c r="F410" s="28" t="s">
        <v>1681</v>
      </c>
      <c r="G410" s="25"/>
      <c r="H410" s="29"/>
      <c r="I410" s="30" t="s">
        <v>24</v>
      </c>
      <c r="J410" s="30">
        <v>2.45</v>
      </c>
      <c r="K410" s="25" t="s">
        <v>1682</v>
      </c>
      <c r="L410" s="31" t="s">
        <v>1683</v>
      </c>
      <c r="M410" s="25" t="s">
        <v>27</v>
      </c>
      <c r="N410" s="32" t="s">
        <v>1300</v>
      </c>
      <c r="O410" s="32" t="s">
        <v>1684</v>
      </c>
      <c r="P410" s="51">
        <v>22</v>
      </c>
      <c r="Q410" s="57">
        <v>9785766807070</v>
      </c>
      <c r="R410" s="66">
        <v>0.049</v>
      </c>
    </row>
    <row r="411" spans="1:18" ht="21.75" customHeight="1">
      <c r="A411" s="25" t="s">
        <v>1685</v>
      </c>
      <c r="B411" s="25" t="s">
        <v>1686</v>
      </c>
      <c r="C411" s="49" t="str">
        <f>HYPERLINK("http://atberg.aha.ru/raskr/ram12.jpg")</f>
        <v>http://atberg.aha.ru/raskr/ram12.jpg</v>
      </c>
      <c r="D411" s="27"/>
      <c r="E411" s="25" t="s">
        <v>1687</v>
      </c>
      <c r="F411" s="28" t="s">
        <v>1688</v>
      </c>
      <c r="G411" s="25"/>
      <c r="H411" s="29"/>
      <c r="I411" s="30" t="s">
        <v>24</v>
      </c>
      <c r="J411" s="30">
        <v>2.45</v>
      </c>
      <c r="K411" s="25" t="s">
        <v>1682</v>
      </c>
      <c r="L411" s="31" t="s">
        <v>1683</v>
      </c>
      <c r="M411" s="25" t="s">
        <v>27</v>
      </c>
      <c r="N411" s="32" t="s">
        <v>1300</v>
      </c>
      <c r="O411" s="32" t="s">
        <v>1684</v>
      </c>
      <c r="P411" s="51">
        <v>22</v>
      </c>
      <c r="Q411" s="57">
        <v>9785766807087</v>
      </c>
      <c r="R411" s="66">
        <v>0.049</v>
      </c>
    </row>
    <row r="412" spans="1:18" ht="21.75" customHeight="1">
      <c r="A412" s="25" t="s">
        <v>1689</v>
      </c>
      <c r="B412" s="25" t="s">
        <v>1690</v>
      </c>
      <c r="C412" s="49" t="str">
        <f>HYPERLINK("http://atberg.aha.ru/raskr/ram14.jpg")</f>
        <v>http://atberg.aha.ru/raskr/ram14.jpg</v>
      </c>
      <c r="D412" s="27"/>
      <c r="E412" s="25" t="s">
        <v>1691</v>
      </c>
      <c r="F412" s="28" t="s">
        <v>1692</v>
      </c>
      <c r="G412" s="25"/>
      <c r="H412" s="29"/>
      <c r="I412" s="30" t="s">
        <v>24</v>
      </c>
      <c r="J412" s="30">
        <v>2.45</v>
      </c>
      <c r="K412" s="25" t="s">
        <v>1693</v>
      </c>
      <c r="L412" s="31" t="s">
        <v>1683</v>
      </c>
      <c r="M412" s="25" t="s">
        <v>27</v>
      </c>
      <c r="N412" s="32" t="s">
        <v>1300</v>
      </c>
      <c r="O412" s="32" t="s">
        <v>1684</v>
      </c>
      <c r="P412" s="51">
        <v>22</v>
      </c>
      <c r="Q412" s="57">
        <v>9785985039122</v>
      </c>
      <c r="R412" s="66">
        <v>0.049</v>
      </c>
    </row>
    <row r="413" spans="1:18" ht="21.75" customHeight="1">
      <c r="A413" s="25" t="s">
        <v>1694</v>
      </c>
      <c r="B413" s="25" t="s">
        <v>1695</v>
      </c>
      <c r="C413" s="49" t="str">
        <f>HYPERLINK("http://atberg.aha.ru/raskr/ram15.jpg")</f>
        <v>http://atberg.aha.ru/raskr/ram15.jpg</v>
      </c>
      <c r="D413" s="27"/>
      <c r="E413" s="25" t="s">
        <v>1696</v>
      </c>
      <c r="F413" s="28" t="s">
        <v>1697</v>
      </c>
      <c r="G413" s="25"/>
      <c r="H413" s="29"/>
      <c r="I413" s="30" t="s">
        <v>24</v>
      </c>
      <c r="J413" s="30">
        <v>2.45</v>
      </c>
      <c r="K413" s="25" t="s">
        <v>1693</v>
      </c>
      <c r="L413" s="31" t="s">
        <v>1683</v>
      </c>
      <c r="M413" s="25" t="s">
        <v>27</v>
      </c>
      <c r="N413" s="32" t="s">
        <v>1300</v>
      </c>
      <c r="O413" s="32" t="s">
        <v>1684</v>
      </c>
      <c r="P413" s="51">
        <v>22</v>
      </c>
      <c r="Q413" s="57">
        <v>9785985039115</v>
      </c>
      <c r="R413" s="66">
        <v>0.049</v>
      </c>
    </row>
    <row r="414" spans="1:18" ht="21.75" customHeight="1">
      <c r="A414" s="25" t="s">
        <v>1698</v>
      </c>
      <c r="B414" s="25" t="s">
        <v>1699</v>
      </c>
      <c r="C414" s="49" t="str">
        <f>HYPERLINK("http://atberg.aha.ru/raskr/ram11.jpg")</f>
        <v>http://atberg.aha.ru/raskr/ram11.jpg</v>
      </c>
      <c r="D414" s="27"/>
      <c r="E414" s="25" t="s">
        <v>1700</v>
      </c>
      <c r="F414" s="28" t="s">
        <v>1701</v>
      </c>
      <c r="G414" s="25"/>
      <c r="H414" s="29"/>
      <c r="I414" s="30" t="s">
        <v>24</v>
      </c>
      <c r="J414" s="30">
        <v>2.45</v>
      </c>
      <c r="K414" s="25" t="s">
        <v>1682</v>
      </c>
      <c r="L414" s="31" t="s">
        <v>1683</v>
      </c>
      <c r="M414" s="25" t="s">
        <v>27</v>
      </c>
      <c r="N414" s="32" t="s">
        <v>1300</v>
      </c>
      <c r="O414" s="32" t="s">
        <v>1684</v>
      </c>
      <c r="P414" s="51">
        <v>22</v>
      </c>
      <c r="Q414" s="57">
        <v>9785766807094</v>
      </c>
      <c r="R414" s="66">
        <v>0.049</v>
      </c>
    </row>
    <row r="415" spans="1:18" ht="21.75" customHeight="1">
      <c r="A415" s="25" t="s">
        <v>1702</v>
      </c>
      <c r="B415" s="25" t="s">
        <v>1703</v>
      </c>
      <c r="C415" s="49" t="str">
        <f>HYPERLINK("http://atberg.aha.ru/raskr/ram02.jpg")</f>
        <v>http://atberg.aha.ru/raskr/ram02.jpg</v>
      </c>
      <c r="D415" s="27"/>
      <c r="E415" s="25" t="s">
        <v>1704</v>
      </c>
      <c r="F415" s="28" t="s">
        <v>1705</v>
      </c>
      <c r="G415" s="25"/>
      <c r="H415" s="29"/>
      <c r="I415" s="30" t="s">
        <v>24</v>
      </c>
      <c r="J415" s="30">
        <v>2.45</v>
      </c>
      <c r="K415" s="25" t="s">
        <v>1693</v>
      </c>
      <c r="L415" s="31" t="s">
        <v>1683</v>
      </c>
      <c r="M415" s="25" t="s">
        <v>27</v>
      </c>
      <c r="N415" s="32" t="s">
        <v>1300</v>
      </c>
      <c r="O415" s="32" t="s">
        <v>1684</v>
      </c>
      <c r="P415" s="51">
        <v>22</v>
      </c>
      <c r="Q415" s="57">
        <v>9785985039054</v>
      </c>
      <c r="R415" s="66">
        <v>0.049</v>
      </c>
    </row>
    <row r="416" spans="1:18" ht="21.75" customHeight="1">
      <c r="A416" s="25" t="s">
        <v>1706</v>
      </c>
      <c r="B416" s="25" t="s">
        <v>1707</v>
      </c>
      <c r="C416" s="49" t="str">
        <f>HYPERLINK("http://atberg.aha.ru/raskr/ram03.jpg")</f>
        <v>http://atberg.aha.ru/raskr/ram03.jpg</v>
      </c>
      <c r="D416" s="27"/>
      <c r="E416" s="25" t="s">
        <v>1708</v>
      </c>
      <c r="F416" s="28" t="s">
        <v>1709</v>
      </c>
      <c r="G416" s="25"/>
      <c r="H416" s="29"/>
      <c r="I416" s="30" t="s">
        <v>24</v>
      </c>
      <c r="J416" s="30">
        <v>2.45</v>
      </c>
      <c r="K416" s="25" t="s">
        <v>1693</v>
      </c>
      <c r="L416" s="31" t="s">
        <v>1683</v>
      </c>
      <c r="M416" s="25" t="s">
        <v>27</v>
      </c>
      <c r="N416" s="32" t="s">
        <v>1300</v>
      </c>
      <c r="O416" s="32" t="s">
        <v>1684</v>
      </c>
      <c r="P416" s="51">
        <v>22</v>
      </c>
      <c r="Q416" s="57">
        <v>9785985039061</v>
      </c>
      <c r="R416" s="66">
        <v>0.049</v>
      </c>
    </row>
    <row r="417" spans="1:18" ht="21.75" customHeight="1">
      <c r="A417" s="25" t="s">
        <v>1710</v>
      </c>
      <c r="B417" s="25" t="s">
        <v>1711</v>
      </c>
      <c r="C417" s="49" t="str">
        <f>HYPERLINK("http://atberg.aha.ru/raskr/ram05.jpg")</f>
        <v>http://atberg.aha.ru/raskr/ram05.jpg</v>
      </c>
      <c r="D417" s="27"/>
      <c r="E417" s="25" t="s">
        <v>1712</v>
      </c>
      <c r="F417" s="28" t="s">
        <v>1713</v>
      </c>
      <c r="G417" s="25"/>
      <c r="H417" s="29"/>
      <c r="I417" s="30" t="s">
        <v>24</v>
      </c>
      <c r="J417" s="30">
        <v>2.45</v>
      </c>
      <c r="K417" s="25" t="s">
        <v>1693</v>
      </c>
      <c r="L417" s="31" t="s">
        <v>1683</v>
      </c>
      <c r="M417" s="25" t="s">
        <v>27</v>
      </c>
      <c r="N417" s="32" t="s">
        <v>1300</v>
      </c>
      <c r="O417" s="32" t="s">
        <v>1684</v>
      </c>
      <c r="P417" s="51">
        <v>22</v>
      </c>
      <c r="Q417" s="57">
        <v>9785985039078</v>
      </c>
      <c r="R417" s="66">
        <v>0.049</v>
      </c>
    </row>
    <row r="418" spans="1:18" ht="21.75" customHeight="1">
      <c r="A418" s="25" t="s">
        <v>1714</v>
      </c>
      <c r="B418" s="25" t="s">
        <v>1715</v>
      </c>
      <c r="C418" s="49" t="str">
        <f>HYPERLINK("http://atberg.aha.ru/raskr/ram10.jpg")</f>
        <v>http://atberg.aha.ru/raskr/ram10.jpg</v>
      </c>
      <c r="D418" s="27"/>
      <c r="E418" s="25" t="s">
        <v>1716</v>
      </c>
      <c r="F418" s="28" t="s">
        <v>1717</v>
      </c>
      <c r="G418" s="25"/>
      <c r="H418" s="29"/>
      <c r="I418" s="30" t="s">
        <v>24</v>
      </c>
      <c r="J418" s="30">
        <v>2.45</v>
      </c>
      <c r="K418" s="25" t="s">
        <v>1682</v>
      </c>
      <c r="L418" s="31" t="s">
        <v>1683</v>
      </c>
      <c r="M418" s="25" t="s">
        <v>27</v>
      </c>
      <c r="N418" s="32" t="s">
        <v>1300</v>
      </c>
      <c r="O418" s="32" t="s">
        <v>1684</v>
      </c>
      <c r="P418" s="51">
        <v>22</v>
      </c>
      <c r="Q418" s="57">
        <v>9785766807100</v>
      </c>
      <c r="R418" s="66">
        <v>0.049</v>
      </c>
    </row>
    <row r="419" spans="1:18" ht="21.75" customHeight="1">
      <c r="A419" s="25" t="s">
        <v>1718</v>
      </c>
      <c r="B419" s="25" t="s">
        <v>1719</v>
      </c>
      <c r="C419" s="49" t="str">
        <f>HYPERLINK("http://atberg.aha.ru/raskr/ram06.jpg")</f>
        <v>http://atberg.aha.ru/raskr/ram06.jpg</v>
      </c>
      <c r="D419" s="27"/>
      <c r="E419" s="25" t="s">
        <v>1720</v>
      </c>
      <c r="F419" s="28" t="s">
        <v>1721</v>
      </c>
      <c r="G419" s="25"/>
      <c r="H419" s="29"/>
      <c r="I419" s="30" t="s">
        <v>24</v>
      </c>
      <c r="J419" s="30">
        <v>2.45</v>
      </c>
      <c r="K419" s="25" t="s">
        <v>1693</v>
      </c>
      <c r="L419" s="31" t="s">
        <v>1683</v>
      </c>
      <c r="M419" s="25" t="s">
        <v>27</v>
      </c>
      <c r="N419" s="32" t="s">
        <v>1300</v>
      </c>
      <c r="O419" s="32" t="s">
        <v>1684</v>
      </c>
      <c r="P419" s="51">
        <v>22</v>
      </c>
      <c r="Q419" s="57">
        <v>9785985039085</v>
      </c>
      <c r="R419" s="66">
        <v>0.049</v>
      </c>
    </row>
    <row r="420" spans="1:18" ht="21.75" customHeight="1">
      <c r="A420" s="25" t="s">
        <v>1722</v>
      </c>
      <c r="B420" s="25" t="s">
        <v>1723</v>
      </c>
      <c r="C420" s="49" t="str">
        <f>HYPERLINK("http://atberg.aha.ru/raskr/ram08.jpg")</f>
        <v>http://atberg.aha.ru/raskr/ram08.jpg</v>
      </c>
      <c r="D420" s="27"/>
      <c r="E420" s="25" t="s">
        <v>1724</v>
      </c>
      <c r="F420" s="28" t="s">
        <v>1725</v>
      </c>
      <c r="G420" s="25"/>
      <c r="H420" s="29"/>
      <c r="I420" s="30" t="s">
        <v>24</v>
      </c>
      <c r="J420" s="30">
        <v>2.45</v>
      </c>
      <c r="K420" s="25" t="s">
        <v>1693</v>
      </c>
      <c r="L420" s="31" t="s">
        <v>1683</v>
      </c>
      <c r="M420" s="25" t="s">
        <v>27</v>
      </c>
      <c r="N420" s="32" t="s">
        <v>1300</v>
      </c>
      <c r="O420" s="32" t="s">
        <v>1684</v>
      </c>
      <c r="P420" s="51">
        <v>22</v>
      </c>
      <c r="Q420" s="57">
        <v>9785985039092</v>
      </c>
      <c r="R420" s="66">
        <v>0.049</v>
      </c>
    </row>
    <row r="421" spans="1:18" ht="21.75" customHeight="1" thickBot="1">
      <c r="A421" s="25" t="s">
        <v>1726</v>
      </c>
      <c r="B421" s="25" t="s">
        <v>1727</v>
      </c>
      <c r="C421" s="49" t="str">
        <f>HYPERLINK("http://atberg.aha.ru/raskr/ram07.jpg")</f>
        <v>http://atberg.aha.ru/raskr/ram07.jpg</v>
      </c>
      <c r="D421" s="27"/>
      <c r="E421" s="25" t="s">
        <v>1728</v>
      </c>
      <c r="F421" s="28" t="s">
        <v>1729</v>
      </c>
      <c r="G421" s="25"/>
      <c r="H421" s="29"/>
      <c r="I421" s="30" t="s">
        <v>24</v>
      </c>
      <c r="J421" s="30">
        <v>2.45</v>
      </c>
      <c r="K421" s="25" t="s">
        <v>1693</v>
      </c>
      <c r="L421" s="31" t="s">
        <v>1683</v>
      </c>
      <c r="M421" s="25" t="s">
        <v>27</v>
      </c>
      <c r="N421" s="32" t="s">
        <v>1300</v>
      </c>
      <c r="O421" s="32" t="s">
        <v>1684</v>
      </c>
      <c r="P421" s="51">
        <v>22</v>
      </c>
      <c r="Q421" s="57">
        <v>9785985039108</v>
      </c>
      <c r="R421" s="66">
        <v>0.049</v>
      </c>
    </row>
    <row r="422" spans="1:18" ht="12.75" customHeight="1">
      <c r="A422" s="18"/>
      <c r="B422" s="18"/>
      <c r="C422" s="18"/>
      <c r="D422" s="19"/>
      <c r="E422" s="20"/>
      <c r="F422" s="21" t="s">
        <v>1730</v>
      </c>
      <c r="G422" s="22"/>
      <c r="H422" s="23"/>
      <c r="I422" s="20"/>
      <c r="J422" s="20"/>
      <c r="K422" s="20"/>
      <c r="L422" s="20"/>
      <c r="M422" s="20"/>
      <c r="N422" s="20"/>
      <c r="O422" s="20"/>
      <c r="P422" s="24"/>
      <c r="Q422" s="56"/>
      <c r="R422" s="66"/>
    </row>
    <row r="423" spans="1:18" ht="21.75" customHeight="1">
      <c r="A423" s="25" t="s">
        <v>1731</v>
      </c>
      <c r="B423" s="25" t="s">
        <v>1732</v>
      </c>
      <c r="C423" s="49" t="str">
        <f>HYPERLINK("http://atberg.aha.ru/raskr/rsk17.jpg")</f>
        <v>http://atberg.aha.ru/raskr/rsk17.jpg</v>
      </c>
      <c r="D423" s="27"/>
      <c r="E423" s="25" t="s">
        <v>1733</v>
      </c>
      <c r="F423" s="28" t="s">
        <v>1442</v>
      </c>
      <c r="G423" s="25"/>
      <c r="H423" s="29"/>
      <c r="I423" s="30" t="s">
        <v>813</v>
      </c>
      <c r="J423" s="30">
        <v>1.53</v>
      </c>
      <c r="K423" s="25" t="s">
        <v>1734</v>
      </c>
      <c r="L423" s="31" t="s">
        <v>1382</v>
      </c>
      <c r="M423" s="25" t="s">
        <v>1027</v>
      </c>
      <c r="N423" s="32" t="s">
        <v>1735</v>
      </c>
      <c r="O423" s="32" t="s">
        <v>1736</v>
      </c>
      <c r="P423" s="51">
        <v>31.166666666666668</v>
      </c>
      <c r="Q423" s="57">
        <v>9785985036190</v>
      </c>
      <c r="R423" s="66">
        <v>0.051000000000000004</v>
      </c>
    </row>
    <row r="424" spans="1:18" ht="21.75" customHeight="1">
      <c r="A424" s="25" t="s">
        <v>1737</v>
      </c>
      <c r="B424" s="25" t="s">
        <v>1738</v>
      </c>
      <c r="C424" s="49" t="str">
        <f>HYPERLINK("http://atberg.aha.ru/raskr/rsk18.jpg")</f>
        <v>http://atberg.aha.ru/raskr/rsk18.jpg</v>
      </c>
      <c r="D424" s="27"/>
      <c r="E424" s="25" t="s">
        <v>1739</v>
      </c>
      <c r="F424" s="28" t="s">
        <v>1740</v>
      </c>
      <c r="G424" s="25"/>
      <c r="H424" s="29"/>
      <c r="I424" s="30" t="s">
        <v>813</v>
      </c>
      <c r="J424" s="30">
        <v>1.53</v>
      </c>
      <c r="K424" s="25" t="s">
        <v>1734</v>
      </c>
      <c r="L424" s="31" t="s">
        <v>1382</v>
      </c>
      <c r="M424" s="25" t="s">
        <v>1027</v>
      </c>
      <c r="N424" s="32" t="s">
        <v>1735</v>
      </c>
      <c r="O424" s="32" t="s">
        <v>1736</v>
      </c>
      <c r="P424" s="51">
        <v>31.166666666666668</v>
      </c>
      <c r="Q424" s="57">
        <v>9785985036206</v>
      </c>
      <c r="R424" s="66">
        <v>0.051000000000000004</v>
      </c>
    </row>
    <row r="425" spans="1:18" ht="21.75" customHeight="1">
      <c r="A425" s="25" t="s">
        <v>1741</v>
      </c>
      <c r="B425" s="25" t="s">
        <v>1742</v>
      </c>
      <c r="C425" s="49" t="str">
        <f>HYPERLINK("http://atberg.aha.ru/raskr/rsk19.jpg")</f>
        <v>http://atberg.aha.ru/raskr/rsk19.jpg</v>
      </c>
      <c r="D425" s="27"/>
      <c r="E425" s="25" t="s">
        <v>1743</v>
      </c>
      <c r="F425" s="28" t="s">
        <v>1744</v>
      </c>
      <c r="G425" s="25"/>
      <c r="H425" s="29"/>
      <c r="I425" s="30" t="s">
        <v>813</v>
      </c>
      <c r="J425" s="30">
        <v>1.53</v>
      </c>
      <c r="K425" s="25" t="s">
        <v>1734</v>
      </c>
      <c r="L425" s="31" t="s">
        <v>1382</v>
      </c>
      <c r="M425" s="25" t="s">
        <v>1027</v>
      </c>
      <c r="N425" s="32" t="s">
        <v>1735</v>
      </c>
      <c r="O425" s="32" t="s">
        <v>1736</v>
      </c>
      <c r="P425" s="51">
        <v>31.166666666666668</v>
      </c>
      <c r="Q425" s="57">
        <v>9785985036213</v>
      </c>
      <c r="R425" s="66">
        <v>0.051000000000000004</v>
      </c>
    </row>
    <row r="426" spans="1:18" ht="21.75" customHeight="1" thickBot="1">
      <c r="A426" s="25" t="s">
        <v>1745</v>
      </c>
      <c r="B426" s="25" t="s">
        <v>1746</v>
      </c>
      <c r="C426" s="49" t="str">
        <f>HYPERLINK("http://atberg.aha.ru/raskr/rsk20.jpg")</f>
        <v>http://atberg.aha.ru/raskr/rsk20.jpg</v>
      </c>
      <c r="D426" s="27"/>
      <c r="E426" s="25" t="s">
        <v>1747</v>
      </c>
      <c r="F426" s="28" t="s">
        <v>1748</v>
      </c>
      <c r="G426" s="25"/>
      <c r="H426" s="29"/>
      <c r="I426" s="30" t="s">
        <v>813</v>
      </c>
      <c r="J426" s="30">
        <v>1.53</v>
      </c>
      <c r="K426" s="25" t="s">
        <v>1734</v>
      </c>
      <c r="L426" s="31" t="s">
        <v>1382</v>
      </c>
      <c r="M426" s="25" t="s">
        <v>1027</v>
      </c>
      <c r="N426" s="32" t="s">
        <v>1735</v>
      </c>
      <c r="O426" s="32" t="s">
        <v>1736</v>
      </c>
      <c r="P426" s="51">
        <v>31.166666666666668</v>
      </c>
      <c r="Q426" s="57">
        <v>9785985036220</v>
      </c>
      <c r="R426" s="66">
        <v>0.051000000000000004</v>
      </c>
    </row>
    <row r="427" spans="1:18" ht="12.75" customHeight="1">
      <c r="A427" s="18"/>
      <c r="B427" s="18"/>
      <c r="C427" s="18"/>
      <c r="D427" s="19"/>
      <c r="E427" s="20"/>
      <c r="F427" s="21" t="s">
        <v>1749</v>
      </c>
      <c r="G427" s="22"/>
      <c r="H427" s="23"/>
      <c r="I427" s="20"/>
      <c r="J427" s="20"/>
      <c r="K427" s="20"/>
      <c r="L427" s="20"/>
      <c r="M427" s="20"/>
      <c r="N427" s="20"/>
      <c r="O427" s="20"/>
      <c r="P427" s="24"/>
      <c r="Q427" s="56"/>
      <c r="R427" s="66"/>
    </row>
    <row r="428" spans="1:18" ht="21.75" customHeight="1">
      <c r="A428" s="25" t="s">
        <v>1750</v>
      </c>
      <c r="B428" s="25" t="s">
        <v>1751</v>
      </c>
      <c r="C428" s="49" t="str">
        <f>HYPERLINK("http://www.atberg.aha.ru/raskr/rpt01.jpg")</f>
        <v>http://www.atberg.aha.ru/raskr/rpt01.jpg</v>
      </c>
      <c r="D428" s="27"/>
      <c r="E428" s="25" t="s">
        <v>1752</v>
      </c>
      <c r="F428" s="28" t="s">
        <v>1753</v>
      </c>
      <c r="G428" s="25"/>
      <c r="H428" s="29"/>
      <c r="I428" s="30" t="s">
        <v>813</v>
      </c>
      <c r="J428" s="30">
        <v>1.82</v>
      </c>
      <c r="K428" s="25" t="s">
        <v>1572</v>
      </c>
      <c r="L428" s="31" t="s">
        <v>1754</v>
      </c>
      <c r="M428" s="25" t="s">
        <v>27</v>
      </c>
      <c r="N428" s="32" t="s">
        <v>1755</v>
      </c>
      <c r="O428" s="32" t="s">
        <v>1756</v>
      </c>
      <c r="P428" s="51">
        <v>33</v>
      </c>
      <c r="Q428" s="57">
        <v>9785985034622</v>
      </c>
      <c r="R428" s="66">
        <v>0.06066666666666667</v>
      </c>
    </row>
    <row r="429" spans="1:18" ht="21.75" customHeight="1">
      <c r="A429" s="25" t="s">
        <v>1757</v>
      </c>
      <c r="B429" s="25" t="s">
        <v>1758</v>
      </c>
      <c r="C429" s="49" t="str">
        <f>HYPERLINK("http://www.atberg.aha.ru/raskr/rpt02.jpg")</f>
        <v>http://www.atberg.aha.ru/raskr/rpt02.jpg</v>
      </c>
      <c r="D429" s="27"/>
      <c r="E429" s="25" t="s">
        <v>1759</v>
      </c>
      <c r="F429" s="28" t="s">
        <v>1760</v>
      </c>
      <c r="G429" s="25"/>
      <c r="H429" s="29"/>
      <c r="I429" s="30" t="s">
        <v>813</v>
      </c>
      <c r="J429" s="30">
        <v>1.82</v>
      </c>
      <c r="K429" s="25" t="s">
        <v>1572</v>
      </c>
      <c r="L429" s="31" t="s">
        <v>1754</v>
      </c>
      <c r="M429" s="25" t="s">
        <v>27</v>
      </c>
      <c r="N429" s="32" t="s">
        <v>1755</v>
      </c>
      <c r="O429" s="32" t="s">
        <v>1756</v>
      </c>
      <c r="P429" s="51">
        <v>33</v>
      </c>
      <c r="Q429" s="57">
        <v>9785985034639</v>
      </c>
      <c r="R429" s="66">
        <v>0.06066666666666667</v>
      </c>
    </row>
    <row r="430" spans="1:18" ht="21.75" customHeight="1" thickBot="1">
      <c r="A430" s="25" t="s">
        <v>1761</v>
      </c>
      <c r="B430" s="25" t="s">
        <v>1762</v>
      </c>
      <c r="C430" s="49" t="str">
        <f>HYPERLINK("http://www.atberg.aha.ru/raskr/rpt04.jpg")</f>
        <v>http://www.atberg.aha.ru/raskr/rpt04.jpg</v>
      </c>
      <c r="D430" s="27"/>
      <c r="E430" s="25" t="s">
        <v>1763</v>
      </c>
      <c r="F430" s="28" t="s">
        <v>1764</v>
      </c>
      <c r="G430" s="25"/>
      <c r="H430" s="29"/>
      <c r="I430" s="30" t="s">
        <v>813</v>
      </c>
      <c r="J430" s="30">
        <v>1.82</v>
      </c>
      <c r="K430" s="25" t="s">
        <v>1572</v>
      </c>
      <c r="L430" s="31" t="s">
        <v>1754</v>
      </c>
      <c r="M430" s="25" t="s">
        <v>27</v>
      </c>
      <c r="N430" s="32" t="s">
        <v>1755</v>
      </c>
      <c r="O430" s="32" t="s">
        <v>1756</v>
      </c>
      <c r="P430" s="51">
        <v>33</v>
      </c>
      <c r="Q430" s="57">
        <v>9785985034653</v>
      </c>
      <c r="R430" s="66">
        <v>0.06066666666666667</v>
      </c>
    </row>
    <row r="431" spans="1:18" ht="12.75" customHeight="1">
      <c r="A431" s="18"/>
      <c r="B431" s="18"/>
      <c r="C431" s="18"/>
      <c r="D431" s="19"/>
      <c r="E431" s="20"/>
      <c r="F431" s="21" t="s">
        <v>1765</v>
      </c>
      <c r="G431" s="22"/>
      <c r="H431" s="23"/>
      <c r="I431" s="20"/>
      <c r="J431" s="20"/>
      <c r="K431" s="20"/>
      <c r="L431" s="20"/>
      <c r="M431" s="20"/>
      <c r="N431" s="20"/>
      <c r="O431" s="20"/>
      <c r="P431" s="24"/>
      <c r="Q431" s="56"/>
      <c r="R431" s="66"/>
    </row>
    <row r="432" spans="1:18" ht="21.75" customHeight="1">
      <c r="A432" s="25" t="s">
        <v>1766</v>
      </c>
      <c r="B432" s="25" t="s">
        <v>1767</v>
      </c>
      <c r="C432" s="49" t="str">
        <f>HYPERLINK("http://atberg.aha.ru/raskr/svs02.jpg")</f>
        <v>http://atberg.aha.ru/raskr/svs02.jpg</v>
      </c>
      <c r="D432" s="27"/>
      <c r="E432" s="25" t="s">
        <v>1768</v>
      </c>
      <c r="F432" s="28" t="s">
        <v>1643</v>
      </c>
      <c r="G432" s="25"/>
      <c r="H432" s="29"/>
      <c r="I432" s="30" t="s">
        <v>24</v>
      </c>
      <c r="J432" s="30">
        <v>2.53</v>
      </c>
      <c r="K432" s="25" t="s">
        <v>1644</v>
      </c>
      <c r="L432" s="31" t="s">
        <v>1382</v>
      </c>
      <c r="M432" s="25" t="s">
        <v>27</v>
      </c>
      <c r="N432" s="32" t="s">
        <v>1300</v>
      </c>
      <c r="O432" s="32" t="s">
        <v>1769</v>
      </c>
      <c r="P432" s="51">
        <v>22</v>
      </c>
      <c r="Q432" s="57">
        <v>9785766807698</v>
      </c>
      <c r="R432" s="66">
        <v>0.0506</v>
      </c>
    </row>
    <row r="433" spans="1:18" ht="21.75" customHeight="1">
      <c r="A433" s="25" t="s">
        <v>1770</v>
      </c>
      <c r="B433" s="25" t="s">
        <v>1771</v>
      </c>
      <c r="C433" s="49" t="str">
        <f>HYPERLINK("http://atberg.aha.ru/raskr/svs03.jpg")</f>
        <v>http://atberg.aha.ru/raskr/svs03.jpg</v>
      </c>
      <c r="D433" s="27"/>
      <c r="E433" s="25" t="s">
        <v>1772</v>
      </c>
      <c r="F433" s="28" t="s">
        <v>1773</v>
      </c>
      <c r="G433" s="25"/>
      <c r="H433" s="29"/>
      <c r="I433" s="30" t="s">
        <v>24</v>
      </c>
      <c r="J433" s="30">
        <v>2.53</v>
      </c>
      <c r="K433" s="25" t="s">
        <v>1644</v>
      </c>
      <c r="L433" s="31" t="s">
        <v>1382</v>
      </c>
      <c r="M433" s="25" t="s">
        <v>27</v>
      </c>
      <c r="N433" s="32" t="s">
        <v>1300</v>
      </c>
      <c r="O433" s="32" t="s">
        <v>1769</v>
      </c>
      <c r="P433" s="51">
        <v>22</v>
      </c>
      <c r="Q433" s="57">
        <v>9785766807704</v>
      </c>
      <c r="R433" s="66">
        <v>0.0506</v>
      </c>
    </row>
    <row r="434" spans="1:18" ht="21.75" customHeight="1">
      <c r="A434" s="25" t="s">
        <v>1774</v>
      </c>
      <c r="B434" s="25" t="s">
        <v>1775</v>
      </c>
      <c r="C434" s="49" t="str">
        <f>HYPERLINK("http://atberg.aha.ru/raskr/svs01.jpg")</f>
        <v>http://atberg.aha.ru/raskr/svs01.jpg</v>
      </c>
      <c r="D434" s="27"/>
      <c r="E434" s="25" t="s">
        <v>1776</v>
      </c>
      <c r="F434" s="28" t="s">
        <v>1777</v>
      </c>
      <c r="G434" s="25"/>
      <c r="H434" s="29"/>
      <c r="I434" s="30" t="s">
        <v>24</v>
      </c>
      <c r="J434" s="30">
        <v>2.53</v>
      </c>
      <c r="K434" s="25" t="s">
        <v>1644</v>
      </c>
      <c r="L434" s="31" t="s">
        <v>1382</v>
      </c>
      <c r="M434" s="25" t="s">
        <v>27</v>
      </c>
      <c r="N434" s="32" t="s">
        <v>1300</v>
      </c>
      <c r="O434" s="32" t="s">
        <v>1769</v>
      </c>
      <c r="P434" s="51">
        <v>22</v>
      </c>
      <c r="Q434" s="57">
        <v>9785766811329</v>
      </c>
      <c r="R434" s="66">
        <v>0.0506</v>
      </c>
    </row>
    <row r="435" spans="1:18" ht="21.75" customHeight="1">
      <c r="A435" s="25" t="s">
        <v>1778</v>
      </c>
      <c r="B435" s="25" t="s">
        <v>1779</v>
      </c>
      <c r="C435" s="49" t="str">
        <f>HYPERLINK("http://atberg.aha.ru/raskr/svs04.jpg")</f>
        <v>http://atberg.aha.ru/raskr/svs04.jpg</v>
      </c>
      <c r="D435" s="27"/>
      <c r="E435" s="25" t="s">
        <v>1780</v>
      </c>
      <c r="F435" s="28" t="s">
        <v>1781</v>
      </c>
      <c r="G435" s="25"/>
      <c r="H435" s="29"/>
      <c r="I435" s="30" t="s">
        <v>24</v>
      </c>
      <c r="J435" s="30">
        <v>2.53</v>
      </c>
      <c r="K435" s="25" t="s">
        <v>1644</v>
      </c>
      <c r="L435" s="31" t="s">
        <v>1382</v>
      </c>
      <c r="M435" s="25" t="s">
        <v>27</v>
      </c>
      <c r="N435" s="32" t="s">
        <v>1300</v>
      </c>
      <c r="O435" s="32" t="s">
        <v>1769</v>
      </c>
      <c r="P435" s="51">
        <v>22</v>
      </c>
      <c r="Q435" s="57">
        <v>9785766807711</v>
      </c>
      <c r="R435" s="66">
        <v>0.0506</v>
      </c>
    </row>
    <row r="436" spans="1:18" ht="21.75" customHeight="1">
      <c r="A436" s="25" t="s">
        <v>1782</v>
      </c>
      <c r="B436" s="25" t="s">
        <v>1783</v>
      </c>
      <c r="C436" s="49" t="str">
        <f>HYPERLINK("http://atberg.aha.ru/raskr/svs05.jpg")</f>
        <v>http://atberg.aha.ru/raskr/svs05.jpg</v>
      </c>
      <c r="D436" s="27"/>
      <c r="E436" s="25" t="s">
        <v>1784</v>
      </c>
      <c r="F436" s="28" t="s">
        <v>1785</v>
      </c>
      <c r="G436" s="25"/>
      <c r="H436" s="29"/>
      <c r="I436" s="30" t="s">
        <v>24</v>
      </c>
      <c r="J436" s="30">
        <v>2.53</v>
      </c>
      <c r="K436" s="25" t="s">
        <v>1644</v>
      </c>
      <c r="L436" s="31" t="s">
        <v>1382</v>
      </c>
      <c r="M436" s="25" t="s">
        <v>27</v>
      </c>
      <c r="N436" s="32" t="s">
        <v>1300</v>
      </c>
      <c r="O436" s="32" t="s">
        <v>1769</v>
      </c>
      <c r="P436" s="51">
        <v>22</v>
      </c>
      <c r="Q436" s="57">
        <v>9785766811367</v>
      </c>
      <c r="R436" s="66">
        <v>0.0506</v>
      </c>
    </row>
    <row r="437" spans="1:18" ht="21.75" customHeight="1">
      <c r="A437" s="25" t="s">
        <v>1786</v>
      </c>
      <c r="B437" s="25" t="s">
        <v>1787</v>
      </c>
      <c r="C437" s="49" t="str">
        <f>HYPERLINK("http://atberg.aha.ru/raskr/svs06.jpg")</f>
        <v>http://atberg.aha.ru/raskr/svs06.jpg</v>
      </c>
      <c r="D437" s="27"/>
      <c r="E437" s="25" t="s">
        <v>1788</v>
      </c>
      <c r="F437" s="28" t="s">
        <v>1789</v>
      </c>
      <c r="G437" s="25"/>
      <c r="H437" s="29"/>
      <c r="I437" s="30" t="s">
        <v>24</v>
      </c>
      <c r="J437" s="30">
        <v>2.53</v>
      </c>
      <c r="K437" s="25" t="s">
        <v>1644</v>
      </c>
      <c r="L437" s="31" t="s">
        <v>1382</v>
      </c>
      <c r="M437" s="25" t="s">
        <v>27</v>
      </c>
      <c r="N437" s="32" t="s">
        <v>1300</v>
      </c>
      <c r="O437" s="32" t="s">
        <v>1769</v>
      </c>
      <c r="P437" s="51">
        <v>22</v>
      </c>
      <c r="Q437" s="57">
        <v>9785766811374</v>
      </c>
      <c r="R437" s="66">
        <v>0.0506</v>
      </c>
    </row>
    <row r="438" spans="1:18" ht="21.75" customHeight="1">
      <c r="A438" s="25" t="s">
        <v>1790</v>
      </c>
      <c r="B438" s="25" t="s">
        <v>1791</v>
      </c>
      <c r="C438" s="49" t="str">
        <f>HYPERLINK("http://atberg.aha.ru/raskr/svs07.jpg")</f>
        <v>http://atberg.aha.ru/raskr/svs07.jpg</v>
      </c>
      <c r="D438" s="27"/>
      <c r="E438" s="25" t="s">
        <v>1792</v>
      </c>
      <c r="F438" s="28" t="s">
        <v>1793</v>
      </c>
      <c r="G438" s="25"/>
      <c r="H438" s="29"/>
      <c r="I438" s="30" t="s">
        <v>24</v>
      </c>
      <c r="J438" s="30">
        <v>2.53</v>
      </c>
      <c r="K438" s="25" t="s">
        <v>1644</v>
      </c>
      <c r="L438" s="31" t="s">
        <v>1382</v>
      </c>
      <c r="M438" s="25" t="s">
        <v>27</v>
      </c>
      <c r="N438" s="32" t="s">
        <v>1300</v>
      </c>
      <c r="O438" s="32" t="s">
        <v>1769</v>
      </c>
      <c r="P438" s="51">
        <v>22</v>
      </c>
      <c r="Q438" s="57">
        <v>9785766807742</v>
      </c>
      <c r="R438" s="66">
        <v>0.0506</v>
      </c>
    </row>
    <row r="439" spans="1:18" ht="21.75" customHeight="1" thickBot="1">
      <c r="A439" s="25" t="s">
        <v>1794</v>
      </c>
      <c r="B439" s="25" t="s">
        <v>1795</v>
      </c>
      <c r="C439" s="49" t="str">
        <f>HYPERLINK("http://atberg.aha.ru/raskr/svs08.jpg")</f>
        <v>http://atberg.aha.ru/raskr/svs08.jpg</v>
      </c>
      <c r="D439" s="27"/>
      <c r="E439" s="25" t="s">
        <v>1796</v>
      </c>
      <c r="F439" s="28" t="s">
        <v>1797</v>
      </c>
      <c r="G439" s="25"/>
      <c r="H439" s="29"/>
      <c r="I439" s="30" t="s">
        <v>24</v>
      </c>
      <c r="J439" s="30">
        <v>2.53</v>
      </c>
      <c r="K439" s="25" t="s">
        <v>1644</v>
      </c>
      <c r="L439" s="31" t="s">
        <v>1382</v>
      </c>
      <c r="M439" s="25" t="s">
        <v>27</v>
      </c>
      <c r="N439" s="32" t="s">
        <v>1300</v>
      </c>
      <c r="O439" s="32" t="s">
        <v>1769</v>
      </c>
      <c r="P439" s="51">
        <v>22</v>
      </c>
      <c r="Q439" s="57">
        <v>9785766811398</v>
      </c>
      <c r="R439" s="66">
        <v>0.0506</v>
      </c>
    </row>
    <row r="440" spans="1:18" ht="12.75" customHeight="1" thickBot="1">
      <c r="A440" s="18"/>
      <c r="B440" s="18"/>
      <c r="C440" s="18"/>
      <c r="D440" s="19"/>
      <c r="E440" s="20"/>
      <c r="F440" s="21" t="s">
        <v>1798</v>
      </c>
      <c r="G440" s="22"/>
      <c r="H440" s="23"/>
      <c r="I440" s="20"/>
      <c r="J440" s="20"/>
      <c r="K440" s="20"/>
      <c r="L440" s="20"/>
      <c r="M440" s="20"/>
      <c r="N440" s="20"/>
      <c r="O440" s="20"/>
      <c r="P440" s="24"/>
      <c r="Q440" s="56"/>
      <c r="R440" s="66"/>
    </row>
    <row r="441" spans="1:18" ht="12.75" customHeight="1">
      <c r="A441" s="18"/>
      <c r="B441" s="18"/>
      <c r="C441" s="18"/>
      <c r="D441" s="19"/>
      <c r="E441" s="20"/>
      <c r="F441" s="21" t="s">
        <v>1799</v>
      </c>
      <c r="G441" s="22"/>
      <c r="H441" s="23"/>
      <c r="I441" s="20"/>
      <c r="J441" s="20"/>
      <c r="K441" s="20"/>
      <c r="L441" s="20"/>
      <c r="M441" s="20"/>
      <c r="N441" s="20"/>
      <c r="O441" s="20"/>
      <c r="P441" s="24"/>
      <c r="Q441" s="56"/>
      <c r="R441" s="66"/>
    </row>
    <row r="442" spans="1:18" ht="21.75" customHeight="1">
      <c r="A442" s="25" t="s">
        <v>1800</v>
      </c>
      <c r="B442" s="25" t="s">
        <v>1801</v>
      </c>
      <c r="C442" s="49" t="str">
        <f>HYPERLINK("http://www.atberg.aha.ru/raskr/vbn01.jpg")</f>
        <v>http://www.atberg.aha.ru/raskr/vbn01.jpg</v>
      </c>
      <c r="D442" s="27"/>
      <c r="E442" s="25" t="s">
        <v>1802</v>
      </c>
      <c r="F442" s="28" t="s">
        <v>1219</v>
      </c>
      <c r="G442" s="25"/>
      <c r="H442" s="29"/>
      <c r="I442" s="30" t="s">
        <v>813</v>
      </c>
      <c r="J442" s="30">
        <v>1.78</v>
      </c>
      <c r="K442" s="25" t="s">
        <v>1803</v>
      </c>
      <c r="L442" s="31" t="s">
        <v>1804</v>
      </c>
      <c r="M442" s="25" t="s">
        <v>27</v>
      </c>
      <c r="N442" s="32" t="s">
        <v>1339</v>
      </c>
      <c r="O442" s="32" t="s">
        <v>1805</v>
      </c>
      <c r="P442" s="51">
        <v>39.416666666666664</v>
      </c>
      <c r="Q442" s="57">
        <v>9785985034035</v>
      </c>
      <c r="R442" s="66">
        <v>0.059333333333333335</v>
      </c>
    </row>
    <row r="443" spans="1:18" ht="21.75" customHeight="1">
      <c r="A443" s="25" t="s">
        <v>1806</v>
      </c>
      <c r="B443" s="25" t="s">
        <v>1807</v>
      </c>
      <c r="C443" s="49" t="str">
        <f>HYPERLINK("http://www.atberg.aha.ru/raskr/vbn02.jpg")</f>
        <v>http://www.atberg.aha.ru/raskr/vbn02.jpg</v>
      </c>
      <c r="D443" s="27"/>
      <c r="E443" s="25" t="s">
        <v>1808</v>
      </c>
      <c r="F443" s="28" t="s">
        <v>1566</v>
      </c>
      <c r="G443" s="25"/>
      <c r="H443" s="29"/>
      <c r="I443" s="30" t="s">
        <v>813</v>
      </c>
      <c r="J443" s="30">
        <v>1.78</v>
      </c>
      <c r="K443" s="25" t="s">
        <v>1803</v>
      </c>
      <c r="L443" s="31" t="s">
        <v>1804</v>
      </c>
      <c r="M443" s="25" t="s">
        <v>27</v>
      </c>
      <c r="N443" s="32" t="s">
        <v>1339</v>
      </c>
      <c r="O443" s="32" t="s">
        <v>1805</v>
      </c>
      <c r="P443" s="51">
        <v>39.416666666666664</v>
      </c>
      <c r="Q443" s="57">
        <v>9785985034042</v>
      </c>
      <c r="R443" s="66">
        <v>0.059333333333333335</v>
      </c>
    </row>
    <row r="444" spans="1:18" ht="21.75" customHeight="1">
      <c r="A444" s="25" t="s">
        <v>1809</v>
      </c>
      <c r="B444" s="25" t="s">
        <v>1810</v>
      </c>
      <c r="C444" s="49" t="str">
        <f>HYPERLINK("http://www.atberg.aha.ru/raskr/vbn04.jpg")</f>
        <v>http://www.atberg.aha.ru/raskr/vbn04.jpg</v>
      </c>
      <c r="D444" s="27"/>
      <c r="E444" s="25" t="s">
        <v>1811</v>
      </c>
      <c r="F444" s="28" t="s">
        <v>1812</v>
      </c>
      <c r="G444" s="25"/>
      <c r="H444" s="29"/>
      <c r="I444" s="30" t="s">
        <v>813</v>
      </c>
      <c r="J444" s="30">
        <v>1.78</v>
      </c>
      <c r="K444" s="25" t="s">
        <v>1803</v>
      </c>
      <c r="L444" s="31" t="s">
        <v>1804</v>
      </c>
      <c r="M444" s="25" t="s">
        <v>27</v>
      </c>
      <c r="N444" s="32" t="s">
        <v>1339</v>
      </c>
      <c r="O444" s="32" t="s">
        <v>1805</v>
      </c>
      <c r="P444" s="51">
        <v>39.416666666666664</v>
      </c>
      <c r="Q444" s="57">
        <v>9785985034066</v>
      </c>
      <c r="R444" s="66">
        <v>0.059333333333333335</v>
      </c>
    </row>
    <row r="445" spans="1:18" ht="21.75" customHeight="1" thickBot="1">
      <c r="A445" s="25" t="s">
        <v>1813</v>
      </c>
      <c r="B445" s="25" t="s">
        <v>1814</v>
      </c>
      <c r="C445" s="49" t="str">
        <f>HYPERLINK("http://www.atberg.aha.ru/raskr/vbn03.jpg")</f>
        <v>http://www.atberg.aha.ru/raskr/vbn03.jpg</v>
      </c>
      <c r="D445" s="27"/>
      <c r="E445" s="25" t="s">
        <v>1815</v>
      </c>
      <c r="F445" s="28" t="s">
        <v>1816</v>
      </c>
      <c r="G445" s="25"/>
      <c r="H445" s="29"/>
      <c r="I445" s="30" t="s">
        <v>813</v>
      </c>
      <c r="J445" s="30">
        <v>1.78</v>
      </c>
      <c r="K445" s="25" t="s">
        <v>1803</v>
      </c>
      <c r="L445" s="31" t="s">
        <v>1804</v>
      </c>
      <c r="M445" s="25" t="s">
        <v>27</v>
      </c>
      <c r="N445" s="32" t="s">
        <v>1339</v>
      </c>
      <c r="O445" s="32" t="s">
        <v>1805</v>
      </c>
      <c r="P445" s="51">
        <v>39.416666666666664</v>
      </c>
      <c r="Q445" s="57">
        <v>9785985034059</v>
      </c>
      <c r="R445" s="66">
        <v>0.059333333333333335</v>
      </c>
    </row>
    <row r="446" spans="1:18" ht="12.75" customHeight="1">
      <c r="A446" s="18"/>
      <c r="B446" s="18"/>
      <c r="C446" s="18"/>
      <c r="D446" s="19"/>
      <c r="E446" s="20"/>
      <c r="F446" s="21" t="s">
        <v>1817</v>
      </c>
      <c r="G446" s="22"/>
      <c r="H446" s="23"/>
      <c r="I446" s="20"/>
      <c r="J446" s="20"/>
      <c r="K446" s="20"/>
      <c r="L446" s="20"/>
      <c r="M446" s="20"/>
      <c r="N446" s="20"/>
      <c r="O446" s="20"/>
      <c r="P446" s="24"/>
      <c r="Q446" s="56"/>
      <c r="R446" s="66"/>
    </row>
    <row r="447" spans="1:18" ht="21.75" customHeight="1">
      <c r="A447" s="25" t="s">
        <v>1818</v>
      </c>
      <c r="B447" s="25" t="s">
        <v>1819</v>
      </c>
      <c r="C447" s="49" t="str">
        <f>HYPERLINK("http://www.atberg.aha.ru/raskr/ver05.jpg")</f>
        <v>http://www.atberg.aha.ru/raskr/ver05.jpg</v>
      </c>
      <c r="D447" s="27"/>
      <c r="E447" s="25" t="s">
        <v>1820</v>
      </c>
      <c r="F447" s="28" t="s">
        <v>1821</v>
      </c>
      <c r="G447" s="25"/>
      <c r="H447" s="29"/>
      <c r="I447" s="30" t="s">
        <v>813</v>
      </c>
      <c r="J447" s="30">
        <v>1.39</v>
      </c>
      <c r="K447" s="25" t="s">
        <v>1572</v>
      </c>
      <c r="L447" s="31" t="s">
        <v>1822</v>
      </c>
      <c r="M447" s="25" t="s">
        <v>1027</v>
      </c>
      <c r="N447" s="32" t="s">
        <v>1823</v>
      </c>
      <c r="O447" s="32" t="s">
        <v>1824</v>
      </c>
      <c r="P447" s="51">
        <v>39.416666666666664</v>
      </c>
      <c r="Q447" s="57">
        <v>9785985036398</v>
      </c>
      <c r="R447" s="66">
        <v>0.04633333333333333</v>
      </c>
    </row>
    <row r="448" spans="1:18" ht="21.75" customHeight="1">
      <c r="A448" s="25" t="s">
        <v>1825</v>
      </c>
      <c r="B448" s="25" t="s">
        <v>1826</v>
      </c>
      <c r="C448" s="49" t="str">
        <f>HYPERLINK("http://atberg.aha.ru/raskr/ver01.jpg")</f>
        <v>http://atberg.aha.ru/raskr/ver01.jpg</v>
      </c>
      <c r="D448" s="27"/>
      <c r="E448" s="25" t="s">
        <v>1827</v>
      </c>
      <c r="F448" s="28" t="s">
        <v>1828</v>
      </c>
      <c r="G448" s="25"/>
      <c r="H448" s="29"/>
      <c r="I448" s="30" t="s">
        <v>813</v>
      </c>
      <c r="J448" s="30">
        <v>1.39</v>
      </c>
      <c r="K448" s="25" t="s">
        <v>1572</v>
      </c>
      <c r="L448" s="31" t="s">
        <v>1822</v>
      </c>
      <c r="M448" s="25" t="s">
        <v>1027</v>
      </c>
      <c r="N448" s="32" t="s">
        <v>1339</v>
      </c>
      <c r="O448" s="32" t="s">
        <v>1824</v>
      </c>
      <c r="P448" s="51">
        <v>39.416666666666664</v>
      </c>
      <c r="Q448" s="57">
        <v>9785985039207</v>
      </c>
      <c r="R448" s="66">
        <v>0.04633333333333333</v>
      </c>
    </row>
    <row r="449" spans="1:18" ht="21.75" customHeight="1">
      <c r="A449" s="25" t="s">
        <v>1829</v>
      </c>
      <c r="B449" s="25" t="s">
        <v>1830</v>
      </c>
      <c r="C449" s="49" t="str">
        <f>HYPERLINK("http://atberg.aha.ru/raskr/ver04.jpg")</f>
        <v>http://atberg.aha.ru/raskr/ver04.jpg</v>
      </c>
      <c r="D449" s="27"/>
      <c r="E449" s="25" t="s">
        <v>1831</v>
      </c>
      <c r="F449" s="28" t="s">
        <v>1832</v>
      </c>
      <c r="G449" s="25"/>
      <c r="H449" s="29"/>
      <c r="I449" s="30" t="s">
        <v>813</v>
      </c>
      <c r="J449" s="30">
        <v>1.39</v>
      </c>
      <c r="K449" s="25" t="s">
        <v>1572</v>
      </c>
      <c r="L449" s="31" t="s">
        <v>1822</v>
      </c>
      <c r="M449" s="25" t="s">
        <v>1027</v>
      </c>
      <c r="N449" s="32" t="s">
        <v>1339</v>
      </c>
      <c r="O449" s="32" t="s">
        <v>1824</v>
      </c>
      <c r="P449" s="51">
        <v>39.416666666666664</v>
      </c>
      <c r="Q449" s="57">
        <v>9785985036411</v>
      </c>
      <c r="R449" s="66">
        <v>0.04633333333333333</v>
      </c>
    </row>
    <row r="450" spans="1:18" ht="21.75" customHeight="1" thickBot="1">
      <c r="A450" s="25" t="s">
        <v>1833</v>
      </c>
      <c r="B450" s="25" t="s">
        <v>1834</v>
      </c>
      <c r="C450" s="49" t="str">
        <f>HYPERLINK("http://www.atberg.aha.ru/raskr/ver06.jpg")</f>
        <v>http://www.atberg.aha.ru/raskr/ver06.jpg</v>
      </c>
      <c r="D450" s="27"/>
      <c r="E450" s="25" t="s">
        <v>1835</v>
      </c>
      <c r="F450" s="28" t="s">
        <v>1836</v>
      </c>
      <c r="G450" s="25"/>
      <c r="H450" s="29"/>
      <c r="I450" s="30" t="s">
        <v>813</v>
      </c>
      <c r="J450" s="30">
        <v>1.39</v>
      </c>
      <c r="K450" s="25" t="s">
        <v>1572</v>
      </c>
      <c r="L450" s="31" t="s">
        <v>1822</v>
      </c>
      <c r="M450" s="25" t="s">
        <v>1027</v>
      </c>
      <c r="N450" s="32" t="s">
        <v>1339</v>
      </c>
      <c r="O450" s="32" t="s">
        <v>1824</v>
      </c>
      <c r="P450" s="51">
        <v>39.416666666666664</v>
      </c>
      <c r="Q450" s="57">
        <v>9785985036428</v>
      </c>
      <c r="R450" s="66">
        <v>0.04633333333333333</v>
      </c>
    </row>
    <row r="451" spans="1:18" ht="12.75" customHeight="1">
      <c r="A451" s="18"/>
      <c r="B451" s="18"/>
      <c r="C451" s="18"/>
      <c r="D451" s="19"/>
      <c r="E451" s="20"/>
      <c r="F451" s="21" t="s">
        <v>1837</v>
      </c>
      <c r="G451" s="22"/>
      <c r="H451" s="23"/>
      <c r="I451" s="20"/>
      <c r="J451" s="20"/>
      <c r="K451" s="20"/>
      <c r="L451" s="20"/>
      <c r="M451" s="20"/>
      <c r="N451" s="20"/>
      <c r="O451" s="20"/>
      <c r="P451" s="24"/>
      <c r="Q451" s="56"/>
      <c r="R451" s="66"/>
    </row>
    <row r="452" spans="1:18" ht="32.25" customHeight="1">
      <c r="A452" s="25" t="s">
        <v>1838</v>
      </c>
      <c r="B452" s="25" t="s">
        <v>1839</v>
      </c>
      <c r="C452" s="49" t="str">
        <f>HYPERLINK("http://atberg.aha.ru/raskr/vit01.jpg")</f>
        <v>http://atberg.aha.ru/raskr/vit01.jpg</v>
      </c>
      <c r="D452" s="27"/>
      <c r="E452" s="25" t="s">
        <v>1840</v>
      </c>
      <c r="F452" s="28" t="s">
        <v>1841</v>
      </c>
      <c r="G452" s="25"/>
      <c r="H452" s="29"/>
      <c r="I452" s="30" t="s">
        <v>813</v>
      </c>
      <c r="J452" s="30">
        <v>1.9</v>
      </c>
      <c r="K452" s="25" t="s">
        <v>1842</v>
      </c>
      <c r="L452" s="31" t="s">
        <v>1843</v>
      </c>
      <c r="M452" s="25" t="s">
        <v>1027</v>
      </c>
      <c r="N452" s="32" t="s">
        <v>1844</v>
      </c>
      <c r="O452" s="32" t="s">
        <v>1845</v>
      </c>
      <c r="P452" s="51">
        <v>47.66666666666667</v>
      </c>
      <c r="Q452" s="57">
        <v>9785985034912</v>
      </c>
      <c r="R452" s="66">
        <v>0.06333333333333332</v>
      </c>
    </row>
    <row r="453" spans="1:18" ht="32.25" customHeight="1">
      <c r="A453" s="25" t="s">
        <v>1846</v>
      </c>
      <c r="B453" s="25" t="s">
        <v>1847</v>
      </c>
      <c r="C453" s="49" t="str">
        <f>HYPERLINK("http://atberg.aha.ru/raskr/vit02.jpg")</f>
        <v>http://atberg.aha.ru/raskr/vit02.jpg</v>
      </c>
      <c r="D453" s="27"/>
      <c r="E453" s="25" t="s">
        <v>1848</v>
      </c>
      <c r="F453" s="28" t="s">
        <v>1849</v>
      </c>
      <c r="G453" s="25"/>
      <c r="H453" s="29"/>
      <c r="I453" s="30" t="s">
        <v>813</v>
      </c>
      <c r="J453" s="30">
        <v>1.9</v>
      </c>
      <c r="K453" s="25" t="s">
        <v>1842</v>
      </c>
      <c r="L453" s="31" t="s">
        <v>1843</v>
      </c>
      <c r="M453" s="25" t="s">
        <v>1027</v>
      </c>
      <c r="N453" s="32" t="s">
        <v>1844</v>
      </c>
      <c r="O453" s="32" t="s">
        <v>1845</v>
      </c>
      <c r="P453" s="51">
        <v>47.66666666666667</v>
      </c>
      <c r="Q453" s="57">
        <v>9785985034929</v>
      </c>
      <c r="R453" s="66">
        <v>0.06333333333333332</v>
      </c>
    </row>
    <row r="454" spans="1:18" ht="32.25" customHeight="1">
      <c r="A454" s="25" t="s">
        <v>1850</v>
      </c>
      <c r="B454" s="25" t="s">
        <v>1851</v>
      </c>
      <c r="C454" s="49" t="str">
        <f>HYPERLINK("http://atberg.aha.ru/raskr/vit03.jpg")</f>
        <v>http://atberg.aha.ru/raskr/vit03.jpg</v>
      </c>
      <c r="D454" s="27"/>
      <c r="E454" s="25" t="s">
        <v>1852</v>
      </c>
      <c r="F454" s="28" t="s">
        <v>1853</v>
      </c>
      <c r="G454" s="25"/>
      <c r="H454" s="29"/>
      <c r="I454" s="30" t="s">
        <v>813</v>
      </c>
      <c r="J454" s="30">
        <v>1.9</v>
      </c>
      <c r="K454" s="25" t="s">
        <v>1842</v>
      </c>
      <c r="L454" s="31" t="s">
        <v>1843</v>
      </c>
      <c r="M454" s="25" t="s">
        <v>1027</v>
      </c>
      <c r="N454" s="32" t="s">
        <v>1844</v>
      </c>
      <c r="O454" s="32" t="s">
        <v>1845</v>
      </c>
      <c r="P454" s="51">
        <v>47.66666666666667</v>
      </c>
      <c r="Q454" s="57">
        <v>9785985034936</v>
      </c>
      <c r="R454" s="66">
        <v>0.06333333333333332</v>
      </c>
    </row>
    <row r="455" spans="1:18" ht="32.25" customHeight="1" thickBot="1">
      <c r="A455" s="25" t="s">
        <v>1854</v>
      </c>
      <c r="B455" s="25" t="s">
        <v>1855</v>
      </c>
      <c r="C455" s="49" t="str">
        <f>HYPERLINK("http://atberg.aha.ru/raskr/vit04.jpg")</f>
        <v>http://atberg.aha.ru/raskr/vit04.jpg</v>
      </c>
      <c r="D455" s="27"/>
      <c r="E455" s="25" t="s">
        <v>1856</v>
      </c>
      <c r="F455" s="28" t="s">
        <v>1857</v>
      </c>
      <c r="G455" s="25"/>
      <c r="H455" s="29"/>
      <c r="I455" s="30" t="s">
        <v>813</v>
      </c>
      <c r="J455" s="30">
        <v>1.9</v>
      </c>
      <c r="K455" s="25" t="s">
        <v>1842</v>
      </c>
      <c r="L455" s="31" t="s">
        <v>1843</v>
      </c>
      <c r="M455" s="25" t="s">
        <v>1027</v>
      </c>
      <c r="N455" s="32" t="s">
        <v>1844</v>
      </c>
      <c r="O455" s="32" t="s">
        <v>1845</v>
      </c>
      <c r="P455" s="51">
        <v>47.66666666666667</v>
      </c>
      <c r="Q455" s="57">
        <v>9785985034943</v>
      </c>
      <c r="R455" s="66">
        <v>0.06333333333333332</v>
      </c>
    </row>
    <row r="456" spans="1:18" ht="12.75" customHeight="1">
      <c r="A456" s="18"/>
      <c r="B456" s="18"/>
      <c r="C456" s="18"/>
      <c r="D456" s="19"/>
      <c r="E456" s="20"/>
      <c r="F456" s="21" t="s">
        <v>1858</v>
      </c>
      <c r="G456" s="22"/>
      <c r="H456" s="23"/>
      <c r="I456" s="20"/>
      <c r="J456" s="20"/>
      <c r="K456" s="20"/>
      <c r="L456" s="20"/>
      <c r="M456" s="20"/>
      <c r="N456" s="20"/>
      <c r="O456" s="20"/>
      <c r="P456" s="24"/>
      <c r="Q456" s="56"/>
      <c r="R456" s="66"/>
    </row>
    <row r="457" spans="1:18" ht="32.25" customHeight="1">
      <c r="A457" s="25" t="s">
        <v>1859</v>
      </c>
      <c r="B457" s="25" t="s">
        <v>1860</v>
      </c>
      <c r="C457" s="49" t="str">
        <f>HYPERLINK("http://atberg.aha.ru/raskr/rdsm04.jpg")</f>
        <v>http://atberg.aha.ru/raskr/rdsm04.jpg</v>
      </c>
      <c r="D457" s="27"/>
      <c r="E457" s="25" t="s">
        <v>1861</v>
      </c>
      <c r="F457" s="28" t="s">
        <v>1862</v>
      </c>
      <c r="G457" s="25"/>
      <c r="H457" s="29"/>
      <c r="I457" s="30" t="s">
        <v>813</v>
      </c>
      <c r="J457" s="30">
        <v>1.68</v>
      </c>
      <c r="K457" s="25" t="s">
        <v>1863</v>
      </c>
      <c r="L457" s="31" t="s">
        <v>1754</v>
      </c>
      <c r="M457" s="25" t="s">
        <v>27</v>
      </c>
      <c r="N457" s="32" t="s">
        <v>1864</v>
      </c>
      <c r="O457" s="32" t="s">
        <v>1865</v>
      </c>
      <c r="P457" s="51">
        <v>37.583333333333336</v>
      </c>
      <c r="Q457" s="57">
        <v>9785985035254</v>
      </c>
      <c r="R457" s="66">
        <v>0.056</v>
      </c>
    </row>
    <row r="458" spans="1:18" ht="32.25" customHeight="1">
      <c r="A458" s="25" t="s">
        <v>1866</v>
      </c>
      <c r="B458" s="25" t="s">
        <v>1867</v>
      </c>
      <c r="C458" s="49" t="str">
        <f>HYPERLINK("http://atberg.aha.ru/raskr/rdsm03.jpg")</f>
        <v>http://atberg.aha.ru/raskr/rdsm03.jpg</v>
      </c>
      <c r="D458" s="27"/>
      <c r="E458" s="25" t="s">
        <v>1868</v>
      </c>
      <c r="F458" s="28" t="s">
        <v>1869</v>
      </c>
      <c r="G458" s="25"/>
      <c r="H458" s="29"/>
      <c r="I458" s="30" t="s">
        <v>813</v>
      </c>
      <c r="J458" s="30">
        <v>1.68</v>
      </c>
      <c r="K458" s="25" t="s">
        <v>1863</v>
      </c>
      <c r="L458" s="31" t="s">
        <v>1754</v>
      </c>
      <c r="M458" s="25" t="s">
        <v>27</v>
      </c>
      <c r="N458" s="32" t="s">
        <v>1864</v>
      </c>
      <c r="O458" s="32" t="s">
        <v>1865</v>
      </c>
      <c r="P458" s="51">
        <v>37.583333333333336</v>
      </c>
      <c r="Q458" s="57">
        <v>9785985035261</v>
      </c>
      <c r="R458" s="66">
        <v>0.056</v>
      </c>
    </row>
    <row r="459" spans="1:18" ht="32.25" customHeight="1">
      <c r="A459" s="25" t="s">
        <v>1870</v>
      </c>
      <c r="B459" s="25" t="s">
        <v>1871</v>
      </c>
      <c r="C459" s="49" t="str">
        <f>HYPERLINK("http://atberg.aha.ru/raskr/rdsm02.jpg")</f>
        <v>http://atberg.aha.ru/raskr/rdsm02.jpg</v>
      </c>
      <c r="D459" s="27"/>
      <c r="E459" s="25" t="s">
        <v>1872</v>
      </c>
      <c r="F459" s="28" t="s">
        <v>1873</v>
      </c>
      <c r="G459" s="25"/>
      <c r="H459" s="29"/>
      <c r="I459" s="30" t="s">
        <v>813</v>
      </c>
      <c r="J459" s="30">
        <v>1.68</v>
      </c>
      <c r="K459" s="25" t="s">
        <v>1863</v>
      </c>
      <c r="L459" s="31" t="s">
        <v>1754</v>
      </c>
      <c r="M459" s="25" t="s">
        <v>27</v>
      </c>
      <c r="N459" s="32" t="s">
        <v>1864</v>
      </c>
      <c r="O459" s="32" t="s">
        <v>1865</v>
      </c>
      <c r="P459" s="51">
        <v>37.583333333333336</v>
      </c>
      <c r="Q459" s="57">
        <v>9785985035278</v>
      </c>
      <c r="R459" s="66">
        <v>0.056</v>
      </c>
    </row>
    <row r="460" spans="1:18" ht="32.25" customHeight="1" thickBot="1">
      <c r="A460" s="25" t="s">
        <v>1874</v>
      </c>
      <c r="B460" s="25" t="s">
        <v>1875</v>
      </c>
      <c r="C460" s="49" t="str">
        <f>HYPERLINK("http://atberg.aha.ru/raskr/rdsm01.jpg")</f>
        <v>http://atberg.aha.ru/raskr/rdsm01.jpg</v>
      </c>
      <c r="D460" s="27"/>
      <c r="E460" s="25" t="s">
        <v>1876</v>
      </c>
      <c r="F460" s="28" t="s">
        <v>1877</v>
      </c>
      <c r="G460" s="25"/>
      <c r="H460" s="29"/>
      <c r="I460" s="30" t="s">
        <v>813</v>
      </c>
      <c r="J460" s="30">
        <v>1.68</v>
      </c>
      <c r="K460" s="25" t="s">
        <v>1863</v>
      </c>
      <c r="L460" s="31" t="s">
        <v>1754</v>
      </c>
      <c r="M460" s="25" t="s">
        <v>27</v>
      </c>
      <c r="N460" s="32" t="s">
        <v>1864</v>
      </c>
      <c r="O460" s="32" t="s">
        <v>1865</v>
      </c>
      <c r="P460" s="51">
        <v>37.583333333333336</v>
      </c>
      <c r="Q460" s="57">
        <v>9785985035285</v>
      </c>
      <c r="R460" s="66">
        <v>0.056</v>
      </c>
    </row>
    <row r="461" spans="1:18" ht="12.75" customHeight="1">
      <c r="A461" s="18"/>
      <c r="B461" s="18"/>
      <c r="C461" s="18"/>
      <c r="D461" s="19"/>
      <c r="E461" s="20"/>
      <c r="F461" s="21" t="s">
        <v>1878</v>
      </c>
      <c r="G461" s="22"/>
      <c r="H461" s="23"/>
      <c r="I461" s="20"/>
      <c r="J461" s="20"/>
      <c r="K461" s="20"/>
      <c r="L461" s="20"/>
      <c r="M461" s="20"/>
      <c r="N461" s="20"/>
      <c r="O461" s="20"/>
      <c r="P461" s="24"/>
      <c r="Q461" s="56"/>
      <c r="R461" s="66"/>
    </row>
    <row r="462" spans="1:18" ht="21.75" customHeight="1" thickBot="1">
      <c r="A462" s="25" t="s">
        <v>1879</v>
      </c>
      <c r="B462" s="25" t="s">
        <v>1880</v>
      </c>
      <c r="C462" s="49" t="str">
        <f>HYPERLINK("http://www.atberg.aha.ru/raskr/ist05.jpg")</f>
        <v>http://www.atberg.aha.ru/raskr/ist05.jpg</v>
      </c>
      <c r="D462" s="27"/>
      <c r="E462" s="25" t="s">
        <v>1881</v>
      </c>
      <c r="F462" s="28" t="s">
        <v>1882</v>
      </c>
      <c r="G462" s="25"/>
      <c r="H462" s="29"/>
      <c r="I462" s="30" t="s">
        <v>813</v>
      </c>
      <c r="J462" s="30">
        <v>1.96</v>
      </c>
      <c r="K462" s="25" t="s">
        <v>1572</v>
      </c>
      <c r="L462" s="31" t="s">
        <v>1883</v>
      </c>
      <c r="M462" s="25" t="s">
        <v>1884</v>
      </c>
      <c r="N462" s="32" t="s">
        <v>1339</v>
      </c>
      <c r="O462" s="32" t="s">
        <v>1885</v>
      </c>
      <c r="P462" s="51">
        <v>41.25</v>
      </c>
      <c r="Q462" s="57">
        <v>9785985036046</v>
      </c>
      <c r="R462" s="66">
        <v>0.06533333333333333</v>
      </c>
    </row>
    <row r="463" spans="1:18" ht="12.75" customHeight="1">
      <c r="A463" s="18"/>
      <c r="B463" s="18"/>
      <c r="C463" s="18"/>
      <c r="D463" s="19"/>
      <c r="E463" s="20"/>
      <c r="F463" s="21" t="s">
        <v>1886</v>
      </c>
      <c r="G463" s="22"/>
      <c r="H463" s="23"/>
      <c r="I463" s="20"/>
      <c r="J463" s="20"/>
      <c r="K463" s="20"/>
      <c r="L463" s="20"/>
      <c r="M463" s="20"/>
      <c r="N463" s="20"/>
      <c r="O463" s="20"/>
      <c r="P463" s="24"/>
      <c r="Q463" s="56"/>
      <c r="R463" s="66"/>
    </row>
    <row r="464" spans="1:18" ht="21.75" customHeight="1" thickBot="1">
      <c r="A464" s="25" t="s">
        <v>1887</v>
      </c>
      <c r="B464" s="25" t="s">
        <v>1888</v>
      </c>
      <c r="C464" s="49" t="str">
        <f>HYPERLINK("http://atberg.aha.ru/raskr/mprn02.jpg")</f>
        <v>http://atberg.aha.ru/raskr/mprn02.jpg</v>
      </c>
      <c r="D464" s="27"/>
      <c r="E464" s="25" t="s">
        <v>1889</v>
      </c>
      <c r="F464" s="28" t="s">
        <v>859</v>
      </c>
      <c r="G464" s="25"/>
      <c r="H464" s="29"/>
      <c r="I464" s="30" t="s">
        <v>813</v>
      </c>
      <c r="J464" s="30">
        <v>1.63</v>
      </c>
      <c r="K464" s="25" t="s">
        <v>1572</v>
      </c>
      <c r="L464" s="31" t="s">
        <v>1754</v>
      </c>
      <c r="M464" s="25" t="s">
        <v>27</v>
      </c>
      <c r="N464" s="32" t="s">
        <v>1755</v>
      </c>
      <c r="O464" s="32" t="s">
        <v>1890</v>
      </c>
      <c r="P464" s="51">
        <v>28.233333333333338</v>
      </c>
      <c r="Q464" s="57">
        <v>9785985035322</v>
      </c>
      <c r="R464" s="66">
        <v>0.05433333333333333</v>
      </c>
    </row>
    <row r="465" spans="1:18" ht="12.75" customHeight="1">
      <c r="A465" s="18"/>
      <c r="B465" s="18"/>
      <c r="C465" s="18"/>
      <c r="D465" s="19"/>
      <c r="E465" s="20"/>
      <c r="F465" s="21" t="s">
        <v>1891</v>
      </c>
      <c r="G465" s="22"/>
      <c r="H465" s="23"/>
      <c r="I465" s="20"/>
      <c r="J465" s="20"/>
      <c r="K465" s="20"/>
      <c r="L465" s="20"/>
      <c r="M465" s="20"/>
      <c r="N465" s="20"/>
      <c r="O465" s="20"/>
      <c r="P465" s="24"/>
      <c r="Q465" s="56"/>
      <c r="R465" s="66"/>
    </row>
    <row r="466" spans="1:18" ht="21.75" customHeight="1">
      <c r="A466" s="25" t="s">
        <v>1892</v>
      </c>
      <c r="B466" s="25" t="s">
        <v>1893</v>
      </c>
      <c r="C466" s="49" t="str">
        <f>HYPERLINK("http://atberg.aha.ru/raskr/maf01.jpg")</f>
        <v>http://atberg.aha.ru/raskr/maf01.jpg</v>
      </c>
      <c r="D466" s="27"/>
      <c r="E466" s="25" t="s">
        <v>1894</v>
      </c>
      <c r="F466" s="28" t="s">
        <v>1895</v>
      </c>
      <c r="G466" s="25"/>
      <c r="H466" s="29"/>
      <c r="I466" s="30" t="s">
        <v>813</v>
      </c>
      <c r="J466" s="30">
        <v>2.05</v>
      </c>
      <c r="K466" s="25" t="s">
        <v>1518</v>
      </c>
      <c r="L466" s="31" t="s">
        <v>1883</v>
      </c>
      <c r="M466" s="25" t="s">
        <v>1884</v>
      </c>
      <c r="N466" s="32" t="s">
        <v>1339</v>
      </c>
      <c r="O466" s="32" t="s">
        <v>1896</v>
      </c>
      <c r="P466" s="51">
        <v>43.083333333333336</v>
      </c>
      <c r="Q466" s="57">
        <v>9785985038880</v>
      </c>
      <c r="R466" s="66">
        <v>0.06833333333333333</v>
      </c>
    </row>
    <row r="467" spans="1:18" ht="21.75" customHeight="1">
      <c r="A467" s="25" t="s">
        <v>1897</v>
      </c>
      <c r="B467" s="25" t="s">
        <v>1898</v>
      </c>
      <c r="C467" s="49" t="str">
        <f>HYPERLINK("http://atberg.aha.ru/raskr/maf02.jpg")</f>
        <v>http://atberg.aha.ru/raskr/maf02.jpg</v>
      </c>
      <c r="D467" s="27"/>
      <c r="E467" s="25" t="s">
        <v>1899</v>
      </c>
      <c r="F467" s="28" t="s">
        <v>1900</v>
      </c>
      <c r="G467" s="25"/>
      <c r="H467" s="29"/>
      <c r="I467" s="30" t="s">
        <v>813</v>
      </c>
      <c r="J467" s="30">
        <v>2.05</v>
      </c>
      <c r="K467" s="25" t="s">
        <v>1518</v>
      </c>
      <c r="L467" s="31" t="s">
        <v>1883</v>
      </c>
      <c r="M467" s="25" t="s">
        <v>1884</v>
      </c>
      <c r="N467" s="32" t="s">
        <v>1339</v>
      </c>
      <c r="O467" s="32" t="s">
        <v>1896</v>
      </c>
      <c r="P467" s="51">
        <v>43.083333333333336</v>
      </c>
      <c r="Q467" s="57">
        <v>9785985038897</v>
      </c>
      <c r="R467" s="66">
        <v>0.06833333333333333</v>
      </c>
    </row>
    <row r="468" spans="1:18" ht="21.75" customHeight="1">
      <c r="A468" s="25" t="s">
        <v>1901</v>
      </c>
      <c r="B468" s="25" t="s">
        <v>1902</v>
      </c>
      <c r="C468" s="49" t="str">
        <f>HYPERLINK("http://atberg.aha.ru/raskr/maf03.jpg")</f>
        <v>http://atberg.aha.ru/raskr/maf03.jpg</v>
      </c>
      <c r="D468" s="27"/>
      <c r="E468" s="25" t="s">
        <v>1903</v>
      </c>
      <c r="F468" s="28" t="s">
        <v>1904</v>
      </c>
      <c r="G468" s="25"/>
      <c r="H468" s="29"/>
      <c r="I468" s="30" t="s">
        <v>813</v>
      </c>
      <c r="J468" s="30">
        <v>2.05</v>
      </c>
      <c r="K468" s="25" t="s">
        <v>1518</v>
      </c>
      <c r="L468" s="31" t="s">
        <v>1883</v>
      </c>
      <c r="M468" s="25" t="s">
        <v>1884</v>
      </c>
      <c r="N468" s="32" t="s">
        <v>1339</v>
      </c>
      <c r="O468" s="32" t="s">
        <v>1896</v>
      </c>
      <c r="P468" s="51">
        <v>43.083333333333336</v>
      </c>
      <c r="Q468" s="57">
        <v>9785985038903</v>
      </c>
      <c r="R468" s="66">
        <v>0.06833333333333333</v>
      </c>
    </row>
    <row r="469" spans="1:18" ht="21.75" customHeight="1" thickBot="1">
      <c r="A469" s="25" t="s">
        <v>1905</v>
      </c>
      <c r="B469" s="25" t="s">
        <v>1906</v>
      </c>
      <c r="C469" s="49" t="str">
        <f>HYPERLINK("http://atberg.aha.ru/raskr/maf04.jpg")</f>
        <v>http://atberg.aha.ru/raskr/maf04.jpg</v>
      </c>
      <c r="D469" s="27"/>
      <c r="E469" s="25" t="s">
        <v>1907</v>
      </c>
      <c r="F469" s="28" t="s">
        <v>1908</v>
      </c>
      <c r="G469" s="25"/>
      <c r="H469" s="29"/>
      <c r="I469" s="30" t="s">
        <v>813</v>
      </c>
      <c r="J469" s="30">
        <v>2.05</v>
      </c>
      <c r="K469" s="25" t="s">
        <v>1518</v>
      </c>
      <c r="L469" s="31" t="s">
        <v>1883</v>
      </c>
      <c r="M469" s="25" t="s">
        <v>1884</v>
      </c>
      <c r="N469" s="32" t="s">
        <v>1339</v>
      </c>
      <c r="O469" s="32" t="s">
        <v>1896</v>
      </c>
      <c r="P469" s="51">
        <v>43.083333333333336</v>
      </c>
      <c r="Q469" s="57">
        <v>9785985038910</v>
      </c>
      <c r="R469" s="66">
        <v>0.06833333333333333</v>
      </c>
    </row>
    <row r="470" spans="1:18" ht="12.75" customHeight="1">
      <c r="A470" s="18"/>
      <c r="B470" s="18"/>
      <c r="C470" s="18"/>
      <c r="D470" s="19"/>
      <c r="E470" s="20"/>
      <c r="F470" s="21" t="s">
        <v>1909</v>
      </c>
      <c r="G470" s="22"/>
      <c r="H470" s="23"/>
      <c r="I470" s="20"/>
      <c r="J470" s="20"/>
      <c r="K470" s="20"/>
      <c r="L470" s="20"/>
      <c r="M470" s="20"/>
      <c r="N470" s="20"/>
      <c r="O470" s="20"/>
      <c r="P470" s="24"/>
      <c r="Q470" s="56"/>
      <c r="R470" s="66"/>
    </row>
    <row r="471" spans="1:18" ht="32.25" customHeight="1">
      <c r="A471" s="25" t="s">
        <v>1910</v>
      </c>
      <c r="B471" s="25" t="s">
        <v>1911</v>
      </c>
      <c r="C471" s="49" t="str">
        <f>HYPERLINK("http://atberg.aha.ru/raskr/mnn04.jpg")</f>
        <v>http://atberg.aha.ru/raskr/mnn04.jpg</v>
      </c>
      <c r="D471" s="27"/>
      <c r="E471" s="25" t="s">
        <v>1912</v>
      </c>
      <c r="F471" s="28" t="s">
        <v>1913</v>
      </c>
      <c r="G471" s="25"/>
      <c r="H471" s="29"/>
      <c r="I471" s="30" t="s">
        <v>813</v>
      </c>
      <c r="J471" s="30">
        <v>2.356</v>
      </c>
      <c r="K471" s="25" t="s">
        <v>1914</v>
      </c>
      <c r="L471" s="31" t="s">
        <v>1915</v>
      </c>
      <c r="M471" s="25" t="s">
        <v>1027</v>
      </c>
      <c r="N471" s="32" t="s">
        <v>1916</v>
      </c>
      <c r="O471" s="32" t="s">
        <v>1917</v>
      </c>
      <c r="P471" s="51">
        <v>61.41666666666667</v>
      </c>
      <c r="Q471" s="57">
        <v>9785985038286</v>
      </c>
      <c r="R471" s="66">
        <v>0.07853333333333333</v>
      </c>
    </row>
    <row r="472" spans="1:18" ht="32.25" customHeight="1" thickBot="1">
      <c r="A472" s="25" t="s">
        <v>1918</v>
      </c>
      <c r="B472" s="25" t="s">
        <v>1919</v>
      </c>
      <c r="C472" s="49" t="str">
        <f>HYPERLINK("http://atberg.aha.ru/raskr/mnn02.jpg")</f>
        <v>http://atberg.aha.ru/raskr/mnn02.jpg</v>
      </c>
      <c r="D472" s="27"/>
      <c r="E472" s="25" t="s">
        <v>1920</v>
      </c>
      <c r="F472" s="28" t="s">
        <v>1921</v>
      </c>
      <c r="G472" s="25"/>
      <c r="H472" s="29"/>
      <c r="I472" s="30" t="s">
        <v>813</v>
      </c>
      <c r="J472" s="30">
        <v>2.356</v>
      </c>
      <c r="K472" s="25" t="s">
        <v>1914</v>
      </c>
      <c r="L472" s="31" t="s">
        <v>1915</v>
      </c>
      <c r="M472" s="25" t="s">
        <v>1027</v>
      </c>
      <c r="N472" s="32" t="s">
        <v>1916</v>
      </c>
      <c r="O472" s="32" t="s">
        <v>1917</v>
      </c>
      <c r="P472" s="51">
        <v>61.41666666666667</v>
      </c>
      <c r="Q472" s="57">
        <v>9785985038309</v>
      </c>
      <c r="R472" s="66">
        <v>0.07853333333333333</v>
      </c>
    </row>
    <row r="473" spans="1:18" ht="12.75" customHeight="1">
      <c r="A473" s="18"/>
      <c r="B473" s="18"/>
      <c r="C473" s="18"/>
      <c r="D473" s="19"/>
      <c r="E473" s="20"/>
      <c r="F473" s="21" t="s">
        <v>1922</v>
      </c>
      <c r="G473" s="22"/>
      <c r="H473" s="23"/>
      <c r="I473" s="20"/>
      <c r="J473" s="20"/>
      <c r="K473" s="20"/>
      <c r="L473" s="20"/>
      <c r="M473" s="20"/>
      <c r="N473" s="20"/>
      <c r="O473" s="20"/>
      <c r="P473" s="24"/>
      <c r="Q473" s="56"/>
      <c r="R473" s="66"/>
    </row>
    <row r="474" spans="1:18" ht="21.75" customHeight="1">
      <c r="A474" s="25" t="s">
        <v>1923</v>
      </c>
      <c r="B474" s="25" t="s">
        <v>1924</v>
      </c>
      <c r="C474" s="49" t="str">
        <f>HYPERLINK("http://atberg.aha.ru/raskr/mod01.jpg")</f>
        <v>http://atberg.aha.ru/raskr/mod01.jpg</v>
      </c>
      <c r="D474" s="27"/>
      <c r="E474" s="25" t="s">
        <v>1925</v>
      </c>
      <c r="F474" s="28" t="s">
        <v>1926</v>
      </c>
      <c r="G474" s="25"/>
      <c r="H474" s="29"/>
      <c r="I474" s="30" t="s">
        <v>813</v>
      </c>
      <c r="J474" s="30">
        <v>2.92</v>
      </c>
      <c r="K474" s="25" t="s">
        <v>1572</v>
      </c>
      <c r="L474" s="31" t="s">
        <v>1927</v>
      </c>
      <c r="M474" s="25" t="s">
        <v>1928</v>
      </c>
      <c r="N474" s="32" t="s">
        <v>1339</v>
      </c>
      <c r="O474" s="32" t="s">
        <v>1929</v>
      </c>
      <c r="P474" s="51">
        <v>77.00000000000001</v>
      </c>
      <c r="Q474" s="57">
        <v>9785985038682</v>
      </c>
      <c r="R474" s="66">
        <v>0.09733333333333333</v>
      </c>
    </row>
    <row r="475" spans="1:18" ht="21.75" customHeight="1">
      <c r="A475" s="25" t="s">
        <v>1930</v>
      </c>
      <c r="B475" s="25" t="s">
        <v>1931</v>
      </c>
      <c r="C475" s="49" t="str">
        <f>HYPERLINK("http://atberg.aha.ru/raskr/mod02.jpg")</f>
        <v>http://atberg.aha.ru/raskr/mod02.jpg</v>
      </c>
      <c r="D475" s="27"/>
      <c r="E475" s="25" t="s">
        <v>1932</v>
      </c>
      <c r="F475" s="28" t="s">
        <v>1933</v>
      </c>
      <c r="G475" s="25"/>
      <c r="H475" s="29"/>
      <c r="I475" s="30" t="s">
        <v>813</v>
      </c>
      <c r="J475" s="30">
        <v>2.92</v>
      </c>
      <c r="K475" s="25" t="s">
        <v>1572</v>
      </c>
      <c r="L475" s="31" t="s">
        <v>1927</v>
      </c>
      <c r="M475" s="25" t="s">
        <v>1928</v>
      </c>
      <c r="N475" s="32" t="s">
        <v>1339</v>
      </c>
      <c r="O475" s="32" t="s">
        <v>1929</v>
      </c>
      <c r="P475" s="51">
        <v>77.00000000000001</v>
      </c>
      <c r="Q475" s="57">
        <v>9785985038699</v>
      </c>
      <c r="R475" s="66">
        <v>0.09733333333333333</v>
      </c>
    </row>
    <row r="476" spans="1:18" ht="21.75" customHeight="1">
      <c r="A476" s="25" t="s">
        <v>1934</v>
      </c>
      <c r="B476" s="25" t="s">
        <v>1935</v>
      </c>
      <c r="C476" s="49" t="str">
        <f>HYPERLINK("http://atberg.aha.ru/raskr/mod05.jpg")</f>
        <v>http://atberg.aha.ru/raskr/mod05.jpg</v>
      </c>
      <c r="D476" s="27"/>
      <c r="E476" s="25" t="s">
        <v>1936</v>
      </c>
      <c r="F476" s="28" t="s">
        <v>1937</v>
      </c>
      <c r="G476" s="25"/>
      <c r="H476" s="29"/>
      <c r="I476" s="30" t="s">
        <v>813</v>
      </c>
      <c r="J476" s="30">
        <v>2.92</v>
      </c>
      <c r="K476" s="25" t="s">
        <v>1572</v>
      </c>
      <c r="L476" s="31" t="s">
        <v>1927</v>
      </c>
      <c r="M476" s="25" t="s">
        <v>1928</v>
      </c>
      <c r="N476" s="32" t="s">
        <v>1339</v>
      </c>
      <c r="O476" s="32" t="s">
        <v>1929</v>
      </c>
      <c r="P476" s="51">
        <v>77.00000000000001</v>
      </c>
      <c r="Q476" s="57">
        <v>9785985038736</v>
      </c>
      <c r="R476" s="66">
        <v>0.09733333333333333</v>
      </c>
    </row>
    <row r="477" spans="1:18" ht="21.75" customHeight="1">
      <c r="A477" s="25" t="s">
        <v>1938</v>
      </c>
      <c r="B477" s="25" t="s">
        <v>1939</v>
      </c>
      <c r="C477" s="49" t="str">
        <f>HYPERLINK("http://atberg.aha.ru/raskr/mod07.jpg")</f>
        <v>http://atberg.aha.ru/raskr/mod07.jpg</v>
      </c>
      <c r="D477" s="27"/>
      <c r="E477" s="25" t="s">
        <v>1940</v>
      </c>
      <c r="F477" s="28" t="s">
        <v>1941</v>
      </c>
      <c r="G477" s="25"/>
      <c r="H477" s="29"/>
      <c r="I477" s="30" t="s">
        <v>813</v>
      </c>
      <c r="J477" s="30">
        <v>2.92</v>
      </c>
      <c r="K477" s="25" t="s">
        <v>1572</v>
      </c>
      <c r="L477" s="31" t="s">
        <v>1927</v>
      </c>
      <c r="M477" s="25" t="s">
        <v>1928</v>
      </c>
      <c r="N477" s="32" t="s">
        <v>1339</v>
      </c>
      <c r="O477" s="32" t="s">
        <v>1929</v>
      </c>
      <c r="P477" s="51">
        <v>77.00000000000001</v>
      </c>
      <c r="Q477" s="57">
        <v>9785985036510</v>
      </c>
      <c r="R477" s="66">
        <v>0.09733333333333333</v>
      </c>
    </row>
    <row r="478" spans="1:18" ht="21.75" customHeight="1">
      <c r="A478" s="25" t="s">
        <v>1942</v>
      </c>
      <c r="B478" s="25" t="s">
        <v>1943</v>
      </c>
      <c r="C478" s="49" t="str">
        <f>HYPERLINK("http://atberg.aha.ru/raskr/mod06.jpg")</f>
        <v>http://atberg.aha.ru/raskr/mod06.jpg</v>
      </c>
      <c r="D478" s="27"/>
      <c r="E478" s="25" t="s">
        <v>1944</v>
      </c>
      <c r="F478" s="28" t="s">
        <v>1945</v>
      </c>
      <c r="G478" s="25"/>
      <c r="H478" s="29"/>
      <c r="I478" s="30" t="s">
        <v>813</v>
      </c>
      <c r="J478" s="30">
        <v>2.92</v>
      </c>
      <c r="K478" s="25" t="s">
        <v>1572</v>
      </c>
      <c r="L478" s="31" t="s">
        <v>1927</v>
      </c>
      <c r="M478" s="25" t="s">
        <v>1928</v>
      </c>
      <c r="N478" s="32" t="s">
        <v>1339</v>
      </c>
      <c r="O478" s="32" t="s">
        <v>1929</v>
      </c>
      <c r="P478" s="51">
        <v>77.00000000000001</v>
      </c>
      <c r="Q478" s="57">
        <v>9785985038705</v>
      </c>
      <c r="R478" s="66">
        <v>0.09733333333333333</v>
      </c>
    </row>
    <row r="479" spans="1:18" ht="21.75" customHeight="1" thickBot="1">
      <c r="A479" s="25" t="s">
        <v>1946</v>
      </c>
      <c r="B479" s="25" t="s">
        <v>1947</v>
      </c>
      <c r="C479" s="49" t="str">
        <f>HYPERLINK("http://atberg.aha.ru/raskr/mod08.jpg")</f>
        <v>http://atberg.aha.ru/raskr/mod08.jpg</v>
      </c>
      <c r="D479" s="27"/>
      <c r="E479" s="25" t="s">
        <v>1948</v>
      </c>
      <c r="F479" s="28" t="s">
        <v>1949</v>
      </c>
      <c r="G479" s="25"/>
      <c r="H479" s="29"/>
      <c r="I479" s="30" t="s">
        <v>813</v>
      </c>
      <c r="J479" s="30">
        <v>2.92</v>
      </c>
      <c r="K479" s="25" t="s">
        <v>1572</v>
      </c>
      <c r="L479" s="31" t="s">
        <v>1927</v>
      </c>
      <c r="M479" s="25" t="s">
        <v>1928</v>
      </c>
      <c r="N479" s="32" t="s">
        <v>1339</v>
      </c>
      <c r="O479" s="32" t="s">
        <v>1929</v>
      </c>
      <c r="P479" s="51">
        <v>77.00000000000001</v>
      </c>
      <c r="Q479" s="57">
        <v>9785985038668</v>
      </c>
      <c r="R479" s="66">
        <v>0.09733333333333333</v>
      </c>
    </row>
    <row r="480" spans="1:18" ht="12.75" customHeight="1">
      <c r="A480" s="18"/>
      <c r="B480" s="18"/>
      <c r="C480" s="18"/>
      <c r="D480" s="19"/>
      <c r="E480" s="20"/>
      <c r="F480" s="21" t="s">
        <v>1950</v>
      </c>
      <c r="G480" s="22"/>
      <c r="H480" s="23"/>
      <c r="I480" s="20"/>
      <c r="J480" s="20"/>
      <c r="K480" s="20"/>
      <c r="L480" s="20"/>
      <c r="M480" s="20"/>
      <c r="N480" s="20"/>
      <c r="O480" s="20"/>
      <c r="P480" s="24"/>
      <c r="Q480" s="56"/>
      <c r="R480" s="66"/>
    </row>
    <row r="481" spans="1:18" ht="53.25" customHeight="1">
      <c r="A481" s="25" t="s">
        <v>1951</v>
      </c>
      <c r="B481" s="25" t="s">
        <v>1952</v>
      </c>
      <c r="C481" s="49" t="str">
        <f>HYPERLINK("http://www.atberg.aha.ru/raskr/min09.jpg")</f>
        <v>http://www.atberg.aha.ru/raskr/min09.jpg</v>
      </c>
      <c r="D481" s="27"/>
      <c r="E481" s="25" t="s">
        <v>1953</v>
      </c>
      <c r="F481" s="28" t="s">
        <v>1954</v>
      </c>
      <c r="G481" s="25"/>
      <c r="H481" s="29"/>
      <c r="I481" s="30" t="s">
        <v>813</v>
      </c>
      <c r="J481" s="30">
        <v>2.43</v>
      </c>
      <c r="K481" s="25" t="s">
        <v>1572</v>
      </c>
      <c r="L481" s="31" t="s">
        <v>1883</v>
      </c>
      <c r="M481" s="25" t="s">
        <v>1884</v>
      </c>
      <c r="N481" s="32" t="s">
        <v>1955</v>
      </c>
      <c r="O481" s="32" t="s">
        <v>1956</v>
      </c>
      <c r="P481" s="51">
        <v>55.916666666666664</v>
      </c>
      <c r="Q481" s="57">
        <v>9785985038521</v>
      </c>
      <c r="R481" s="66">
        <v>0.081</v>
      </c>
    </row>
    <row r="482" spans="1:18" ht="53.25" customHeight="1">
      <c r="A482" s="25" t="s">
        <v>1957</v>
      </c>
      <c r="B482" s="25" t="s">
        <v>1958</v>
      </c>
      <c r="C482" s="49" t="str">
        <f>HYPERLINK("http://www.atberg.aha.ru/raskr/min10.jpg")</f>
        <v>http://www.atberg.aha.ru/raskr/min10.jpg</v>
      </c>
      <c r="D482" s="27"/>
      <c r="E482" s="25" t="s">
        <v>1959</v>
      </c>
      <c r="F482" s="28" t="s">
        <v>1960</v>
      </c>
      <c r="G482" s="25"/>
      <c r="H482" s="29"/>
      <c r="I482" s="30" t="s">
        <v>813</v>
      </c>
      <c r="J482" s="30">
        <v>2.43</v>
      </c>
      <c r="K482" s="25" t="s">
        <v>1572</v>
      </c>
      <c r="L482" s="31" t="s">
        <v>1883</v>
      </c>
      <c r="M482" s="25" t="s">
        <v>1884</v>
      </c>
      <c r="N482" s="32" t="s">
        <v>1955</v>
      </c>
      <c r="O482" s="32" t="s">
        <v>1956</v>
      </c>
      <c r="P482" s="51">
        <v>55.916666666666664</v>
      </c>
      <c r="Q482" s="57">
        <v>9785985038538</v>
      </c>
      <c r="R482" s="66">
        <v>0.081</v>
      </c>
    </row>
    <row r="483" spans="1:18" ht="53.25" customHeight="1">
      <c r="A483" s="25" t="s">
        <v>1961</v>
      </c>
      <c r="B483" s="25" t="s">
        <v>1962</v>
      </c>
      <c r="C483" s="49" t="str">
        <f>HYPERLINK("http://www.atberg.aha.ru/raskr/min11.jpg")</f>
        <v>http://www.atberg.aha.ru/raskr/min11.jpg</v>
      </c>
      <c r="D483" s="27"/>
      <c r="E483" s="25" t="s">
        <v>1963</v>
      </c>
      <c r="F483" s="28" t="s">
        <v>1964</v>
      </c>
      <c r="G483" s="25"/>
      <c r="H483" s="29"/>
      <c r="I483" s="30" t="s">
        <v>813</v>
      </c>
      <c r="J483" s="30">
        <v>2.43</v>
      </c>
      <c r="K483" s="25" t="s">
        <v>1572</v>
      </c>
      <c r="L483" s="31" t="s">
        <v>1883</v>
      </c>
      <c r="M483" s="25" t="s">
        <v>1884</v>
      </c>
      <c r="N483" s="32" t="s">
        <v>1955</v>
      </c>
      <c r="O483" s="32" t="s">
        <v>1956</v>
      </c>
      <c r="P483" s="51">
        <v>55.916666666666664</v>
      </c>
      <c r="Q483" s="57">
        <v>9785985038545</v>
      </c>
      <c r="R483" s="66">
        <v>0.081</v>
      </c>
    </row>
    <row r="484" spans="1:18" ht="53.25" customHeight="1">
      <c r="A484" s="25" t="s">
        <v>1965</v>
      </c>
      <c r="B484" s="25" t="s">
        <v>1966</v>
      </c>
      <c r="C484" s="49" t="str">
        <f>HYPERLINK("http://www.atberg.aha.ru/raskr/min12.jpg")</f>
        <v>http://www.atberg.aha.ru/raskr/min12.jpg</v>
      </c>
      <c r="D484" s="27"/>
      <c r="E484" s="25" t="s">
        <v>1967</v>
      </c>
      <c r="F484" s="28" t="s">
        <v>1968</v>
      </c>
      <c r="G484" s="25"/>
      <c r="H484" s="29"/>
      <c r="I484" s="30" t="s">
        <v>813</v>
      </c>
      <c r="J484" s="30">
        <v>2.43</v>
      </c>
      <c r="K484" s="25" t="s">
        <v>1572</v>
      </c>
      <c r="L484" s="31" t="s">
        <v>1883</v>
      </c>
      <c r="M484" s="25" t="s">
        <v>1884</v>
      </c>
      <c r="N484" s="32" t="s">
        <v>1955</v>
      </c>
      <c r="O484" s="32" t="s">
        <v>1956</v>
      </c>
      <c r="P484" s="51">
        <v>55.916666666666664</v>
      </c>
      <c r="Q484" s="57">
        <v>9785985038552</v>
      </c>
      <c r="R484" s="66">
        <v>0.081</v>
      </c>
    </row>
    <row r="485" spans="1:18" ht="53.25" customHeight="1" thickBot="1">
      <c r="A485" s="25" t="s">
        <v>1969</v>
      </c>
      <c r="B485" s="25" t="s">
        <v>1970</v>
      </c>
      <c r="C485" s="49" t="str">
        <f>HYPERLINK("http://www.atberg.aha.ru/raskr/min05.jpg")</f>
        <v>http://www.atberg.aha.ru/raskr/min05.jpg</v>
      </c>
      <c r="D485" s="27"/>
      <c r="E485" s="25" t="s">
        <v>1971</v>
      </c>
      <c r="F485" s="28" t="s">
        <v>1972</v>
      </c>
      <c r="G485" s="25"/>
      <c r="H485" s="29"/>
      <c r="I485" s="30" t="s">
        <v>813</v>
      </c>
      <c r="J485" s="30">
        <v>2.43</v>
      </c>
      <c r="K485" s="25" t="s">
        <v>1572</v>
      </c>
      <c r="L485" s="31" t="s">
        <v>1883</v>
      </c>
      <c r="M485" s="25" t="s">
        <v>1884</v>
      </c>
      <c r="N485" s="32" t="s">
        <v>1955</v>
      </c>
      <c r="O485" s="32" t="s">
        <v>1956</v>
      </c>
      <c r="P485" s="51">
        <v>55.916666666666664</v>
      </c>
      <c r="Q485" s="57">
        <v>9785985036183</v>
      </c>
      <c r="R485" s="66">
        <v>0.081</v>
      </c>
    </row>
    <row r="486" spans="1:18" ht="12.75" customHeight="1">
      <c r="A486" s="18"/>
      <c r="B486" s="18"/>
      <c r="C486" s="18"/>
      <c r="D486" s="19"/>
      <c r="E486" s="20"/>
      <c r="F486" s="21" t="s">
        <v>1973</v>
      </c>
      <c r="G486" s="22"/>
      <c r="H486" s="23"/>
      <c r="I486" s="20"/>
      <c r="J486" s="20"/>
      <c r="K486" s="20"/>
      <c r="L486" s="20"/>
      <c r="M486" s="20"/>
      <c r="N486" s="20"/>
      <c r="O486" s="20"/>
      <c r="P486" s="24"/>
      <c r="Q486" s="56"/>
      <c r="R486" s="66"/>
    </row>
    <row r="487" spans="1:18" ht="21.75" customHeight="1">
      <c r="A487" s="25" t="s">
        <v>1974</v>
      </c>
      <c r="B487" s="25" t="s">
        <v>1975</v>
      </c>
      <c r="C487" s="49" t="str">
        <f>HYPERLINK("http://www.atberg.aha.ru/raskr/nao02.jpg")</f>
        <v>http://www.atberg.aha.ru/raskr/nao02.jpg</v>
      </c>
      <c r="D487" s="27"/>
      <c r="E487" s="25" t="s">
        <v>1976</v>
      </c>
      <c r="F487" s="28" t="s">
        <v>1977</v>
      </c>
      <c r="G487" s="25"/>
      <c r="H487" s="29"/>
      <c r="I487" s="30" t="s">
        <v>813</v>
      </c>
      <c r="J487" s="30">
        <v>2.245</v>
      </c>
      <c r="K487" s="25" t="s">
        <v>25</v>
      </c>
      <c r="L487" s="31" t="s">
        <v>1883</v>
      </c>
      <c r="M487" s="25" t="s">
        <v>1884</v>
      </c>
      <c r="N487" s="32" t="s">
        <v>1339</v>
      </c>
      <c r="O487" s="32" t="s">
        <v>1978</v>
      </c>
      <c r="P487" s="51">
        <v>51.333333333333336</v>
      </c>
      <c r="Q487" s="57">
        <v>9785985036534</v>
      </c>
      <c r="R487" s="66">
        <v>0.07483333333333334</v>
      </c>
    </row>
    <row r="488" spans="1:18" ht="21.75" customHeight="1">
      <c r="A488" s="25" t="s">
        <v>1979</v>
      </c>
      <c r="B488" s="25" t="s">
        <v>1980</v>
      </c>
      <c r="C488" s="49" t="str">
        <f>HYPERLINK("http://www.atberg.aha.ru/raskr/nao01.jpg")</f>
        <v>http://www.atberg.aha.ru/raskr/nao01.jpg</v>
      </c>
      <c r="D488" s="27"/>
      <c r="E488" s="25" t="s">
        <v>1981</v>
      </c>
      <c r="F488" s="28" t="s">
        <v>1982</v>
      </c>
      <c r="G488" s="25"/>
      <c r="H488" s="29"/>
      <c r="I488" s="30" t="s">
        <v>813</v>
      </c>
      <c r="J488" s="30">
        <v>2.245</v>
      </c>
      <c r="K488" s="25" t="s">
        <v>25</v>
      </c>
      <c r="L488" s="31" t="s">
        <v>1883</v>
      </c>
      <c r="M488" s="25" t="s">
        <v>1884</v>
      </c>
      <c r="N488" s="32" t="s">
        <v>1339</v>
      </c>
      <c r="O488" s="32" t="s">
        <v>1978</v>
      </c>
      <c r="P488" s="51">
        <v>51.333333333333336</v>
      </c>
      <c r="Q488" s="57">
        <v>9785985036541</v>
      </c>
      <c r="R488" s="66">
        <v>0.07483333333333334</v>
      </c>
    </row>
    <row r="489" spans="1:18" ht="21.75" customHeight="1">
      <c r="A489" s="25" t="s">
        <v>1983</v>
      </c>
      <c r="B489" s="25" t="s">
        <v>1984</v>
      </c>
      <c r="C489" s="49" t="str">
        <f>HYPERLINK("http://www.atberg.aha.ru/raskr/nao03.jpg")</f>
        <v>http://www.atberg.aha.ru/raskr/nao03.jpg</v>
      </c>
      <c r="D489" s="27"/>
      <c r="E489" s="25" t="s">
        <v>1985</v>
      </c>
      <c r="F489" s="28" t="s">
        <v>1986</v>
      </c>
      <c r="G489" s="25"/>
      <c r="H489" s="29"/>
      <c r="I489" s="30" t="s">
        <v>813</v>
      </c>
      <c r="J489" s="30">
        <v>2.245</v>
      </c>
      <c r="K489" s="25" t="s">
        <v>25</v>
      </c>
      <c r="L489" s="31" t="s">
        <v>1883</v>
      </c>
      <c r="M489" s="25" t="s">
        <v>1884</v>
      </c>
      <c r="N489" s="32" t="s">
        <v>1339</v>
      </c>
      <c r="O489" s="32" t="s">
        <v>1978</v>
      </c>
      <c r="P489" s="51">
        <v>51.333333333333336</v>
      </c>
      <c r="Q489" s="57">
        <v>9785985036558</v>
      </c>
      <c r="R489" s="66">
        <v>0.07483333333333334</v>
      </c>
    </row>
    <row r="490" spans="1:18" ht="21.75" customHeight="1" thickBot="1">
      <c r="A490" s="25" t="s">
        <v>1987</v>
      </c>
      <c r="B490" s="25" t="s">
        <v>1988</v>
      </c>
      <c r="C490" s="49" t="str">
        <f>HYPERLINK("http://www.atberg.aha.ru/raskr/nao04.jpg")</f>
        <v>http://www.atberg.aha.ru/raskr/nao04.jpg</v>
      </c>
      <c r="D490" s="27"/>
      <c r="E490" s="25" t="s">
        <v>1989</v>
      </c>
      <c r="F490" s="28" t="s">
        <v>1990</v>
      </c>
      <c r="G490" s="25"/>
      <c r="H490" s="29"/>
      <c r="I490" s="30" t="s">
        <v>813</v>
      </c>
      <c r="J490" s="30">
        <v>2.245</v>
      </c>
      <c r="K490" s="25" t="s">
        <v>25</v>
      </c>
      <c r="L490" s="31" t="s">
        <v>1883</v>
      </c>
      <c r="M490" s="25" t="s">
        <v>1884</v>
      </c>
      <c r="N490" s="32" t="s">
        <v>1339</v>
      </c>
      <c r="O490" s="32" t="s">
        <v>1978</v>
      </c>
      <c r="P490" s="51">
        <v>51.333333333333336</v>
      </c>
      <c r="Q490" s="57">
        <v>9785985036008</v>
      </c>
      <c r="R490" s="66">
        <v>0.07483333333333334</v>
      </c>
    </row>
    <row r="491" spans="1:18" ht="12.75" customHeight="1">
      <c r="A491" s="18"/>
      <c r="B491" s="18"/>
      <c r="C491" s="18"/>
      <c r="D491" s="19"/>
      <c r="E491" s="20"/>
      <c r="F491" s="21" t="s">
        <v>1991</v>
      </c>
      <c r="G491" s="22"/>
      <c r="H491" s="23"/>
      <c r="I491" s="20"/>
      <c r="J491" s="20"/>
      <c r="K491" s="20"/>
      <c r="L491" s="20"/>
      <c r="M491" s="20"/>
      <c r="N491" s="20"/>
      <c r="O491" s="20"/>
      <c r="P491" s="24"/>
      <c r="Q491" s="56"/>
      <c r="R491" s="66"/>
    </row>
    <row r="492" spans="1:18" ht="32.25" customHeight="1">
      <c r="A492" s="25" t="s">
        <v>1992</v>
      </c>
      <c r="B492" s="25" t="s">
        <v>1993</v>
      </c>
      <c r="C492" s="49" t="str">
        <f>HYPERLINK("http://atberg.aha.ru/raskr/nir-09.jpg")</f>
        <v>http://atberg.aha.ru/raskr/nir-09.jpg</v>
      </c>
      <c r="D492" s="27"/>
      <c r="E492" s="25" t="s">
        <v>1994</v>
      </c>
      <c r="F492" s="28" t="s">
        <v>1995</v>
      </c>
      <c r="G492" s="25"/>
      <c r="H492" s="29"/>
      <c r="I492" s="30" t="s">
        <v>24</v>
      </c>
      <c r="J492" s="30">
        <v>2.99</v>
      </c>
      <c r="K492" s="25" t="s">
        <v>1996</v>
      </c>
      <c r="L492" s="31" t="s">
        <v>1997</v>
      </c>
      <c r="M492" s="25" t="s">
        <v>27</v>
      </c>
      <c r="N492" s="32" t="s">
        <v>1998</v>
      </c>
      <c r="O492" s="32" t="s">
        <v>1999</v>
      </c>
      <c r="P492" s="51">
        <v>35.75</v>
      </c>
      <c r="Q492" s="57">
        <v>9785985038927</v>
      </c>
      <c r="R492" s="66">
        <v>0.059800000000000006</v>
      </c>
    </row>
    <row r="493" spans="1:18" ht="32.25" customHeight="1">
      <c r="A493" s="25" t="s">
        <v>2000</v>
      </c>
      <c r="B493" s="25" t="s">
        <v>2001</v>
      </c>
      <c r="C493" s="49" t="str">
        <f>HYPERLINK("http://atberg.aha.ru/raskr/nir-14.jpg")</f>
        <v>http://atberg.aha.ru/raskr/nir-14.jpg</v>
      </c>
      <c r="D493" s="27"/>
      <c r="E493" s="25" t="s">
        <v>2002</v>
      </c>
      <c r="F493" s="28" t="s">
        <v>2003</v>
      </c>
      <c r="G493" s="25"/>
      <c r="H493" s="29"/>
      <c r="I493" s="30" t="s">
        <v>24</v>
      </c>
      <c r="J493" s="30">
        <v>2.99</v>
      </c>
      <c r="K493" s="25" t="s">
        <v>1996</v>
      </c>
      <c r="L493" s="31" t="s">
        <v>1997</v>
      </c>
      <c r="M493" s="25" t="s">
        <v>27</v>
      </c>
      <c r="N493" s="32" t="s">
        <v>1998</v>
      </c>
      <c r="O493" s="32" t="s">
        <v>1999</v>
      </c>
      <c r="P493" s="51">
        <v>35.75</v>
      </c>
      <c r="Q493" s="57">
        <v>9785985038934</v>
      </c>
      <c r="R493" s="66">
        <v>0.059800000000000006</v>
      </c>
    </row>
    <row r="494" spans="1:18" ht="32.25" customHeight="1">
      <c r="A494" s="25" t="s">
        <v>2004</v>
      </c>
      <c r="B494" s="25" t="s">
        <v>2005</v>
      </c>
      <c r="C494" s="49" t="str">
        <f>HYPERLINK("http://atberg.aha.ru/raskr/nir-15.jpg")</f>
        <v>http://atberg.aha.ru/raskr/nir-15.jpg</v>
      </c>
      <c r="D494" s="27"/>
      <c r="E494" s="25" t="s">
        <v>2006</v>
      </c>
      <c r="F494" s="28" t="s">
        <v>2007</v>
      </c>
      <c r="G494" s="25"/>
      <c r="H494" s="29"/>
      <c r="I494" s="30" t="s">
        <v>24</v>
      </c>
      <c r="J494" s="30">
        <v>2.99</v>
      </c>
      <c r="K494" s="25" t="s">
        <v>1996</v>
      </c>
      <c r="L494" s="31" t="s">
        <v>1997</v>
      </c>
      <c r="M494" s="25" t="s">
        <v>27</v>
      </c>
      <c r="N494" s="32" t="s">
        <v>1998</v>
      </c>
      <c r="O494" s="32" t="s">
        <v>1999</v>
      </c>
      <c r="P494" s="51">
        <v>35.75</v>
      </c>
      <c r="Q494" s="57">
        <v>9785985038941</v>
      </c>
      <c r="R494" s="66">
        <v>0.059800000000000006</v>
      </c>
    </row>
    <row r="495" spans="1:18" ht="32.25" customHeight="1">
      <c r="A495" s="25" t="s">
        <v>2008</v>
      </c>
      <c r="B495" s="25" t="s">
        <v>2009</v>
      </c>
      <c r="C495" s="49" t="str">
        <f>HYPERLINK("http://atberg.aha.ru/raskr/nir-16.jpg")</f>
        <v>http://atberg.aha.ru/raskr/nir-16.jpg</v>
      </c>
      <c r="D495" s="27"/>
      <c r="E495" s="25" t="s">
        <v>2010</v>
      </c>
      <c r="F495" s="28" t="s">
        <v>2011</v>
      </c>
      <c r="G495" s="25"/>
      <c r="H495" s="29"/>
      <c r="I495" s="30" t="s">
        <v>24</v>
      </c>
      <c r="J495" s="30">
        <v>2.99</v>
      </c>
      <c r="K495" s="25" t="s">
        <v>1996</v>
      </c>
      <c r="L495" s="31" t="s">
        <v>1997</v>
      </c>
      <c r="M495" s="25" t="s">
        <v>27</v>
      </c>
      <c r="N495" s="32" t="s">
        <v>1998</v>
      </c>
      <c r="O495" s="32" t="s">
        <v>1999</v>
      </c>
      <c r="P495" s="51">
        <v>35.75</v>
      </c>
      <c r="Q495" s="57">
        <v>9785985038958</v>
      </c>
      <c r="R495" s="66">
        <v>0.059800000000000006</v>
      </c>
    </row>
    <row r="496" spans="1:18" ht="32.25" customHeight="1">
      <c r="A496" s="25" t="s">
        <v>2012</v>
      </c>
      <c r="B496" s="25" t="s">
        <v>2013</v>
      </c>
      <c r="C496" s="49" t="str">
        <f>HYPERLINK("http://atberg.aha.ru/raskr/nir-10.jpg")</f>
        <v>http://atberg.aha.ru/raskr/nir-10.jpg</v>
      </c>
      <c r="D496" s="27"/>
      <c r="E496" s="25" t="s">
        <v>2014</v>
      </c>
      <c r="F496" s="28" t="s">
        <v>2015</v>
      </c>
      <c r="G496" s="25"/>
      <c r="H496" s="29"/>
      <c r="I496" s="30" t="s">
        <v>24</v>
      </c>
      <c r="J496" s="30">
        <v>2.99</v>
      </c>
      <c r="K496" s="25" t="s">
        <v>1996</v>
      </c>
      <c r="L496" s="31" t="s">
        <v>1997</v>
      </c>
      <c r="M496" s="25" t="s">
        <v>27</v>
      </c>
      <c r="N496" s="32" t="s">
        <v>1998</v>
      </c>
      <c r="O496" s="32" t="s">
        <v>1999</v>
      </c>
      <c r="P496" s="51">
        <v>35.75</v>
      </c>
      <c r="Q496" s="57">
        <v>9785985038965</v>
      </c>
      <c r="R496" s="66">
        <v>0.059800000000000006</v>
      </c>
    </row>
    <row r="497" spans="1:18" ht="32.25" customHeight="1">
      <c r="A497" s="25" t="s">
        <v>2016</v>
      </c>
      <c r="B497" s="25" t="s">
        <v>2017</v>
      </c>
      <c r="C497" s="49" t="str">
        <f>HYPERLINK("http://atberg.aha.ru/raskr/nir-11.jpg")</f>
        <v>http://atberg.aha.ru/raskr/nir-11.jpg</v>
      </c>
      <c r="D497" s="27"/>
      <c r="E497" s="25" t="s">
        <v>2018</v>
      </c>
      <c r="F497" s="28" t="s">
        <v>1597</v>
      </c>
      <c r="G497" s="25"/>
      <c r="H497" s="29"/>
      <c r="I497" s="30" t="s">
        <v>24</v>
      </c>
      <c r="J497" s="30">
        <v>2.99</v>
      </c>
      <c r="K497" s="25" t="s">
        <v>1996</v>
      </c>
      <c r="L497" s="31" t="s">
        <v>1997</v>
      </c>
      <c r="M497" s="25" t="s">
        <v>27</v>
      </c>
      <c r="N497" s="32" t="s">
        <v>1998</v>
      </c>
      <c r="O497" s="32" t="s">
        <v>1999</v>
      </c>
      <c r="P497" s="51">
        <v>35.75</v>
      </c>
      <c r="Q497" s="57">
        <v>9785985038972</v>
      </c>
      <c r="R497" s="66">
        <v>0.059800000000000006</v>
      </c>
    </row>
    <row r="498" spans="1:18" ht="32.25" customHeight="1">
      <c r="A498" s="25" t="s">
        <v>2019</v>
      </c>
      <c r="B498" s="25" t="s">
        <v>2020</v>
      </c>
      <c r="C498" s="49" t="str">
        <f>HYPERLINK("http://atberg.aha.ru/raskr/nir-12.jpg")</f>
        <v>http://atberg.aha.ru/raskr/nir-12.jpg</v>
      </c>
      <c r="D498" s="27"/>
      <c r="E498" s="25" t="s">
        <v>2021</v>
      </c>
      <c r="F498" s="28" t="s">
        <v>1601</v>
      </c>
      <c r="G498" s="25"/>
      <c r="H498" s="29"/>
      <c r="I498" s="30" t="s">
        <v>24</v>
      </c>
      <c r="J498" s="30">
        <v>2.99</v>
      </c>
      <c r="K498" s="25" t="s">
        <v>1996</v>
      </c>
      <c r="L498" s="31" t="s">
        <v>1997</v>
      </c>
      <c r="M498" s="25" t="s">
        <v>27</v>
      </c>
      <c r="N498" s="32" t="s">
        <v>1998</v>
      </c>
      <c r="O498" s="32" t="s">
        <v>1999</v>
      </c>
      <c r="P498" s="51">
        <v>35.75</v>
      </c>
      <c r="Q498" s="57">
        <v>9785985038989</v>
      </c>
      <c r="R498" s="66">
        <v>0.059800000000000006</v>
      </c>
    </row>
    <row r="499" spans="1:18" ht="32.25" customHeight="1" thickBot="1">
      <c r="A499" s="25" t="s">
        <v>2022</v>
      </c>
      <c r="B499" s="25" t="s">
        <v>2023</v>
      </c>
      <c r="C499" s="49" t="str">
        <f>HYPERLINK("http://atberg.aha.ru/raskr/nir-13.jpg")</f>
        <v>http://atberg.aha.ru/raskr/nir-13.jpg</v>
      </c>
      <c r="D499" s="27"/>
      <c r="E499" s="25" t="s">
        <v>2024</v>
      </c>
      <c r="F499" s="28" t="s">
        <v>2025</v>
      </c>
      <c r="G499" s="25"/>
      <c r="H499" s="29"/>
      <c r="I499" s="30" t="s">
        <v>24</v>
      </c>
      <c r="J499" s="30">
        <v>2.99</v>
      </c>
      <c r="K499" s="25" t="s">
        <v>1996</v>
      </c>
      <c r="L499" s="31" t="s">
        <v>1997</v>
      </c>
      <c r="M499" s="25" t="s">
        <v>27</v>
      </c>
      <c r="N499" s="32" t="s">
        <v>1998</v>
      </c>
      <c r="O499" s="32" t="s">
        <v>1999</v>
      </c>
      <c r="P499" s="51">
        <v>35.75</v>
      </c>
      <c r="Q499" s="57">
        <v>9785985038996</v>
      </c>
      <c r="R499" s="66">
        <v>0.059800000000000006</v>
      </c>
    </row>
    <row r="500" spans="1:18" ht="12.75" customHeight="1">
      <c r="A500" s="18"/>
      <c r="B500" s="18"/>
      <c r="C500" s="18"/>
      <c r="D500" s="19"/>
      <c r="E500" s="20"/>
      <c r="F500" s="21" t="s">
        <v>2026</v>
      </c>
      <c r="G500" s="22"/>
      <c r="H500" s="23"/>
      <c r="I500" s="20"/>
      <c r="J500" s="20"/>
      <c r="K500" s="20"/>
      <c r="L500" s="20"/>
      <c r="M500" s="20"/>
      <c r="N500" s="20"/>
      <c r="O500" s="20"/>
      <c r="P500" s="24"/>
      <c r="Q500" s="56"/>
      <c r="R500" s="66"/>
    </row>
    <row r="501" spans="1:18" ht="32.25" customHeight="1">
      <c r="A501" s="25" t="s">
        <v>2027</v>
      </c>
      <c r="B501" s="25" t="s">
        <v>2028</v>
      </c>
      <c r="C501" s="49" t="str">
        <f>HYPERLINK("http://atberg.aha.ru/raskr/nds01.jpg")</f>
        <v>http://atberg.aha.ru/raskr/nds01.jpg</v>
      </c>
      <c r="D501" s="27"/>
      <c r="E501" s="25" t="s">
        <v>2029</v>
      </c>
      <c r="F501" s="28" t="s">
        <v>334</v>
      </c>
      <c r="G501" s="25"/>
      <c r="H501" s="29"/>
      <c r="I501" s="30" t="s">
        <v>813</v>
      </c>
      <c r="J501" s="30">
        <v>1.405</v>
      </c>
      <c r="K501" s="25" t="s">
        <v>2030</v>
      </c>
      <c r="L501" s="31" t="s">
        <v>1754</v>
      </c>
      <c r="M501" s="25" t="s">
        <v>1027</v>
      </c>
      <c r="N501" s="32" t="s">
        <v>2031</v>
      </c>
      <c r="O501" s="32" t="s">
        <v>2032</v>
      </c>
      <c r="P501" s="51">
        <v>45.833333333333336</v>
      </c>
      <c r="Q501" s="57">
        <v>9785985036589</v>
      </c>
      <c r="R501" s="66">
        <v>0.04683333333333333</v>
      </c>
    </row>
    <row r="502" spans="1:18" ht="32.25" customHeight="1">
      <c r="A502" s="25" t="s">
        <v>2033</v>
      </c>
      <c r="B502" s="25" t="s">
        <v>2034</v>
      </c>
      <c r="C502" s="49" t="str">
        <f>HYPERLINK("http://atberg.aha.ru/raskr/nds02.jpg")</f>
        <v>http://atberg.aha.ru/raskr/nds02.jpg</v>
      </c>
      <c r="D502" s="27"/>
      <c r="E502" s="25" t="s">
        <v>2035</v>
      </c>
      <c r="F502" s="28" t="s">
        <v>2036</v>
      </c>
      <c r="G502" s="25"/>
      <c r="H502" s="29"/>
      <c r="I502" s="30" t="s">
        <v>813</v>
      </c>
      <c r="J502" s="30">
        <v>1.405</v>
      </c>
      <c r="K502" s="25" t="s">
        <v>2030</v>
      </c>
      <c r="L502" s="31" t="s">
        <v>1754</v>
      </c>
      <c r="M502" s="25" t="s">
        <v>1027</v>
      </c>
      <c r="N502" s="32" t="s">
        <v>2031</v>
      </c>
      <c r="O502" s="32" t="s">
        <v>2032</v>
      </c>
      <c r="P502" s="51">
        <v>45.833333333333336</v>
      </c>
      <c r="Q502" s="57">
        <v>9785985036596</v>
      </c>
      <c r="R502" s="66">
        <v>0.04683333333333333</v>
      </c>
    </row>
    <row r="503" spans="1:18" ht="32.25" customHeight="1">
      <c r="A503" s="25" t="s">
        <v>2037</v>
      </c>
      <c r="B503" s="25" t="s">
        <v>2038</v>
      </c>
      <c r="C503" s="49" t="str">
        <f>HYPERLINK("http://atberg.aha.ru/raskr/nds03.jpg")</f>
        <v>http://atberg.aha.ru/raskr/nds03.jpg</v>
      </c>
      <c r="D503" s="27"/>
      <c r="E503" s="25" t="s">
        <v>2039</v>
      </c>
      <c r="F503" s="28" t="s">
        <v>2040</v>
      </c>
      <c r="G503" s="25"/>
      <c r="H503" s="29"/>
      <c r="I503" s="30" t="s">
        <v>813</v>
      </c>
      <c r="J503" s="30">
        <v>1.405</v>
      </c>
      <c r="K503" s="25" t="s">
        <v>2030</v>
      </c>
      <c r="L503" s="31" t="s">
        <v>1754</v>
      </c>
      <c r="M503" s="25" t="s">
        <v>1027</v>
      </c>
      <c r="N503" s="32" t="s">
        <v>2031</v>
      </c>
      <c r="O503" s="32" t="s">
        <v>2032</v>
      </c>
      <c r="P503" s="51">
        <v>45.833333333333336</v>
      </c>
      <c r="Q503" s="57">
        <v>9785985036602</v>
      </c>
      <c r="R503" s="66">
        <v>0.04683333333333333</v>
      </c>
    </row>
    <row r="504" spans="1:18" ht="32.25" customHeight="1" thickBot="1">
      <c r="A504" s="25" t="s">
        <v>2041</v>
      </c>
      <c r="B504" s="25" t="s">
        <v>2042</v>
      </c>
      <c r="C504" s="49" t="str">
        <f>HYPERLINK("http://atberg.aha.ru/raskr/nds06.jpg")</f>
        <v>http://atberg.aha.ru/raskr/nds06.jpg</v>
      </c>
      <c r="D504" s="27"/>
      <c r="E504" s="25" t="s">
        <v>2043</v>
      </c>
      <c r="F504" s="28" t="s">
        <v>2044</v>
      </c>
      <c r="G504" s="25"/>
      <c r="H504" s="29"/>
      <c r="I504" s="30" t="s">
        <v>813</v>
      </c>
      <c r="J504" s="30">
        <v>1.405</v>
      </c>
      <c r="K504" s="25" t="s">
        <v>2030</v>
      </c>
      <c r="L504" s="31" t="s">
        <v>1754</v>
      </c>
      <c r="M504" s="25" t="s">
        <v>1027</v>
      </c>
      <c r="N504" s="32" t="s">
        <v>2031</v>
      </c>
      <c r="O504" s="32" t="s">
        <v>2045</v>
      </c>
      <c r="P504" s="51">
        <v>45.833333333333336</v>
      </c>
      <c r="Q504" s="57">
        <v>9785985038620</v>
      </c>
      <c r="R504" s="66">
        <v>0.04683333333333333</v>
      </c>
    </row>
    <row r="505" spans="1:18" ht="12.75" customHeight="1">
      <c r="A505" s="18"/>
      <c r="B505" s="18"/>
      <c r="C505" s="18"/>
      <c r="D505" s="19"/>
      <c r="E505" s="20"/>
      <c r="F505" s="21" t="s">
        <v>2046</v>
      </c>
      <c r="G505" s="22"/>
      <c r="H505" s="23"/>
      <c r="I505" s="20"/>
      <c r="J505" s="20"/>
      <c r="K505" s="20"/>
      <c r="L505" s="20"/>
      <c r="M505" s="20"/>
      <c r="N505" s="20"/>
      <c r="O505" s="20"/>
      <c r="P505" s="24"/>
      <c r="Q505" s="56"/>
      <c r="R505" s="66"/>
    </row>
    <row r="506" spans="1:18" ht="32.25" customHeight="1">
      <c r="A506" s="25" t="s">
        <v>2047</v>
      </c>
      <c r="B506" s="25" t="s">
        <v>2048</v>
      </c>
      <c r="C506" s="49" t="str">
        <f>HYPERLINK("http://atberg.aha.ru/raskr/stm01.jpg")</f>
        <v>http://atberg.aha.ru/raskr/stm01.jpg</v>
      </c>
      <c r="D506" s="27"/>
      <c r="E506" s="25" t="s">
        <v>2049</v>
      </c>
      <c r="F506" s="28" t="s">
        <v>2050</v>
      </c>
      <c r="G506" s="25"/>
      <c r="H506" s="29"/>
      <c r="I506" s="30" t="s">
        <v>813</v>
      </c>
      <c r="J506" s="30">
        <v>2.505</v>
      </c>
      <c r="K506" s="25" t="s">
        <v>2051</v>
      </c>
      <c r="L506" s="31" t="s">
        <v>2052</v>
      </c>
      <c r="M506" s="25" t="s">
        <v>27</v>
      </c>
      <c r="N506" s="32" t="s">
        <v>2053</v>
      </c>
      <c r="O506" s="32" t="s">
        <v>2054</v>
      </c>
      <c r="P506" s="51">
        <v>51.333333333333336</v>
      </c>
      <c r="Q506" s="57">
        <v>9785985036770</v>
      </c>
      <c r="R506" s="66">
        <v>0.08349999999999999</v>
      </c>
    </row>
    <row r="507" spans="1:18" ht="32.25" customHeight="1">
      <c r="A507" s="25" t="s">
        <v>2055</v>
      </c>
      <c r="B507" s="25" t="s">
        <v>2056</v>
      </c>
      <c r="C507" s="49" t="str">
        <f>HYPERLINK("http://atberg.aha.ru/raskr/stm02.jpg")</f>
        <v>http://atberg.aha.ru/raskr/stm02.jpg</v>
      </c>
      <c r="D507" s="27"/>
      <c r="E507" s="25" t="s">
        <v>2057</v>
      </c>
      <c r="F507" s="28" t="s">
        <v>2058</v>
      </c>
      <c r="G507" s="25"/>
      <c r="H507" s="29"/>
      <c r="I507" s="30" t="s">
        <v>813</v>
      </c>
      <c r="J507" s="30">
        <v>2.505</v>
      </c>
      <c r="K507" s="25" t="s">
        <v>2051</v>
      </c>
      <c r="L507" s="31" t="s">
        <v>2052</v>
      </c>
      <c r="M507" s="25" t="s">
        <v>27</v>
      </c>
      <c r="N507" s="32" t="s">
        <v>2053</v>
      </c>
      <c r="O507" s="32" t="s">
        <v>2054</v>
      </c>
      <c r="P507" s="51">
        <v>51.333333333333336</v>
      </c>
      <c r="Q507" s="57">
        <v>9785985036787</v>
      </c>
      <c r="R507" s="66">
        <v>0.08349999999999999</v>
      </c>
    </row>
    <row r="508" spans="1:18" ht="32.25" customHeight="1">
      <c r="A508" s="25" t="s">
        <v>2059</v>
      </c>
      <c r="B508" s="25" t="s">
        <v>2060</v>
      </c>
      <c r="C508" s="49" t="str">
        <f>HYPERLINK("http://atberg.aha.ru/raskr/stm03.jpg")</f>
        <v>http://atberg.aha.ru/raskr/stm03.jpg</v>
      </c>
      <c r="D508" s="27"/>
      <c r="E508" s="25" t="s">
        <v>2061</v>
      </c>
      <c r="F508" s="28" t="s">
        <v>2062</v>
      </c>
      <c r="G508" s="25"/>
      <c r="H508" s="29"/>
      <c r="I508" s="30" t="s">
        <v>813</v>
      </c>
      <c r="J508" s="30">
        <v>2.505</v>
      </c>
      <c r="K508" s="25" t="s">
        <v>2051</v>
      </c>
      <c r="L508" s="31" t="s">
        <v>2052</v>
      </c>
      <c r="M508" s="25" t="s">
        <v>27</v>
      </c>
      <c r="N508" s="32" t="s">
        <v>2053</v>
      </c>
      <c r="O508" s="32" t="s">
        <v>2054</v>
      </c>
      <c r="P508" s="51">
        <v>51.333333333333336</v>
      </c>
      <c r="Q508" s="57">
        <v>9785985036794</v>
      </c>
      <c r="R508" s="66">
        <v>0.08349999999999999</v>
      </c>
    </row>
    <row r="509" spans="1:18" ht="32.25" customHeight="1" thickBot="1">
      <c r="A509" s="25" t="s">
        <v>2063</v>
      </c>
      <c r="B509" s="25" t="s">
        <v>2064</v>
      </c>
      <c r="C509" s="49" t="str">
        <f>HYPERLINK("http://atberg.aha.ru/raskr/stm04.jpg")</f>
        <v>http://atberg.aha.ru/raskr/stm04.jpg</v>
      </c>
      <c r="D509" s="27"/>
      <c r="E509" s="25" t="s">
        <v>2065</v>
      </c>
      <c r="F509" s="28" t="s">
        <v>2066</v>
      </c>
      <c r="G509" s="25"/>
      <c r="H509" s="29"/>
      <c r="I509" s="30" t="s">
        <v>813</v>
      </c>
      <c r="J509" s="30">
        <v>2.505</v>
      </c>
      <c r="K509" s="25" t="s">
        <v>2051</v>
      </c>
      <c r="L509" s="31" t="s">
        <v>2052</v>
      </c>
      <c r="M509" s="25" t="s">
        <v>27</v>
      </c>
      <c r="N509" s="32" t="s">
        <v>2053</v>
      </c>
      <c r="O509" s="32" t="s">
        <v>2054</v>
      </c>
      <c r="P509" s="51">
        <v>51.333333333333336</v>
      </c>
      <c r="Q509" s="57">
        <v>9785985036800</v>
      </c>
      <c r="R509" s="66">
        <v>0.08349999999999999</v>
      </c>
    </row>
    <row r="510" spans="1:18" ht="12.75" customHeight="1">
      <c r="A510" s="18"/>
      <c r="B510" s="18"/>
      <c r="C510" s="18"/>
      <c r="D510" s="19"/>
      <c r="E510" s="20"/>
      <c r="F510" s="21" t="s">
        <v>2067</v>
      </c>
      <c r="G510" s="22"/>
      <c r="H510" s="23"/>
      <c r="I510" s="20"/>
      <c r="J510" s="20"/>
      <c r="K510" s="20"/>
      <c r="L510" s="20"/>
      <c r="M510" s="20"/>
      <c r="N510" s="20"/>
      <c r="O510" s="20"/>
      <c r="P510" s="24"/>
      <c r="Q510" s="56"/>
      <c r="R510" s="66"/>
    </row>
    <row r="511" spans="1:18" ht="21.75" customHeight="1">
      <c r="A511" s="25" t="s">
        <v>2068</v>
      </c>
      <c r="B511" s="25" t="s">
        <v>2069</v>
      </c>
      <c r="C511" s="49" t="str">
        <f>HYPERLINK("http://atberg.aha.ru/raskr/sup02.jpg")</f>
        <v>http://atberg.aha.ru/raskr/sup02.jpg</v>
      </c>
      <c r="D511" s="27"/>
      <c r="E511" s="25" t="s">
        <v>2049</v>
      </c>
      <c r="F511" s="28" t="s">
        <v>2070</v>
      </c>
      <c r="G511" s="25"/>
      <c r="H511" s="29"/>
      <c r="I511" s="30" t="s">
        <v>813</v>
      </c>
      <c r="J511" s="30">
        <v>2.642</v>
      </c>
      <c r="K511" s="25" t="s">
        <v>1572</v>
      </c>
      <c r="L511" s="31" t="s">
        <v>2071</v>
      </c>
      <c r="M511" s="25" t="s">
        <v>27</v>
      </c>
      <c r="N511" s="32" t="s">
        <v>2072</v>
      </c>
      <c r="O511" s="32" t="s">
        <v>2073</v>
      </c>
      <c r="P511" s="51">
        <v>55.916666666666664</v>
      </c>
      <c r="Q511" s="57">
        <v>9785985036916</v>
      </c>
      <c r="R511" s="66">
        <v>0.08806666666666667</v>
      </c>
    </row>
    <row r="512" spans="1:18" ht="21.75" customHeight="1">
      <c r="A512" s="25" t="s">
        <v>2074</v>
      </c>
      <c r="B512" s="25" t="s">
        <v>2075</v>
      </c>
      <c r="C512" s="49" t="str">
        <f>HYPERLINK("http://atberg.aha.ru/raskr/sup03.jpg")</f>
        <v>http://atberg.aha.ru/raskr/sup03.jpg</v>
      </c>
      <c r="D512" s="27"/>
      <c r="E512" s="25" t="s">
        <v>2057</v>
      </c>
      <c r="F512" s="28" t="s">
        <v>2076</v>
      </c>
      <c r="G512" s="25"/>
      <c r="H512" s="29"/>
      <c r="I512" s="30" t="s">
        <v>813</v>
      </c>
      <c r="J512" s="30">
        <v>2.642</v>
      </c>
      <c r="K512" s="25" t="s">
        <v>1572</v>
      </c>
      <c r="L512" s="31" t="s">
        <v>2071</v>
      </c>
      <c r="M512" s="25" t="s">
        <v>27</v>
      </c>
      <c r="N512" s="32" t="s">
        <v>2072</v>
      </c>
      <c r="O512" s="32" t="s">
        <v>2073</v>
      </c>
      <c r="P512" s="51">
        <v>55.916666666666664</v>
      </c>
      <c r="Q512" s="57">
        <v>9785985036923</v>
      </c>
      <c r="R512" s="66">
        <v>0.08806666666666667</v>
      </c>
    </row>
    <row r="513" spans="1:18" ht="21.75" customHeight="1">
      <c r="A513" s="25" t="s">
        <v>2077</v>
      </c>
      <c r="B513" s="25" t="s">
        <v>2078</v>
      </c>
      <c r="C513" s="49" t="str">
        <f>HYPERLINK("http://atberg.aha.ru/raskr/sup04.jpg")</f>
        <v>http://atberg.aha.ru/raskr/sup04.jpg</v>
      </c>
      <c r="D513" s="27"/>
      <c r="E513" s="25" t="s">
        <v>2061</v>
      </c>
      <c r="F513" s="28" t="s">
        <v>1601</v>
      </c>
      <c r="G513" s="25"/>
      <c r="H513" s="29"/>
      <c r="I513" s="30" t="s">
        <v>813</v>
      </c>
      <c r="J513" s="30">
        <v>2.642</v>
      </c>
      <c r="K513" s="25" t="s">
        <v>1572</v>
      </c>
      <c r="L513" s="31" t="s">
        <v>2071</v>
      </c>
      <c r="M513" s="25" t="s">
        <v>27</v>
      </c>
      <c r="N513" s="32" t="s">
        <v>2072</v>
      </c>
      <c r="O513" s="32" t="s">
        <v>2073</v>
      </c>
      <c r="P513" s="51">
        <v>55.916666666666664</v>
      </c>
      <c r="Q513" s="57">
        <v>9785985036930</v>
      </c>
      <c r="R513" s="66">
        <v>0.08806666666666667</v>
      </c>
    </row>
    <row r="514" spans="1:18" ht="21.75" customHeight="1">
      <c r="A514" s="25" t="s">
        <v>2079</v>
      </c>
      <c r="B514" s="25" t="s">
        <v>2080</v>
      </c>
      <c r="C514" s="49" t="str">
        <f>HYPERLINK("http://atberg.aha.ru/raskr/sup01.jpg")</f>
        <v>http://atberg.aha.ru/raskr/sup01.jpg</v>
      </c>
      <c r="D514" s="27"/>
      <c r="E514" s="25" t="s">
        <v>2081</v>
      </c>
      <c r="F514" s="28" t="s">
        <v>2082</v>
      </c>
      <c r="G514" s="25"/>
      <c r="H514" s="29"/>
      <c r="I514" s="30" t="s">
        <v>813</v>
      </c>
      <c r="J514" s="30">
        <v>2.642</v>
      </c>
      <c r="K514" s="25" t="s">
        <v>1572</v>
      </c>
      <c r="L514" s="31" t="s">
        <v>2071</v>
      </c>
      <c r="M514" s="25" t="s">
        <v>27</v>
      </c>
      <c r="N514" s="32" t="s">
        <v>2072</v>
      </c>
      <c r="O514" s="32" t="s">
        <v>2073</v>
      </c>
      <c r="P514" s="51">
        <v>55.916666666666664</v>
      </c>
      <c r="Q514" s="57">
        <v>9785985036954</v>
      </c>
      <c r="R514" s="66">
        <v>0.08806666666666667</v>
      </c>
    </row>
    <row r="515" spans="1:18" ht="21.75" customHeight="1" thickBot="1">
      <c r="A515" s="25" t="s">
        <v>2083</v>
      </c>
      <c r="B515" s="25" t="s">
        <v>2084</v>
      </c>
      <c r="C515" s="49" t="str">
        <f>HYPERLINK("http://atberg.aha.ru/raskr/sup06.jpg")</f>
        <v>http://atberg.aha.ru/raskr/sup06.jpg</v>
      </c>
      <c r="D515" s="27"/>
      <c r="E515" s="25" t="s">
        <v>2085</v>
      </c>
      <c r="F515" s="28" t="s">
        <v>2086</v>
      </c>
      <c r="G515" s="25"/>
      <c r="H515" s="29"/>
      <c r="I515" s="30" t="s">
        <v>813</v>
      </c>
      <c r="J515" s="30">
        <v>2.642</v>
      </c>
      <c r="K515" s="25" t="s">
        <v>1572</v>
      </c>
      <c r="L515" s="31" t="s">
        <v>2071</v>
      </c>
      <c r="M515" s="25" t="s">
        <v>27</v>
      </c>
      <c r="N515" s="32" t="s">
        <v>2072</v>
      </c>
      <c r="O515" s="32" t="s">
        <v>2073</v>
      </c>
      <c r="P515" s="51">
        <v>55.916666666666664</v>
      </c>
      <c r="Q515" s="57">
        <v>9785985036961</v>
      </c>
      <c r="R515" s="66">
        <v>0.08806666666666667</v>
      </c>
    </row>
    <row r="516" spans="1:18" ht="12.75" customHeight="1" thickBot="1">
      <c r="A516" s="18"/>
      <c r="B516" s="18"/>
      <c r="C516" s="18"/>
      <c r="D516" s="19"/>
      <c r="E516" s="20"/>
      <c r="F516" s="21" t="s">
        <v>2087</v>
      </c>
      <c r="G516" s="22"/>
      <c r="H516" s="23"/>
      <c r="I516" s="20"/>
      <c r="J516" s="20"/>
      <c r="K516" s="20"/>
      <c r="L516" s="20"/>
      <c r="M516" s="20"/>
      <c r="N516" s="20"/>
      <c r="O516" s="20"/>
      <c r="P516" s="24"/>
      <c r="Q516" s="56"/>
      <c r="R516" s="66"/>
    </row>
    <row r="517" spans="1:18" ht="12.75" customHeight="1">
      <c r="A517" s="18"/>
      <c r="B517" s="18"/>
      <c r="C517" s="18"/>
      <c r="D517" s="19"/>
      <c r="E517" s="20"/>
      <c r="F517" s="21" t="s">
        <v>2088</v>
      </c>
      <c r="G517" s="22"/>
      <c r="H517" s="23"/>
      <c r="I517" s="20"/>
      <c r="J517" s="20"/>
      <c r="K517" s="20"/>
      <c r="L517" s="20"/>
      <c r="M517" s="20"/>
      <c r="N517" s="20"/>
      <c r="O517" s="20"/>
      <c r="P517" s="24"/>
      <c r="Q517" s="56"/>
      <c r="R517" s="66"/>
    </row>
    <row r="518" spans="1:18" ht="21.75" customHeight="1">
      <c r="A518" s="33" t="s">
        <v>2089</v>
      </c>
      <c r="B518" s="33" t="s">
        <v>2090</v>
      </c>
      <c r="C518" s="49" t="str">
        <f>HYPERLINK("http://atberg.aha.ru/mir/rid05.jpg")</f>
        <v>http://atberg.aha.ru/mir/rid05.jpg</v>
      </c>
      <c r="D518" s="34"/>
      <c r="E518" s="33" t="s">
        <v>2091</v>
      </c>
      <c r="F518" s="35" t="s">
        <v>2092</v>
      </c>
      <c r="G518" s="33" t="s">
        <v>90</v>
      </c>
      <c r="H518" s="36"/>
      <c r="I518" s="37" t="s">
        <v>65</v>
      </c>
      <c r="J518" s="37">
        <v>2.03</v>
      </c>
      <c r="K518" s="33" t="s">
        <v>2093</v>
      </c>
      <c r="L518" s="38" t="s">
        <v>2094</v>
      </c>
      <c r="M518" s="33"/>
      <c r="N518" s="39"/>
      <c r="O518" s="39" t="s">
        <v>27</v>
      </c>
      <c r="P518" s="51">
        <v>518.8333333333334</v>
      </c>
      <c r="Q518" s="58">
        <v>4603312430006</v>
      </c>
      <c r="R518" s="66">
        <v>0.20299999999999999</v>
      </c>
    </row>
    <row r="519" spans="1:18" ht="24.75" customHeight="1">
      <c r="A519" s="33" t="s">
        <v>2095</v>
      </c>
      <c r="B519" s="33" t="s">
        <v>2096</v>
      </c>
      <c r="C519" s="49" t="str">
        <f>HYPERLINK("http://atberg.aha.ru/mir/rid01.jpg")</f>
        <v>http://atberg.aha.ru/mir/rid01.jpg</v>
      </c>
      <c r="D519" s="34"/>
      <c r="E519" s="33" t="s">
        <v>2097</v>
      </c>
      <c r="F519" s="35" t="s">
        <v>2098</v>
      </c>
      <c r="G519" s="33" t="s">
        <v>90</v>
      </c>
      <c r="H519" s="36"/>
      <c r="I519" s="37" t="s">
        <v>65</v>
      </c>
      <c r="J519" s="37">
        <v>1.96</v>
      </c>
      <c r="K519" s="33" t="s">
        <v>2093</v>
      </c>
      <c r="L519" s="38" t="s">
        <v>2094</v>
      </c>
      <c r="M519" s="33"/>
      <c r="N519" s="39"/>
      <c r="O519" s="39" t="s">
        <v>27</v>
      </c>
      <c r="P519" s="51">
        <v>319</v>
      </c>
      <c r="Q519" s="58">
        <v>4603312430044</v>
      </c>
      <c r="R519" s="66">
        <v>0.196</v>
      </c>
    </row>
    <row r="520" spans="1:18" ht="24.75" customHeight="1">
      <c r="A520" s="33" t="s">
        <v>2099</v>
      </c>
      <c r="B520" s="33" t="s">
        <v>2100</v>
      </c>
      <c r="C520" s="49" t="str">
        <f>HYPERLINK("http://atberg.aha.ru/mir/rid02.jpg")</f>
        <v>http://atberg.aha.ru/mir/rid02.jpg</v>
      </c>
      <c r="D520" s="34"/>
      <c r="E520" s="33" t="s">
        <v>2101</v>
      </c>
      <c r="F520" s="35" t="s">
        <v>2102</v>
      </c>
      <c r="G520" s="33" t="s">
        <v>90</v>
      </c>
      <c r="H520" s="36"/>
      <c r="I520" s="37" t="s">
        <v>65</v>
      </c>
      <c r="J520" s="37">
        <v>1.96</v>
      </c>
      <c r="K520" s="33" t="s">
        <v>2093</v>
      </c>
      <c r="L520" s="38" t="s">
        <v>2094</v>
      </c>
      <c r="M520" s="33"/>
      <c r="N520" s="39"/>
      <c r="O520" s="39" t="s">
        <v>27</v>
      </c>
      <c r="P520" s="51">
        <v>319</v>
      </c>
      <c r="Q520" s="58">
        <v>4603312430051</v>
      </c>
      <c r="R520" s="66">
        <v>0.196</v>
      </c>
    </row>
    <row r="521" spans="1:18" ht="21.75" customHeight="1">
      <c r="A521" s="33" t="s">
        <v>2103</v>
      </c>
      <c r="B521" s="33" t="s">
        <v>2104</v>
      </c>
      <c r="C521" s="49" t="str">
        <f>HYPERLINK("http://atberg.aha.ru/mir/rid06.jpg")</f>
        <v>http://atberg.aha.ru/mir/rid06.jpg</v>
      </c>
      <c r="D521" s="34"/>
      <c r="E521" s="33" t="s">
        <v>2105</v>
      </c>
      <c r="F521" s="35" t="s">
        <v>2106</v>
      </c>
      <c r="G521" s="33" t="s">
        <v>90</v>
      </c>
      <c r="H521" s="36"/>
      <c r="I521" s="37" t="s">
        <v>65</v>
      </c>
      <c r="J521" s="37">
        <v>2.03</v>
      </c>
      <c r="K521" s="33" t="s">
        <v>2093</v>
      </c>
      <c r="L521" s="38" t="s">
        <v>2094</v>
      </c>
      <c r="M521" s="33"/>
      <c r="N521" s="39"/>
      <c r="O521" s="39" t="s">
        <v>27</v>
      </c>
      <c r="P521" s="51">
        <v>518.8333333333334</v>
      </c>
      <c r="Q521" s="58">
        <v>4603312430013</v>
      </c>
      <c r="R521" s="66">
        <v>0.20299999999999999</v>
      </c>
    </row>
    <row r="522" spans="1:18" ht="24.75" customHeight="1">
      <c r="A522" s="33" t="s">
        <v>2107</v>
      </c>
      <c r="B522" s="33" t="s">
        <v>2108</v>
      </c>
      <c r="C522" s="49" t="str">
        <f>HYPERLINK("http://atberg.aha.ru/mir/rid03.jpg")</f>
        <v>http://atberg.aha.ru/mir/rid03.jpg</v>
      </c>
      <c r="D522" s="34"/>
      <c r="E522" s="33" t="s">
        <v>2109</v>
      </c>
      <c r="F522" s="35" t="s">
        <v>2110</v>
      </c>
      <c r="G522" s="33" t="s">
        <v>90</v>
      </c>
      <c r="H522" s="36"/>
      <c r="I522" s="37" t="s">
        <v>65</v>
      </c>
      <c r="J522" s="37">
        <v>1.96</v>
      </c>
      <c r="K522" s="33" t="s">
        <v>2093</v>
      </c>
      <c r="L522" s="38" t="s">
        <v>2094</v>
      </c>
      <c r="M522" s="33"/>
      <c r="N522" s="39"/>
      <c r="O522" s="39" t="s">
        <v>27</v>
      </c>
      <c r="P522" s="51">
        <v>319</v>
      </c>
      <c r="Q522" s="58">
        <v>4603312430068</v>
      </c>
      <c r="R522" s="66">
        <v>0.196</v>
      </c>
    </row>
    <row r="523" spans="1:18" ht="24.75" customHeight="1">
      <c r="A523" s="33" t="s">
        <v>2111</v>
      </c>
      <c r="B523" s="33" t="s">
        <v>2112</v>
      </c>
      <c r="C523" s="49" t="str">
        <f>HYPERLINK("http://atberg.aha.ru/mir/rid07.jpg")</f>
        <v>http://atberg.aha.ru/mir/rid07.jpg</v>
      </c>
      <c r="D523" s="34"/>
      <c r="E523" s="33" t="s">
        <v>2113</v>
      </c>
      <c r="F523" s="35" t="s">
        <v>2114</v>
      </c>
      <c r="G523" s="33" t="s">
        <v>90</v>
      </c>
      <c r="H523" s="36"/>
      <c r="I523" s="37" t="s">
        <v>65</v>
      </c>
      <c r="J523" s="37">
        <v>2.03</v>
      </c>
      <c r="K523" s="33" t="s">
        <v>2093</v>
      </c>
      <c r="L523" s="38" t="s">
        <v>2094</v>
      </c>
      <c r="M523" s="33"/>
      <c r="N523" s="39"/>
      <c r="O523" s="39" t="s">
        <v>27</v>
      </c>
      <c r="P523" s="51">
        <v>518.8333333333334</v>
      </c>
      <c r="Q523" s="58">
        <v>4603312430020</v>
      </c>
      <c r="R523" s="66">
        <v>0.20299999999999999</v>
      </c>
    </row>
    <row r="524" spans="1:18" ht="21.75" customHeight="1">
      <c r="A524" s="33" t="s">
        <v>2115</v>
      </c>
      <c r="B524" s="33" t="s">
        <v>2116</v>
      </c>
      <c r="C524" s="49" t="str">
        <f>HYPERLINK("http://atberg.aha.ru/mir/rid04.jpg")</f>
        <v>http://atberg.aha.ru/mir/rid04.jpg</v>
      </c>
      <c r="D524" s="34"/>
      <c r="E524" s="33" t="s">
        <v>2117</v>
      </c>
      <c r="F524" s="35" t="s">
        <v>2118</v>
      </c>
      <c r="G524" s="33" t="s">
        <v>90</v>
      </c>
      <c r="H524" s="36"/>
      <c r="I524" s="37" t="s">
        <v>65</v>
      </c>
      <c r="J524" s="37">
        <v>1.96</v>
      </c>
      <c r="K524" s="33" t="s">
        <v>2093</v>
      </c>
      <c r="L524" s="38" t="s">
        <v>2094</v>
      </c>
      <c r="M524" s="33"/>
      <c r="N524" s="39"/>
      <c r="O524" s="39" t="s">
        <v>27</v>
      </c>
      <c r="P524" s="51">
        <v>319</v>
      </c>
      <c r="Q524" s="58">
        <v>4603312430075</v>
      </c>
      <c r="R524" s="66">
        <v>0.196</v>
      </c>
    </row>
    <row r="525" spans="1:18" ht="21.75" customHeight="1" thickBot="1">
      <c r="A525" s="33" t="s">
        <v>2119</v>
      </c>
      <c r="B525" s="33" t="s">
        <v>2120</v>
      </c>
      <c r="C525" s="49" t="str">
        <f>HYPERLINK("http://atberg.aha.ru/mir/rid08.jpg")</f>
        <v>http://atberg.aha.ru/mir/rid08.jpg</v>
      </c>
      <c r="D525" s="34"/>
      <c r="E525" s="33" t="s">
        <v>2121</v>
      </c>
      <c r="F525" s="35" t="s">
        <v>2122</v>
      </c>
      <c r="G525" s="33" t="s">
        <v>90</v>
      </c>
      <c r="H525" s="36"/>
      <c r="I525" s="37" t="s">
        <v>65</v>
      </c>
      <c r="J525" s="37">
        <v>2.03</v>
      </c>
      <c r="K525" s="33" t="s">
        <v>2093</v>
      </c>
      <c r="L525" s="38" t="s">
        <v>2094</v>
      </c>
      <c r="M525" s="33"/>
      <c r="N525" s="39"/>
      <c r="O525" s="39" t="s">
        <v>27</v>
      </c>
      <c r="P525" s="51">
        <v>518.8333333333334</v>
      </c>
      <c r="Q525" s="58">
        <v>4603312430037</v>
      </c>
      <c r="R525" s="66">
        <v>0.20299999999999999</v>
      </c>
    </row>
    <row r="526" spans="1:18" ht="12.75" customHeight="1">
      <c r="A526" s="18"/>
      <c r="B526" s="18"/>
      <c r="C526" s="18"/>
      <c r="D526" s="19"/>
      <c r="E526" s="20"/>
      <c r="F526" s="21" t="s">
        <v>2123</v>
      </c>
      <c r="G526" s="22"/>
      <c r="H526" s="23"/>
      <c r="I526" s="20"/>
      <c r="J526" s="20"/>
      <c r="K526" s="20"/>
      <c r="L526" s="20"/>
      <c r="M526" s="20"/>
      <c r="N526" s="20"/>
      <c r="O526" s="20"/>
      <c r="P526" s="24"/>
      <c r="Q526" s="56"/>
      <c r="R526" s="66"/>
    </row>
    <row r="527" spans="1:18" ht="12.75" customHeight="1">
      <c r="A527" s="40"/>
      <c r="B527" s="40"/>
      <c r="C527" s="40"/>
      <c r="D527" s="41"/>
      <c r="E527" s="42"/>
      <c r="F527" s="43" t="s">
        <v>2124</v>
      </c>
      <c r="G527" s="44"/>
      <c r="H527" s="45"/>
      <c r="I527" s="42"/>
      <c r="J527" s="42"/>
      <c r="K527" s="42"/>
      <c r="L527" s="42"/>
      <c r="M527" s="42"/>
      <c r="N527" s="42"/>
      <c r="O527" s="42"/>
      <c r="P527" s="46"/>
      <c r="Q527" s="59"/>
      <c r="R527" s="66"/>
    </row>
    <row r="528" spans="1:18" ht="42.75" customHeight="1">
      <c r="A528" s="25" t="s">
        <v>2125</v>
      </c>
      <c r="B528" s="25" t="s">
        <v>2126</v>
      </c>
      <c r="C528" s="49" t="str">
        <f>HYPERLINK("http://atberg.aha.ru/mir/paz01.jpg")</f>
        <v>http://atberg.aha.ru/mir/paz01.jpg</v>
      </c>
      <c r="D528" s="27"/>
      <c r="E528" s="25" t="s">
        <v>2127</v>
      </c>
      <c r="F528" s="28" t="s">
        <v>2128</v>
      </c>
      <c r="G528" s="25"/>
      <c r="H528" s="29"/>
      <c r="I528" s="30" t="s">
        <v>2129</v>
      </c>
      <c r="J528" s="30">
        <v>1.5</v>
      </c>
      <c r="K528" s="25" t="s">
        <v>2130</v>
      </c>
      <c r="L528" s="31" t="s">
        <v>2131</v>
      </c>
      <c r="M528" s="25"/>
      <c r="N528" s="32" t="s">
        <v>2132</v>
      </c>
      <c r="O528" s="32" t="s">
        <v>2133</v>
      </c>
      <c r="P528" s="51">
        <v>254.10000000000002</v>
      </c>
      <c r="Q528" s="57">
        <v>9785604623534</v>
      </c>
      <c r="R528" s="66">
        <v>0.25</v>
      </c>
    </row>
    <row r="529" spans="1:18" ht="42.75" customHeight="1">
      <c r="A529" s="25" t="s">
        <v>2134</v>
      </c>
      <c r="B529" s="25" t="s">
        <v>2135</v>
      </c>
      <c r="C529" s="49" t="str">
        <f>HYPERLINK("http://atberg.aha.ru/mir/paz02.jpg")</f>
        <v>http://atberg.aha.ru/mir/paz02.jpg</v>
      </c>
      <c r="D529" s="27"/>
      <c r="E529" s="25" t="s">
        <v>2136</v>
      </c>
      <c r="F529" s="28" t="s">
        <v>2137</v>
      </c>
      <c r="G529" s="25"/>
      <c r="H529" s="29"/>
      <c r="I529" s="30" t="s">
        <v>2129</v>
      </c>
      <c r="J529" s="30">
        <v>1.5</v>
      </c>
      <c r="K529" s="25" t="s">
        <v>2130</v>
      </c>
      <c r="L529" s="31" t="s">
        <v>2131</v>
      </c>
      <c r="M529" s="25"/>
      <c r="N529" s="32" t="s">
        <v>2132</v>
      </c>
      <c r="O529" s="32" t="s">
        <v>2133</v>
      </c>
      <c r="P529" s="51">
        <v>254.10000000000002</v>
      </c>
      <c r="Q529" s="57">
        <v>9785604623541</v>
      </c>
      <c r="R529" s="66">
        <v>0.25</v>
      </c>
    </row>
    <row r="530" spans="1:18" ht="42.75" customHeight="1">
      <c r="A530" s="25" t="s">
        <v>2138</v>
      </c>
      <c r="B530" s="25" t="s">
        <v>2139</v>
      </c>
      <c r="C530" s="49" t="str">
        <f>HYPERLINK("http://atberg.aha.ru/mir/paz03.jpg")</f>
        <v>http://atberg.aha.ru/mir/paz03.jpg</v>
      </c>
      <c r="D530" s="27"/>
      <c r="E530" s="25" t="s">
        <v>2140</v>
      </c>
      <c r="F530" s="28" t="s">
        <v>2141</v>
      </c>
      <c r="G530" s="25"/>
      <c r="H530" s="29"/>
      <c r="I530" s="30" t="s">
        <v>2129</v>
      </c>
      <c r="J530" s="30">
        <v>1.5</v>
      </c>
      <c r="K530" s="25" t="s">
        <v>2130</v>
      </c>
      <c r="L530" s="31" t="s">
        <v>2131</v>
      </c>
      <c r="M530" s="25"/>
      <c r="N530" s="32" t="s">
        <v>2132</v>
      </c>
      <c r="O530" s="32" t="s">
        <v>2133</v>
      </c>
      <c r="P530" s="51">
        <v>254.10000000000002</v>
      </c>
      <c r="Q530" s="57">
        <v>9785604623558</v>
      </c>
      <c r="R530" s="66">
        <v>0.25</v>
      </c>
    </row>
    <row r="531" spans="1:18" ht="42.75" customHeight="1">
      <c r="A531" s="25" t="s">
        <v>2142</v>
      </c>
      <c r="B531" s="25" t="s">
        <v>2143</v>
      </c>
      <c r="C531" s="49" t="str">
        <f>HYPERLINK("http://atberg.aha.ru/mir/paz04.jpg")</f>
        <v>http://atberg.aha.ru/mir/paz04.jpg</v>
      </c>
      <c r="D531" s="27"/>
      <c r="E531" s="25" t="s">
        <v>2144</v>
      </c>
      <c r="F531" s="28" t="s">
        <v>2145</v>
      </c>
      <c r="G531" s="25"/>
      <c r="H531" s="29"/>
      <c r="I531" s="30" t="s">
        <v>2129</v>
      </c>
      <c r="J531" s="30">
        <v>1.5</v>
      </c>
      <c r="K531" s="25" t="s">
        <v>2130</v>
      </c>
      <c r="L531" s="31" t="s">
        <v>2131</v>
      </c>
      <c r="M531" s="25"/>
      <c r="N531" s="32" t="s">
        <v>2132</v>
      </c>
      <c r="O531" s="32" t="s">
        <v>2133</v>
      </c>
      <c r="P531" s="51">
        <v>254.10000000000002</v>
      </c>
      <c r="Q531" s="57">
        <v>9785604623565</v>
      </c>
      <c r="R531" s="66">
        <v>0.25</v>
      </c>
    </row>
    <row r="532" spans="1:18" ht="42.75" customHeight="1">
      <c r="A532" s="25" t="s">
        <v>2146</v>
      </c>
      <c r="B532" s="25" t="s">
        <v>2147</v>
      </c>
      <c r="C532" s="49" t="str">
        <f>HYPERLINK("http://atberg.aha.ru/mir/paz04.jpg")</f>
        <v>http://atberg.aha.ru/mir/paz04.jpg</v>
      </c>
      <c r="D532" s="27"/>
      <c r="E532" s="25" t="s">
        <v>2148</v>
      </c>
      <c r="F532" s="28" t="s">
        <v>2149</v>
      </c>
      <c r="G532" s="25"/>
      <c r="H532" s="29"/>
      <c r="I532" s="30" t="s">
        <v>2129</v>
      </c>
      <c r="J532" s="30">
        <v>1.5</v>
      </c>
      <c r="K532" s="25" t="s">
        <v>2130</v>
      </c>
      <c r="L532" s="31" t="s">
        <v>2131</v>
      </c>
      <c r="M532" s="25"/>
      <c r="N532" s="32" t="s">
        <v>2132</v>
      </c>
      <c r="O532" s="32" t="s">
        <v>2133</v>
      </c>
      <c r="P532" s="51">
        <v>254.10000000000002</v>
      </c>
      <c r="Q532" s="57">
        <v>9785604623572</v>
      </c>
      <c r="R532" s="66">
        <v>0.25</v>
      </c>
    </row>
    <row r="533" spans="1:18" ht="12.75" customHeight="1">
      <c r="A533" s="40"/>
      <c r="B533" s="40"/>
      <c r="C533" s="40"/>
      <c r="D533" s="41"/>
      <c r="E533" s="42"/>
      <c r="F533" s="43" t="s">
        <v>2150</v>
      </c>
      <c r="G533" s="44"/>
      <c r="H533" s="45"/>
      <c r="I533" s="42"/>
      <c r="J533" s="42"/>
      <c r="K533" s="42"/>
      <c r="L533" s="42"/>
      <c r="M533" s="42"/>
      <c r="N533" s="42"/>
      <c r="O533" s="42"/>
      <c r="P533" s="46"/>
      <c r="Q533" s="59"/>
      <c r="R533" s="66"/>
    </row>
    <row r="534" spans="1:18" ht="32.25" customHeight="1">
      <c r="A534" s="25" t="s">
        <v>2151</v>
      </c>
      <c r="B534" s="25" t="s">
        <v>2152</v>
      </c>
      <c r="C534" s="49" t="str">
        <f>HYPERLINK("http://atberg.aha.ru/mir/knp11.jpg")</f>
        <v>http://atberg.aha.ru/mir/knp11.jpg</v>
      </c>
      <c r="D534" s="27"/>
      <c r="E534" s="25" t="s">
        <v>2153</v>
      </c>
      <c r="F534" s="28" t="s">
        <v>2154</v>
      </c>
      <c r="G534" s="25"/>
      <c r="H534" s="29"/>
      <c r="I534" s="30" t="s">
        <v>1027</v>
      </c>
      <c r="J534" s="30">
        <v>1.66</v>
      </c>
      <c r="K534" s="25" t="s">
        <v>2155</v>
      </c>
      <c r="L534" s="31" t="s">
        <v>2156</v>
      </c>
      <c r="M534" s="25" t="s">
        <v>2157</v>
      </c>
      <c r="N534" s="32" t="s">
        <v>2158</v>
      </c>
      <c r="O534" s="32" t="s">
        <v>2133</v>
      </c>
      <c r="P534" s="51">
        <v>231</v>
      </c>
      <c r="Q534" s="57">
        <v>9785990873407</v>
      </c>
      <c r="R534" s="66">
        <v>0.2075</v>
      </c>
    </row>
    <row r="535" spans="1:18" ht="32.25" customHeight="1">
      <c r="A535" s="25" t="s">
        <v>2159</v>
      </c>
      <c r="B535" s="25" t="s">
        <v>2160</v>
      </c>
      <c r="C535" s="49" t="str">
        <f>HYPERLINK("http://atberg.aha.ru/mir/knp03.jpg")</f>
        <v>http://atberg.aha.ru/mir/knp03.jpg</v>
      </c>
      <c r="D535" s="27"/>
      <c r="E535" s="25" t="s">
        <v>2161</v>
      </c>
      <c r="F535" s="28" t="s">
        <v>2162</v>
      </c>
      <c r="G535" s="25"/>
      <c r="H535" s="29"/>
      <c r="I535" s="30" t="s">
        <v>1027</v>
      </c>
      <c r="J535" s="30">
        <v>1.66</v>
      </c>
      <c r="K535" s="25" t="s">
        <v>2155</v>
      </c>
      <c r="L535" s="31" t="s">
        <v>2156</v>
      </c>
      <c r="M535" s="25" t="s">
        <v>2157</v>
      </c>
      <c r="N535" s="32" t="s">
        <v>2158</v>
      </c>
      <c r="O535" s="32" t="s">
        <v>2133</v>
      </c>
      <c r="P535" s="51">
        <v>231</v>
      </c>
      <c r="Q535" s="57">
        <v>9785990872981</v>
      </c>
      <c r="R535" s="66">
        <v>0.2075</v>
      </c>
    </row>
    <row r="536" spans="1:18" ht="32.25" customHeight="1">
      <c r="A536" s="25" t="s">
        <v>2163</v>
      </c>
      <c r="B536" s="25" t="s">
        <v>2164</v>
      </c>
      <c r="C536" s="49" t="str">
        <f>HYPERLINK("http://atberg.aha.ru/mir/knp09.jpg")</f>
        <v>http://atberg.aha.ru/mir/knp09.jpg</v>
      </c>
      <c r="D536" s="27"/>
      <c r="E536" s="25" t="s">
        <v>2165</v>
      </c>
      <c r="F536" s="28" t="s">
        <v>2166</v>
      </c>
      <c r="G536" s="25"/>
      <c r="H536" s="29"/>
      <c r="I536" s="30" t="s">
        <v>1027</v>
      </c>
      <c r="J536" s="30">
        <v>1.66</v>
      </c>
      <c r="K536" s="25" t="s">
        <v>2155</v>
      </c>
      <c r="L536" s="31" t="s">
        <v>2156</v>
      </c>
      <c r="M536" s="25" t="s">
        <v>2157</v>
      </c>
      <c r="N536" s="32" t="s">
        <v>2158</v>
      </c>
      <c r="O536" s="32" t="s">
        <v>2133</v>
      </c>
      <c r="P536" s="51">
        <v>231</v>
      </c>
      <c r="Q536" s="57">
        <v>9785990873193</v>
      </c>
      <c r="R536" s="66">
        <v>0.2075</v>
      </c>
    </row>
    <row r="537" spans="1:18" ht="32.25" customHeight="1">
      <c r="A537" s="25" t="s">
        <v>2167</v>
      </c>
      <c r="B537" s="25" t="s">
        <v>2168</v>
      </c>
      <c r="C537" s="49" t="str">
        <f>HYPERLINK("http://atberg.aha.ru/mir/knp12.jpg")</f>
        <v>http://atberg.aha.ru/mir/knp12.jpg</v>
      </c>
      <c r="D537" s="27"/>
      <c r="E537" s="25" t="s">
        <v>2169</v>
      </c>
      <c r="F537" s="28" t="s">
        <v>2170</v>
      </c>
      <c r="G537" s="25"/>
      <c r="H537" s="29"/>
      <c r="I537" s="30" t="s">
        <v>1027</v>
      </c>
      <c r="J537" s="30">
        <v>1.66</v>
      </c>
      <c r="K537" s="25" t="s">
        <v>2155</v>
      </c>
      <c r="L537" s="31" t="s">
        <v>2156</v>
      </c>
      <c r="M537" s="25" t="s">
        <v>2157</v>
      </c>
      <c r="N537" s="32" t="s">
        <v>2158</v>
      </c>
      <c r="O537" s="32" t="s">
        <v>2133</v>
      </c>
      <c r="P537" s="51">
        <v>231</v>
      </c>
      <c r="Q537" s="57">
        <v>9785990873414</v>
      </c>
      <c r="R537" s="66">
        <v>0.2075</v>
      </c>
    </row>
    <row r="538" spans="1:18" ht="32.25" customHeight="1">
      <c r="A538" s="25" t="s">
        <v>2171</v>
      </c>
      <c r="B538" s="25" t="s">
        <v>2172</v>
      </c>
      <c r="C538" s="49" t="str">
        <f>HYPERLINK("http://atberg.aha.ru/mir/knp07.jpg")</f>
        <v>http://atberg.aha.ru/mir/knp07.jpg</v>
      </c>
      <c r="D538" s="27"/>
      <c r="E538" s="25"/>
      <c r="F538" s="28" t="s">
        <v>2173</v>
      </c>
      <c r="G538" s="25"/>
      <c r="H538" s="29"/>
      <c r="I538" s="30" t="s">
        <v>1027</v>
      </c>
      <c r="J538" s="30">
        <v>1.66</v>
      </c>
      <c r="K538" s="25" t="s">
        <v>2155</v>
      </c>
      <c r="L538" s="31" t="s">
        <v>2156</v>
      </c>
      <c r="M538" s="25" t="s">
        <v>2157</v>
      </c>
      <c r="N538" s="32" t="s">
        <v>2158</v>
      </c>
      <c r="O538" s="32" t="s">
        <v>2133</v>
      </c>
      <c r="P538" s="51">
        <v>231</v>
      </c>
      <c r="Q538" s="57">
        <v>9785990873179</v>
      </c>
      <c r="R538" s="66">
        <v>0.2075</v>
      </c>
    </row>
    <row r="539" spans="1:18" ht="32.25" customHeight="1">
      <c r="A539" s="25" t="s">
        <v>2174</v>
      </c>
      <c r="B539" s="25" t="s">
        <v>2175</v>
      </c>
      <c r="C539" s="49" t="str">
        <f>HYPERLINK("http://atberg.aha.ru/mir/knp01.jpg")</f>
        <v>http://atberg.aha.ru/mir/knp01.jpg</v>
      </c>
      <c r="D539" s="27"/>
      <c r="E539" s="25" t="s">
        <v>2176</v>
      </c>
      <c r="F539" s="28" t="s">
        <v>2177</v>
      </c>
      <c r="G539" s="25"/>
      <c r="H539" s="29"/>
      <c r="I539" s="30" t="s">
        <v>1027</v>
      </c>
      <c r="J539" s="30">
        <v>1.66</v>
      </c>
      <c r="K539" s="25" t="s">
        <v>2155</v>
      </c>
      <c r="L539" s="31" t="s">
        <v>2156</v>
      </c>
      <c r="M539" s="25" t="s">
        <v>2157</v>
      </c>
      <c r="N539" s="32" t="s">
        <v>2158</v>
      </c>
      <c r="O539" s="32" t="s">
        <v>2133</v>
      </c>
      <c r="P539" s="51">
        <v>231</v>
      </c>
      <c r="Q539" s="57">
        <v>9785990872974</v>
      </c>
      <c r="R539" s="66">
        <v>0.2075</v>
      </c>
    </row>
    <row r="540" spans="1:18" ht="32.25" customHeight="1">
      <c r="A540" s="25" t="s">
        <v>2178</v>
      </c>
      <c r="B540" s="25" t="s">
        <v>2179</v>
      </c>
      <c r="C540" s="49" t="str">
        <f>HYPERLINK("http://atberg.aha.ru/mir/knp04.jpg")</f>
        <v>http://atberg.aha.ru/mir/knp04.jpg</v>
      </c>
      <c r="D540" s="27"/>
      <c r="E540" s="25"/>
      <c r="F540" s="28" t="s">
        <v>2180</v>
      </c>
      <c r="G540" s="25"/>
      <c r="H540" s="29"/>
      <c r="I540" s="30" t="s">
        <v>1027</v>
      </c>
      <c r="J540" s="30">
        <v>1.66</v>
      </c>
      <c r="K540" s="25" t="s">
        <v>2155</v>
      </c>
      <c r="L540" s="31" t="s">
        <v>2156</v>
      </c>
      <c r="M540" s="25" t="s">
        <v>2157</v>
      </c>
      <c r="N540" s="32" t="s">
        <v>2158</v>
      </c>
      <c r="O540" s="32" t="s">
        <v>2133</v>
      </c>
      <c r="P540" s="51">
        <v>231</v>
      </c>
      <c r="Q540" s="57">
        <v>9785990872998</v>
      </c>
      <c r="R540" s="66">
        <v>0.2075</v>
      </c>
    </row>
    <row r="541" spans="1:18" ht="32.25" customHeight="1">
      <c r="A541" s="25" t="s">
        <v>2181</v>
      </c>
      <c r="B541" s="25" t="s">
        <v>2182</v>
      </c>
      <c r="C541" s="49" t="str">
        <f>HYPERLINK("http://atberg.aha.ru/mir/knp08.jpg")</f>
        <v>http://atberg.aha.ru/mir/knp08.jpg</v>
      </c>
      <c r="D541" s="27"/>
      <c r="E541" s="25" t="s">
        <v>2183</v>
      </c>
      <c r="F541" s="28" t="s">
        <v>2184</v>
      </c>
      <c r="G541" s="25"/>
      <c r="H541" s="29"/>
      <c r="I541" s="30" t="s">
        <v>1027</v>
      </c>
      <c r="J541" s="30">
        <v>1.66</v>
      </c>
      <c r="K541" s="25" t="s">
        <v>2155</v>
      </c>
      <c r="L541" s="31" t="s">
        <v>2156</v>
      </c>
      <c r="M541" s="25" t="s">
        <v>2157</v>
      </c>
      <c r="N541" s="32" t="s">
        <v>2158</v>
      </c>
      <c r="O541" s="32" t="s">
        <v>2133</v>
      </c>
      <c r="P541" s="51">
        <v>231</v>
      </c>
      <c r="Q541" s="57">
        <v>9785990873162</v>
      </c>
      <c r="R541" s="66">
        <v>0.2075</v>
      </c>
    </row>
    <row r="542" spans="1:18" ht="32.25" customHeight="1">
      <c r="A542" s="25" t="s">
        <v>2185</v>
      </c>
      <c r="B542" s="25" t="s">
        <v>2186</v>
      </c>
      <c r="C542" s="49" t="str">
        <f>HYPERLINK("http://atberg.aha.ru/mir/knp02.jpg")</f>
        <v>http://atberg.aha.ru/mir/knp02.jpg</v>
      </c>
      <c r="D542" s="27"/>
      <c r="E542" s="25" t="s">
        <v>2187</v>
      </c>
      <c r="F542" s="28" t="s">
        <v>2188</v>
      </c>
      <c r="G542" s="25"/>
      <c r="H542" s="29"/>
      <c r="I542" s="30" t="s">
        <v>1027</v>
      </c>
      <c r="J542" s="30">
        <v>1.66</v>
      </c>
      <c r="K542" s="25" t="s">
        <v>2155</v>
      </c>
      <c r="L542" s="31" t="s">
        <v>2156</v>
      </c>
      <c r="M542" s="25" t="s">
        <v>2157</v>
      </c>
      <c r="N542" s="32" t="s">
        <v>2158</v>
      </c>
      <c r="O542" s="32" t="s">
        <v>2133</v>
      </c>
      <c r="P542" s="51">
        <v>231</v>
      </c>
      <c r="Q542" s="57">
        <v>9785990872967</v>
      </c>
      <c r="R542" s="66">
        <v>0.2075</v>
      </c>
    </row>
    <row r="543" spans="1:18" ht="32.25" customHeight="1">
      <c r="A543" s="25" t="s">
        <v>2189</v>
      </c>
      <c r="B543" s="25" t="s">
        <v>2190</v>
      </c>
      <c r="C543" s="49" t="str">
        <f>HYPERLINK("http://atberg.aha.ru/mir/knp10.jpg")</f>
        <v>http://atberg.aha.ru/mir/knp10.jpg</v>
      </c>
      <c r="D543" s="27"/>
      <c r="E543" s="25"/>
      <c r="F543" s="28" t="s">
        <v>2191</v>
      </c>
      <c r="G543" s="25"/>
      <c r="H543" s="29"/>
      <c r="I543" s="30" t="s">
        <v>1027</v>
      </c>
      <c r="J543" s="30">
        <v>1.66</v>
      </c>
      <c r="K543" s="25" t="s">
        <v>2155</v>
      </c>
      <c r="L543" s="31" t="s">
        <v>2156</v>
      </c>
      <c r="M543" s="25" t="s">
        <v>2157</v>
      </c>
      <c r="N543" s="32" t="s">
        <v>2158</v>
      </c>
      <c r="O543" s="32" t="s">
        <v>2133</v>
      </c>
      <c r="P543" s="51">
        <v>231</v>
      </c>
      <c r="Q543" s="57">
        <v>9785990873186</v>
      </c>
      <c r="R543" s="66">
        <v>0.2075</v>
      </c>
    </row>
    <row r="544" spans="1:18" ht="32.25" customHeight="1">
      <c r="A544" s="25" t="s">
        <v>2192</v>
      </c>
      <c r="B544" s="25" t="s">
        <v>2193</v>
      </c>
      <c r="C544" s="49" t="str">
        <f>HYPERLINK("http://atberg.aha.ru/mir/knp05.jpg")</f>
        <v>http://atberg.aha.ru/mir/knp05.jpg</v>
      </c>
      <c r="D544" s="27"/>
      <c r="E544" s="25"/>
      <c r="F544" s="28" t="s">
        <v>2194</v>
      </c>
      <c r="G544" s="25"/>
      <c r="H544" s="29"/>
      <c r="I544" s="30" t="s">
        <v>1027</v>
      </c>
      <c r="J544" s="30">
        <v>1.66</v>
      </c>
      <c r="K544" s="25" t="s">
        <v>2155</v>
      </c>
      <c r="L544" s="31" t="s">
        <v>2156</v>
      </c>
      <c r="M544" s="25" t="s">
        <v>2157</v>
      </c>
      <c r="N544" s="32" t="s">
        <v>2158</v>
      </c>
      <c r="O544" s="32" t="s">
        <v>2133</v>
      </c>
      <c r="P544" s="51">
        <v>231</v>
      </c>
      <c r="Q544" s="57">
        <v>9785990873001</v>
      </c>
      <c r="R544" s="66">
        <v>0.2075</v>
      </c>
    </row>
    <row r="545" spans="1:18" ht="32.25" customHeight="1">
      <c r="A545" s="25" t="s">
        <v>2195</v>
      </c>
      <c r="B545" s="25" t="s">
        <v>2196</v>
      </c>
      <c r="C545" s="49" t="str">
        <f>HYPERLINK("http://atberg.aha.ru/mir/knp06.jpg")</f>
        <v>http://atberg.aha.ru/mir/knp06.jpg</v>
      </c>
      <c r="D545" s="27"/>
      <c r="E545" s="25" t="s">
        <v>2197</v>
      </c>
      <c r="F545" s="28" t="s">
        <v>1832</v>
      </c>
      <c r="G545" s="25"/>
      <c r="H545" s="29"/>
      <c r="I545" s="30" t="s">
        <v>1027</v>
      </c>
      <c r="J545" s="30">
        <v>1.66</v>
      </c>
      <c r="K545" s="25" t="s">
        <v>2155</v>
      </c>
      <c r="L545" s="31" t="s">
        <v>2156</v>
      </c>
      <c r="M545" s="25" t="s">
        <v>2157</v>
      </c>
      <c r="N545" s="32" t="s">
        <v>2158</v>
      </c>
      <c r="O545" s="32" t="s">
        <v>2133</v>
      </c>
      <c r="P545" s="51">
        <v>231</v>
      </c>
      <c r="Q545" s="57">
        <v>9785990873018</v>
      </c>
      <c r="R545" s="66">
        <v>0.2075</v>
      </c>
    </row>
    <row r="546" spans="1:18" ht="12.75" customHeight="1">
      <c r="A546" s="40"/>
      <c r="B546" s="40"/>
      <c r="C546" s="40"/>
      <c r="D546" s="41"/>
      <c r="E546" s="42"/>
      <c r="F546" s="43" t="s">
        <v>2198</v>
      </c>
      <c r="G546" s="44"/>
      <c r="H546" s="45"/>
      <c r="I546" s="42"/>
      <c r="J546" s="42"/>
      <c r="K546" s="42"/>
      <c r="L546" s="42"/>
      <c r="M546" s="42"/>
      <c r="N546" s="42"/>
      <c r="O546" s="42"/>
      <c r="P546" s="46"/>
      <c r="Q546" s="59"/>
      <c r="R546" s="66"/>
    </row>
    <row r="547" spans="1:18" ht="32.25" customHeight="1">
      <c r="A547" s="25" t="s">
        <v>2199</v>
      </c>
      <c r="B547" s="25" t="s">
        <v>2200</v>
      </c>
      <c r="C547" s="49" t="str">
        <f>HYPERLINK("http://atberg.aha.ru/mir/kpa01.jpg")</f>
        <v>http://atberg.aha.ru/mir/kpa01.jpg</v>
      </c>
      <c r="D547" s="27"/>
      <c r="E547" s="25" t="s">
        <v>2201</v>
      </c>
      <c r="F547" s="28" t="s">
        <v>2202</v>
      </c>
      <c r="G547" s="25"/>
      <c r="H547" s="29"/>
      <c r="I547" s="30" t="s">
        <v>2203</v>
      </c>
      <c r="J547" s="30">
        <v>3.218</v>
      </c>
      <c r="K547" s="25" t="s">
        <v>2155</v>
      </c>
      <c r="L547" s="31" t="s">
        <v>2204</v>
      </c>
      <c r="M547" s="25" t="s">
        <v>2205</v>
      </c>
      <c r="N547" s="32" t="s">
        <v>2206</v>
      </c>
      <c r="O547" s="32" t="s">
        <v>76</v>
      </c>
      <c r="P547" s="51">
        <v>440</v>
      </c>
      <c r="Q547" s="57">
        <v>9785990873650</v>
      </c>
      <c r="R547" s="66">
        <v>0.4597142857142857</v>
      </c>
    </row>
    <row r="548" spans="1:18" ht="32.25" customHeight="1">
      <c r="A548" s="25" t="s">
        <v>2207</v>
      </c>
      <c r="B548" s="25" t="s">
        <v>2208</v>
      </c>
      <c r="C548" s="49" t="str">
        <f>HYPERLINK("http://atberg.aha.ru/mir/kpa16.jpg")</f>
        <v>http://atberg.aha.ru/mir/kpa16.jpg</v>
      </c>
      <c r="D548" s="27"/>
      <c r="E548" s="25" t="s">
        <v>2209</v>
      </c>
      <c r="F548" s="28" t="s">
        <v>650</v>
      </c>
      <c r="G548" s="25"/>
      <c r="H548" s="29"/>
      <c r="I548" s="30" t="s">
        <v>2203</v>
      </c>
      <c r="J548" s="30">
        <v>3.218</v>
      </c>
      <c r="K548" s="25" t="s">
        <v>2155</v>
      </c>
      <c r="L548" s="31" t="s">
        <v>2204</v>
      </c>
      <c r="M548" s="25" t="s">
        <v>2205</v>
      </c>
      <c r="N548" s="32" t="s">
        <v>2206</v>
      </c>
      <c r="O548" s="32" t="s">
        <v>2210</v>
      </c>
      <c r="P548" s="51">
        <v>440</v>
      </c>
      <c r="Q548" s="57">
        <v>9785604623664</v>
      </c>
      <c r="R548" s="66">
        <v>0.4597142857142857</v>
      </c>
    </row>
    <row r="549" spans="1:18" ht="32.25" customHeight="1">
      <c r="A549" s="25" t="s">
        <v>2211</v>
      </c>
      <c r="B549" s="25" t="s">
        <v>2212</v>
      </c>
      <c r="C549" s="49" t="str">
        <f>HYPERLINK("http://atberg.aha.ru/mir/kpa02.jpg")</f>
        <v>http://atberg.aha.ru/mir/kpa02.jpg</v>
      </c>
      <c r="D549" s="27"/>
      <c r="E549" s="25" t="s">
        <v>2213</v>
      </c>
      <c r="F549" s="28" t="s">
        <v>2214</v>
      </c>
      <c r="G549" s="25"/>
      <c r="H549" s="29"/>
      <c r="I549" s="30" t="s">
        <v>2203</v>
      </c>
      <c r="J549" s="30">
        <v>3.218</v>
      </c>
      <c r="K549" s="25" t="s">
        <v>2155</v>
      </c>
      <c r="L549" s="31" t="s">
        <v>2204</v>
      </c>
      <c r="M549" s="25" t="s">
        <v>2205</v>
      </c>
      <c r="N549" s="32" t="s">
        <v>2206</v>
      </c>
      <c r="O549" s="32" t="s">
        <v>76</v>
      </c>
      <c r="P549" s="51">
        <v>440</v>
      </c>
      <c r="Q549" s="57">
        <v>9785990873667</v>
      </c>
      <c r="R549" s="66">
        <v>0.4597142857142857</v>
      </c>
    </row>
    <row r="550" spans="1:18" ht="32.25" customHeight="1">
      <c r="A550" s="25" t="s">
        <v>2215</v>
      </c>
      <c r="B550" s="25" t="s">
        <v>2216</v>
      </c>
      <c r="C550" s="49" t="str">
        <f>HYPERLINK("http://atberg.aha.ru/mir/kpa03.jpg")</f>
        <v>http://atberg.aha.ru/mir/kpa03.jpg</v>
      </c>
      <c r="D550" s="27"/>
      <c r="E550" s="25" t="s">
        <v>2217</v>
      </c>
      <c r="F550" s="28" t="s">
        <v>2218</v>
      </c>
      <c r="G550" s="25"/>
      <c r="H550" s="29"/>
      <c r="I550" s="30" t="s">
        <v>2203</v>
      </c>
      <c r="J550" s="30">
        <v>3.218</v>
      </c>
      <c r="K550" s="25" t="s">
        <v>2155</v>
      </c>
      <c r="L550" s="31" t="s">
        <v>2204</v>
      </c>
      <c r="M550" s="25" t="s">
        <v>2205</v>
      </c>
      <c r="N550" s="32" t="s">
        <v>2206</v>
      </c>
      <c r="O550" s="32" t="s">
        <v>76</v>
      </c>
      <c r="P550" s="51">
        <v>440</v>
      </c>
      <c r="Q550" s="57">
        <v>9785990873674</v>
      </c>
      <c r="R550" s="66">
        <v>0.4597142857142857</v>
      </c>
    </row>
    <row r="551" spans="1:18" ht="32.25" customHeight="1">
      <c r="A551" s="25" t="s">
        <v>2219</v>
      </c>
      <c r="B551" s="25" t="s">
        <v>2220</v>
      </c>
      <c r="C551" s="49" t="str">
        <f>HYPERLINK("http://atberg.aha.ru/mir/kpa04.jpg")</f>
        <v>http://atberg.aha.ru/mir/kpa04.jpg</v>
      </c>
      <c r="D551" s="27"/>
      <c r="E551" s="25" t="s">
        <v>2221</v>
      </c>
      <c r="F551" s="28" t="s">
        <v>1093</v>
      </c>
      <c r="G551" s="25"/>
      <c r="H551" s="29"/>
      <c r="I551" s="30" t="s">
        <v>2203</v>
      </c>
      <c r="J551" s="30">
        <v>3.218</v>
      </c>
      <c r="K551" s="25" t="s">
        <v>2155</v>
      </c>
      <c r="L551" s="31" t="s">
        <v>2204</v>
      </c>
      <c r="M551" s="25" t="s">
        <v>2205</v>
      </c>
      <c r="N551" s="32" t="s">
        <v>2206</v>
      </c>
      <c r="O551" s="32" t="s">
        <v>76</v>
      </c>
      <c r="P551" s="51">
        <v>440</v>
      </c>
      <c r="Q551" s="57">
        <v>9785990873681</v>
      </c>
      <c r="R551" s="66">
        <v>0.4597142857142857</v>
      </c>
    </row>
    <row r="552" spans="1:18" ht="32.25" customHeight="1">
      <c r="A552" s="25" t="s">
        <v>2222</v>
      </c>
      <c r="B552" s="25" t="s">
        <v>2223</v>
      </c>
      <c r="C552" s="49" t="str">
        <f>HYPERLINK("http://atberg.aha.ru/mir/kpa11.jpg")</f>
        <v>http://atberg.aha.ru/mir/kpa11.jpg</v>
      </c>
      <c r="D552" s="27"/>
      <c r="E552" s="25" t="s">
        <v>2224</v>
      </c>
      <c r="F552" s="28" t="s">
        <v>1045</v>
      </c>
      <c r="G552" s="25"/>
      <c r="H552" s="29"/>
      <c r="I552" s="30" t="s">
        <v>2203</v>
      </c>
      <c r="J552" s="30">
        <v>3.218</v>
      </c>
      <c r="K552" s="25" t="s">
        <v>2155</v>
      </c>
      <c r="L552" s="31" t="s">
        <v>2204</v>
      </c>
      <c r="M552" s="25" t="s">
        <v>2205</v>
      </c>
      <c r="N552" s="32" t="s">
        <v>2206</v>
      </c>
      <c r="O552" s="32" t="s">
        <v>76</v>
      </c>
      <c r="P552" s="51">
        <v>440</v>
      </c>
      <c r="Q552" s="57">
        <v>9785604623602</v>
      </c>
      <c r="R552" s="66">
        <v>0.4597142857142857</v>
      </c>
    </row>
    <row r="553" spans="1:18" ht="32.25" customHeight="1">
      <c r="A553" s="25" t="s">
        <v>2225</v>
      </c>
      <c r="B553" s="25" t="s">
        <v>2226</v>
      </c>
      <c r="C553" s="49" t="str">
        <f>HYPERLINK("http://atberg.aha.ru/mir/kpa05.jpg")</f>
        <v>http://atberg.aha.ru/mir/kpa05.jpg</v>
      </c>
      <c r="D553" s="27"/>
      <c r="E553" s="25" t="s">
        <v>2227</v>
      </c>
      <c r="F553" s="28" t="s">
        <v>1154</v>
      </c>
      <c r="G553" s="25"/>
      <c r="H553" s="29"/>
      <c r="I553" s="30" t="s">
        <v>2203</v>
      </c>
      <c r="J553" s="30">
        <v>3.218</v>
      </c>
      <c r="K553" s="25" t="s">
        <v>2155</v>
      </c>
      <c r="L553" s="31" t="s">
        <v>2204</v>
      </c>
      <c r="M553" s="25" t="s">
        <v>2205</v>
      </c>
      <c r="N553" s="32" t="s">
        <v>2206</v>
      </c>
      <c r="O553" s="32" t="s">
        <v>76</v>
      </c>
      <c r="P553" s="51">
        <v>440</v>
      </c>
      <c r="Q553" s="57">
        <v>9785990873698</v>
      </c>
      <c r="R553" s="66">
        <v>0.4597142857142857</v>
      </c>
    </row>
    <row r="554" spans="1:18" ht="32.25" customHeight="1">
      <c r="A554" s="25" t="s">
        <v>2228</v>
      </c>
      <c r="B554" s="25" t="s">
        <v>2229</v>
      </c>
      <c r="C554" s="49" t="str">
        <f>HYPERLINK("http://atberg.aha.ru/mir/kpa12.jpg")</f>
        <v>http://atberg.aha.ru/mir/kpa12.jpg</v>
      </c>
      <c r="D554" s="27"/>
      <c r="E554" s="25" t="s">
        <v>2230</v>
      </c>
      <c r="F554" s="28" t="s">
        <v>824</v>
      </c>
      <c r="G554" s="25"/>
      <c r="H554" s="29"/>
      <c r="I554" s="30" t="s">
        <v>2203</v>
      </c>
      <c r="J554" s="30">
        <v>3.218</v>
      </c>
      <c r="K554" s="25" t="s">
        <v>2155</v>
      </c>
      <c r="L554" s="31" t="s">
        <v>2204</v>
      </c>
      <c r="M554" s="25" t="s">
        <v>2205</v>
      </c>
      <c r="N554" s="32" t="s">
        <v>2206</v>
      </c>
      <c r="O554" s="32" t="s">
        <v>76</v>
      </c>
      <c r="P554" s="51">
        <v>440</v>
      </c>
      <c r="Q554" s="57">
        <v>9785604623619</v>
      </c>
      <c r="R554" s="66">
        <v>0.4597142857142857</v>
      </c>
    </row>
    <row r="555" spans="1:18" ht="32.25" customHeight="1">
      <c r="A555" s="25" t="s">
        <v>2231</v>
      </c>
      <c r="B555" s="25" t="s">
        <v>2232</v>
      </c>
      <c r="C555" s="49" t="str">
        <f>HYPERLINK("http://atberg.aha.ru/mir/kpa13.jpg")</f>
        <v>http://atberg.aha.ru/mir/kpa13.jpg</v>
      </c>
      <c r="D555" s="27"/>
      <c r="E555" s="25" t="s">
        <v>2233</v>
      </c>
      <c r="F555" s="28" t="s">
        <v>2234</v>
      </c>
      <c r="G555" s="25"/>
      <c r="H555" s="29"/>
      <c r="I555" s="30" t="s">
        <v>2203</v>
      </c>
      <c r="J555" s="30">
        <v>3.218</v>
      </c>
      <c r="K555" s="25" t="s">
        <v>2155</v>
      </c>
      <c r="L555" s="31" t="s">
        <v>2204</v>
      </c>
      <c r="M555" s="25" t="s">
        <v>2205</v>
      </c>
      <c r="N555" s="32" t="s">
        <v>2206</v>
      </c>
      <c r="O555" s="32" t="s">
        <v>76</v>
      </c>
      <c r="P555" s="51">
        <v>440</v>
      </c>
      <c r="Q555" s="57">
        <v>9785604623626</v>
      </c>
      <c r="R555" s="66">
        <v>0.4597142857142857</v>
      </c>
    </row>
    <row r="556" spans="1:18" ht="32.25" customHeight="1">
      <c r="A556" s="25" t="s">
        <v>2235</v>
      </c>
      <c r="B556" s="25" t="s">
        <v>2236</v>
      </c>
      <c r="C556" s="49" t="str">
        <f>HYPERLINK("http://atberg.aha.ru/mir/kpa14.jpg")</f>
        <v>http://atberg.aha.ru/mir/kpa14.jpg</v>
      </c>
      <c r="D556" s="27"/>
      <c r="E556" s="25" t="s">
        <v>2237</v>
      </c>
      <c r="F556" s="28" t="s">
        <v>2238</v>
      </c>
      <c r="G556" s="25"/>
      <c r="H556" s="29"/>
      <c r="I556" s="30" t="s">
        <v>2203</v>
      </c>
      <c r="J556" s="30">
        <v>3.218</v>
      </c>
      <c r="K556" s="25" t="s">
        <v>2155</v>
      </c>
      <c r="L556" s="31" t="s">
        <v>2204</v>
      </c>
      <c r="M556" s="25" t="s">
        <v>2205</v>
      </c>
      <c r="N556" s="32" t="s">
        <v>2206</v>
      </c>
      <c r="O556" s="32" t="s">
        <v>76</v>
      </c>
      <c r="P556" s="51">
        <v>440</v>
      </c>
      <c r="Q556" s="57">
        <v>9785604623633</v>
      </c>
      <c r="R556" s="66">
        <v>0.4597142857142857</v>
      </c>
    </row>
    <row r="557" spans="1:18" ht="32.25" customHeight="1">
      <c r="A557" s="25" t="s">
        <v>2239</v>
      </c>
      <c r="B557" s="25" t="s">
        <v>2240</v>
      </c>
      <c r="C557" s="49" t="str">
        <f>HYPERLINK("http://atberg.aha.ru/mir/kpa15.jpg")</f>
        <v>http://atberg.aha.ru/mir/kpa15.jpg</v>
      </c>
      <c r="D557" s="27"/>
      <c r="E557" s="25" t="s">
        <v>2241</v>
      </c>
      <c r="F557" s="28" t="s">
        <v>2191</v>
      </c>
      <c r="G557" s="25"/>
      <c r="H557" s="29"/>
      <c r="I557" s="30" t="s">
        <v>2203</v>
      </c>
      <c r="J557" s="30">
        <v>3.218</v>
      </c>
      <c r="K557" s="25" t="s">
        <v>2155</v>
      </c>
      <c r="L557" s="31" t="s">
        <v>2204</v>
      </c>
      <c r="M557" s="25" t="s">
        <v>2205</v>
      </c>
      <c r="N557" s="32" t="s">
        <v>2206</v>
      </c>
      <c r="O557" s="32" t="s">
        <v>76</v>
      </c>
      <c r="P557" s="51">
        <v>440</v>
      </c>
      <c r="Q557" s="57">
        <v>9785604623640</v>
      </c>
      <c r="R557" s="66">
        <v>0.4597142857142857</v>
      </c>
    </row>
    <row r="558" spans="1:18" ht="32.25" customHeight="1">
      <c r="A558" s="25" t="s">
        <v>2242</v>
      </c>
      <c r="B558" s="25" t="s">
        <v>2243</v>
      </c>
      <c r="C558" s="49" t="str">
        <f>HYPERLINK("http://atberg.aha.ru/mir/kpa10.jpg")</f>
        <v>http://atberg.aha.ru/mir/kpa10.jpg</v>
      </c>
      <c r="D558" s="27"/>
      <c r="E558" s="25" t="s">
        <v>2244</v>
      </c>
      <c r="F558" s="28" t="s">
        <v>2245</v>
      </c>
      <c r="G558" s="25"/>
      <c r="H558" s="29"/>
      <c r="I558" s="30" t="s">
        <v>2203</v>
      </c>
      <c r="J558" s="30">
        <v>3.218</v>
      </c>
      <c r="K558" s="25" t="s">
        <v>2155</v>
      </c>
      <c r="L558" s="31" t="s">
        <v>2204</v>
      </c>
      <c r="M558" s="25" t="s">
        <v>2205</v>
      </c>
      <c r="N558" s="32" t="s">
        <v>2206</v>
      </c>
      <c r="O558" s="32" t="s">
        <v>76</v>
      </c>
      <c r="P558" s="51">
        <v>440</v>
      </c>
      <c r="Q558" s="57">
        <v>9785604623657</v>
      </c>
      <c r="R558" s="66">
        <v>0.4597142857142857</v>
      </c>
    </row>
    <row r="559" spans="1:18" ht="32.25" customHeight="1">
      <c r="A559" s="25" t="s">
        <v>2246</v>
      </c>
      <c r="B559" s="25" t="s">
        <v>2247</v>
      </c>
      <c r="C559" s="49" t="str">
        <f>HYPERLINK("http://atberg.aha.ru/mir/kpa06.jpg")</f>
        <v>http://atberg.aha.ru/mir/kpa06.jpg</v>
      </c>
      <c r="D559" s="27"/>
      <c r="E559" s="25" t="s">
        <v>2248</v>
      </c>
      <c r="F559" s="28" t="s">
        <v>2249</v>
      </c>
      <c r="G559" s="25"/>
      <c r="H559" s="29"/>
      <c r="I559" s="30" t="s">
        <v>2203</v>
      </c>
      <c r="J559" s="30">
        <v>3.218</v>
      </c>
      <c r="K559" s="25" t="s">
        <v>2155</v>
      </c>
      <c r="L559" s="31" t="s">
        <v>2204</v>
      </c>
      <c r="M559" s="25" t="s">
        <v>2205</v>
      </c>
      <c r="N559" s="32" t="s">
        <v>2206</v>
      </c>
      <c r="O559" s="32" t="s">
        <v>76</v>
      </c>
      <c r="P559" s="51">
        <v>440</v>
      </c>
      <c r="Q559" s="57">
        <v>9785990873704</v>
      </c>
      <c r="R559" s="66">
        <v>0.4597142857142857</v>
      </c>
    </row>
    <row r="560" spans="1:18" ht="32.25" customHeight="1">
      <c r="A560" s="25" t="s">
        <v>2250</v>
      </c>
      <c r="B560" s="25" t="s">
        <v>2251</v>
      </c>
      <c r="C560" s="49" t="str">
        <f>HYPERLINK("http://atberg.aha.ru/mir/kpa17.jpg")</f>
        <v>http://atberg.aha.ru/mir/kpa17.jpg</v>
      </c>
      <c r="D560" s="27"/>
      <c r="E560" s="25" t="s">
        <v>2252</v>
      </c>
      <c r="F560" s="28" t="s">
        <v>701</v>
      </c>
      <c r="G560" s="25"/>
      <c r="H560" s="29"/>
      <c r="I560" s="30" t="s">
        <v>2203</v>
      </c>
      <c r="J560" s="30">
        <v>3.218</v>
      </c>
      <c r="K560" s="25" t="s">
        <v>2253</v>
      </c>
      <c r="L560" s="31" t="s">
        <v>2204</v>
      </c>
      <c r="M560" s="25" t="s">
        <v>2205</v>
      </c>
      <c r="N560" s="32" t="s">
        <v>2206</v>
      </c>
      <c r="O560" s="32" t="s">
        <v>76</v>
      </c>
      <c r="P560" s="51">
        <v>440</v>
      </c>
      <c r="Q560" s="57">
        <v>9785604877982</v>
      </c>
      <c r="R560" s="66">
        <v>0.4597142857142857</v>
      </c>
    </row>
  </sheetData>
  <sheetProtection/>
  <autoFilter ref="A10:R560"/>
  <mergeCells count="1">
    <mergeCell ref="F7:P7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shabanova</dc:creator>
  <cp:keywords/>
  <dc:description/>
  <cp:lastModifiedBy>shabanova</cp:lastModifiedBy>
  <cp:lastPrinted>2024-05-03T12:48:30Z</cp:lastPrinted>
  <dcterms:created xsi:type="dcterms:W3CDTF">2024-05-03T12:48:30Z</dcterms:created>
  <dcterms:modified xsi:type="dcterms:W3CDTF">2024-05-07T10:34:41Z</dcterms:modified>
  <cp:category/>
  <cp:version/>
  <cp:contentType/>
  <cp:contentStatus/>
  <cp:revision>1</cp:revision>
</cp:coreProperties>
</file>