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<sst xmlns="http://schemas.openxmlformats.org/spreadsheetml/2006/main" count="805" uniqueCount="634">
  <si>
    <t xml:space="preserve">Прайс-лист </t>
  </si>
  <si>
    <t>ООО "РЫЖИЙ КОТ"</t>
  </si>
  <si>
    <t>Скидка клиента:</t>
  </si>
  <si>
    <t>Игровая продукция</t>
  </si>
  <si>
    <t>Номер</t>
  </si>
  <si>
    <t>Код</t>
  </si>
  <si>
    <t>Наименование</t>
  </si>
  <si>
    <t>Артикул</t>
  </si>
  <si>
    <t>Стандарт коробки</t>
  </si>
  <si>
    <t>Кол-во на складах</t>
  </si>
  <si>
    <t>Изображение</t>
  </si>
  <si>
    <t>Минимальный Заказ</t>
  </si>
  <si>
    <t>Цена</t>
  </si>
  <si>
    <t>ЗАКАЗ</t>
  </si>
  <si>
    <t>Сумма заказа</t>
  </si>
  <si>
    <t>Масса</t>
  </si>
  <si>
    <t>Объем</t>
  </si>
  <si>
    <t>Новинка</t>
  </si>
  <si>
    <t>Размер изделия (доп. реквизит)</t>
  </si>
  <si>
    <t>Ссылка на сайт</t>
  </si>
  <si>
    <t>ГК Проф-Пресс ООО "Рыжий Кот"  ИГРЫ И ИГРУШКИ</t>
  </si>
  <si>
    <t xml:space="preserve">    НОВЫЙ ГОД</t>
  </si>
  <si>
    <t xml:space="preserve"> ЗИМНЯЯ И НОВОГОДНЯЯ ПРОДУКЦИЯ</t>
  </si>
  <si>
    <t>0. СНЕЖКОЛЕПЫ, СНЕЖКОМЕТАТЕЛИ</t>
  </si>
  <si>
    <t>166618</t>
  </si>
  <si>
    <t>Набор форм для снега-1(3 формы,в сетке) (Арт. СЛ-4845)</t>
  </si>
  <si>
    <t>СЛ-4845</t>
  </si>
  <si>
    <t>135932</t>
  </si>
  <si>
    <t>Форма для снега "ГНОМ" 22*16,5 см (Арт. СЛ-1554)</t>
  </si>
  <si>
    <t>СЛ-1554</t>
  </si>
  <si>
    <t>190273</t>
  </si>
  <si>
    <t>Форма для снега в наборе (2 предмета. 16,5*21,5 см; 38*7,5 см) в сетке ( Арт. ИК-6859)</t>
  </si>
  <si>
    <t>ИК-6859</t>
  </si>
  <si>
    <t>МНОГО</t>
  </si>
  <si>
    <t>НОВИНКА</t>
  </si>
  <si>
    <t>190257</t>
  </si>
  <si>
    <t>Набор для игры в хоккей (2 клюшки 70 см, 2 шайбы) в сетке ( Арт. ИК-6846)</t>
  </si>
  <si>
    <t>ИК-6846</t>
  </si>
  <si>
    <t>149940</t>
  </si>
  <si>
    <t>Песочный набор "Дельфины"(мельн.,лопатка,грабли,3 формочки,лейка)в сетке(16,8х16,8х31) (арт. И-8331)</t>
  </si>
  <si>
    <t>И-8331</t>
  </si>
  <si>
    <t>150230</t>
  </si>
  <si>
    <t>Песочный набор "Корабль 2" в сетке (33х17,5х14) (арт. И-8413) цвет микс</t>
  </si>
  <si>
    <t>И-8413</t>
  </si>
  <si>
    <t>179123</t>
  </si>
  <si>
    <t>Трёхколёсный велосипед (голубой,пер.кол.25см,зад.кол.20см,EVA) ( Арт. ВЛ-0851) кратно 4</t>
  </si>
  <si>
    <t>ВЛ-0851</t>
  </si>
  <si>
    <t>179136</t>
  </si>
  <si>
    <t>Трёхколёсный велосипед (зеленый,пер.кол.25см,зад.кол.20см,EVA) ( Арт. ВЛ-0864) кратно 6</t>
  </si>
  <si>
    <t>ВЛ-0864</t>
  </si>
  <si>
    <t>173637</t>
  </si>
  <si>
    <t>Самокат трюковый (65x9.7x84),кол.10см ПУ/алюм.,макс.вес 100кг.,синий,в коробке) ( Арт. СМК-0978)</t>
  </si>
  <si>
    <t>СМК-0978</t>
  </si>
  <si>
    <t>197579</t>
  </si>
  <si>
    <t>Самокат трюковый чёрный(66x10x85 см),кол.11см ПУ/пластик,макс.вес 80кг.,в коробке) ( Арт. И-0320)</t>
  </si>
  <si>
    <t>И-0320</t>
  </si>
  <si>
    <t>173562</t>
  </si>
  <si>
    <t>Батут (140 см) с сеткой зеленый макс.вес 60 кг ( Арт. БСП-8228)</t>
  </si>
  <si>
    <t>БСП-8228</t>
  </si>
  <si>
    <t>173586</t>
  </si>
  <si>
    <t>Батут (183 см) с сеткой (210 см) синий макс.вес 80 кг (с лестницей). ( Арт. БСП-8241)</t>
  </si>
  <si>
    <t>БСП-8241</t>
  </si>
  <si>
    <t>173600</t>
  </si>
  <si>
    <t>Батут (244 см) с сеткой (220 см) оранжевый макс.вес 100 кг (с лестницей). ( Арт. БСП-8254)</t>
  </si>
  <si>
    <t>БСП-8254</t>
  </si>
  <si>
    <t>163862</t>
  </si>
  <si>
    <t>Самокат 2-х колесный (88.5-102.5см)(кол.20см, PU,регулир. руль, 3 цвета микс) (Арт. 109-B)</t>
  </si>
  <si>
    <t>109-B</t>
  </si>
  <si>
    <t>116599</t>
  </si>
  <si>
    <t>Мыльные пузыри 90 мл, со свистком, 48 шт. в упаковке, 26 см. Арт. AN01608 кратно 48</t>
  </si>
  <si>
    <t>AN01608</t>
  </si>
  <si>
    <t>144601</t>
  </si>
  <si>
    <t>Надувное кресло Хот-дог 190x109 см Bestway (Арт. 43248)</t>
  </si>
  <si>
    <t>43248</t>
  </si>
  <si>
    <t>144640</t>
  </si>
  <si>
    <t>Круг для плавания Iridescent 107 см Bestway (Арт. 36240)</t>
  </si>
  <si>
    <t>36240</t>
  </si>
  <si>
    <t>144941</t>
  </si>
  <si>
    <t>Бассейн в комплекте с фильтр-насосом 457 х 84 см Bestway (Арт. 57313)</t>
  </si>
  <si>
    <t>57313</t>
  </si>
  <si>
    <t>144825</t>
  </si>
  <si>
    <t>Надувной бассейн Металлик 170 х 53 см Bestway (Арт. 51042)</t>
  </si>
  <si>
    <t>51042</t>
  </si>
  <si>
    <t>145269</t>
  </si>
  <si>
    <t>Бассейн Bestway 305 см x 66 см (Арт. 56985)</t>
  </si>
  <si>
    <t>56985</t>
  </si>
  <si>
    <t>145265</t>
  </si>
  <si>
    <t>Бассейн каркасный Bestway 396см x 84см (фильтр-насос в комплекте) (Арт. 5612E)</t>
  </si>
  <si>
    <t>5612E</t>
  </si>
  <si>
    <t>145195</t>
  </si>
  <si>
    <t>Матрас надувной Queen Bestway 203 х 152 х 22 см (Арт. 67003)</t>
  </si>
  <si>
    <t>67003</t>
  </si>
  <si>
    <t>145209</t>
  </si>
  <si>
    <t>Матрас надувной Queen Bestway с ручным насосом 203 х 152 х 22 см (Арт. 67374)</t>
  </si>
  <si>
    <t>67374</t>
  </si>
  <si>
    <t>145245</t>
  </si>
  <si>
    <t>Подушка надувная 42 х 26 х 10 см Bestway (Арт. 67121)</t>
  </si>
  <si>
    <t>67121</t>
  </si>
  <si>
    <t>169614</t>
  </si>
  <si>
    <t>Насос Bestway 19дюйм / 48см ( Арт. 62030)</t>
  </si>
  <si>
    <t>62030</t>
  </si>
  <si>
    <t>169613</t>
  </si>
  <si>
    <t>Насос Bestway 36см ( Арт. 62003)</t>
  </si>
  <si>
    <t>62003</t>
  </si>
  <si>
    <t>145257</t>
  </si>
  <si>
    <t>Насос ручной Bestway 37 см (Арт. 62086)</t>
  </si>
  <si>
    <t>62086</t>
  </si>
  <si>
    <t>144570</t>
  </si>
  <si>
    <t>Игрушка для катания верхом Единорог 150x119 см Bestway (Арт. 41114)</t>
  </si>
  <si>
    <t>41114</t>
  </si>
  <si>
    <t>144572</t>
  </si>
  <si>
    <t>Игрушка для катания верхом Фламинго 127 х 127 см Bestway (Арт. 41122)</t>
  </si>
  <si>
    <t>41122</t>
  </si>
  <si>
    <t>099543</t>
  </si>
  <si>
    <t>Круг для плавания 79 см. Школа плавания INTEX (в коробке) Арт. 56587EU</t>
  </si>
  <si>
    <t>56587EU</t>
  </si>
  <si>
    <t>171267</t>
  </si>
  <si>
    <t>Нарукавники 23x15cm INTEX Возраст 3-6 лет (Арт. 56666NP)</t>
  </si>
  <si>
    <t>56666NP</t>
  </si>
  <si>
    <t>099559</t>
  </si>
  <si>
    <t>Нарукавники для плавания 30x15 см. INTEX. Возраст: 6-12 лет Арт. 58641NP</t>
  </si>
  <si>
    <t>58641NP</t>
  </si>
  <si>
    <t>099555</t>
  </si>
  <si>
    <t>Жилет для плавания 50x47 см. Красный INTEX. Возраст: 3-6 лет Арт. 58671NP</t>
  </si>
  <si>
    <t>58671NP</t>
  </si>
  <si>
    <t>099585</t>
  </si>
  <si>
    <t>Мяч пляжный 71 см. Джумбо INTEX. Арт. 59065NP</t>
  </si>
  <si>
    <t>59065NP</t>
  </si>
  <si>
    <t>113078</t>
  </si>
  <si>
    <t>Надувной игровой центр 297х193х135 см. Радужный дождь INTEX. Новинка (в коробке) Арт. 57453NP</t>
  </si>
  <si>
    <t>57453NP</t>
  </si>
  <si>
    <t>099702</t>
  </si>
  <si>
    <t>Очки для плавания PLAY 3 цв. INTEX. Возраст: 3-8 лет Арт. 55602</t>
  </si>
  <si>
    <t>55602</t>
  </si>
  <si>
    <t>105000</t>
  </si>
  <si>
    <t>Серия Спорт и отдых. Дартс. ЦЕЛЬ 15" (37,5 см, металл). Арт. G20193</t>
  </si>
  <si>
    <t>G20193</t>
  </si>
  <si>
    <t>116711</t>
  </si>
  <si>
    <t>Теннисный мяч 3 шт, в тубе Арт. AN01045 цена за 1 шт.(кратно 3)</t>
  </si>
  <si>
    <t>AN01045</t>
  </si>
  <si>
    <t>181674</t>
  </si>
  <si>
    <t>МИНИ-ИГРЫ. Лицензия/ГОТОВИМ С БУБОЙ Арт. ИН-2696</t>
  </si>
  <si>
    <t>ИН-2696</t>
  </si>
  <si>
    <t>152325</t>
  </si>
  <si>
    <t>ЛУЧШИЕ ИГРЫ ХОДИЛКИ. Лицензия/ СИНИЙ ТРАКТОР Арт. ИН-6130</t>
  </si>
  <si>
    <t>ИН-6130</t>
  </si>
  <si>
    <t>152324</t>
  </si>
  <si>
    <t>МАКСИ-ИГРЫ. Лицензия/ СИНИЙ ТРАКТОР Арт. ИН-6129</t>
  </si>
  <si>
    <t>ИН-6129</t>
  </si>
  <si>
    <t>145314</t>
  </si>
  <si>
    <t>Пазл 104 ЭЛЕМЕНТА Лицензия/ СИНИЙ ТРАКТОР №15  (кор. 18х12,5) Арт. П104-5784</t>
  </si>
  <si>
    <t>П104-5784</t>
  </si>
  <si>
    <t>126959</t>
  </si>
  <si>
    <t>ПАЗЛЫ 4 в 1. Лицензия/ СИНИЙ ТРАКТОР №9 (9,16, 25, 36 эл.) (Арт. П-1774)</t>
  </si>
  <si>
    <t>П-1774</t>
  </si>
  <si>
    <t>183021</t>
  </si>
  <si>
    <t>Ведро №8 с картинкой 0,85л  СИНИЙ ТРАКТОР\Лицензия (Арт. И-3171)</t>
  </si>
  <si>
    <t>И-3171</t>
  </si>
  <si>
    <t>183023</t>
  </si>
  <si>
    <t>Ведро №8 с картинкой 0,85л  СТИЛЬНЫЕ ДЕВЧОНКИ (Арт. И-3172)</t>
  </si>
  <si>
    <t>И-3172</t>
  </si>
  <si>
    <t>158582</t>
  </si>
  <si>
    <t>Ведро №8 с картинкой 0,85л ПОНИ (Арт. ИП-0785)</t>
  </si>
  <si>
    <t>ИП-0785</t>
  </si>
  <si>
    <t>030787</t>
  </si>
  <si>
    <t>00. ЛОПАТА БОЛЬШАЯ (41 см) (Арт. И-4284)</t>
  </si>
  <si>
    <t>И-4284</t>
  </si>
  <si>
    <t>длина - 41 см</t>
  </si>
  <si>
    <t>168497</t>
  </si>
  <si>
    <t>57. НАБОР № 57 (ВЕДРО №8 (0.85л.) РОБОТЫ+лейка+лопатка 22 см (Арт. ИП-6158)</t>
  </si>
  <si>
    <t>ИП-6158</t>
  </si>
  <si>
    <t>178181</t>
  </si>
  <si>
    <t>66. НАБОР № 73 (ВЕДРО №8 (0.85л.) ПРИНЦЕССЫ+лейка+лопатка 22 см(Арт. И-5610)</t>
  </si>
  <si>
    <t>И-5610</t>
  </si>
  <si>
    <t>149109</t>
  </si>
  <si>
    <t>07.5 ШАРИКИ ПЛАСТИКОВЫЕ 50 шт. ЦВЕТНЫЕ, Ø85 мм  "Пузырики" Арт. И-3634</t>
  </si>
  <si>
    <t>И-3634</t>
  </si>
  <si>
    <t>диаметр - 60 мм</t>
  </si>
  <si>
    <t xml:space="preserve">РАСПРОДАЖА </t>
  </si>
  <si>
    <t>149096</t>
  </si>
  <si>
    <t>13. ШАРИКИ ПЛАСТИКОВЫЕ 100 шт. ЦВЕТНЫЕ, Ø85 мм  "Мята" Арт. И-3629</t>
  </si>
  <si>
    <t>И-3629</t>
  </si>
  <si>
    <t>039671</t>
  </si>
  <si>
    <t>ИГРЫ В СЛОВА 80 фишек. БУКВОДЕЛ (Арт. ИН-1798)</t>
  </si>
  <si>
    <t>ИН-1798</t>
  </si>
  <si>
    <t>039635</t>
  </si>
  <si>
    <t>МОРСКОЙ БОЙ ДЛЯ ДЕТЕЙ (Арт. ИН-1761)</t>
  </si>
  <si>
    <t>ИН-1761</t>
  </si>
  <si>
    <t>196511</t>
  </si>
  <si>
    <t>Машинка  Turbo "V-MAX" (6 цветов) МИКС 40 см (Арт. И-9623) кратно 6</t>
  </si>
  <si>
    <t>И-9623</t>
  </si>
  <si>
    <t>190801</t>
  </si>
  <si>
    <t>Машинка Turbo "V" МИКС (6 цветов) ( Арт. И-8153) кратно 30 шт.</t>
  </si>
  <si>
    <t>И-8153</t>
  </si>
  <si>
    <t>080637</t>
  </si>
  <si>
    <t>Машинка Самосвал "ЯРОСЛАВ" Строительный (Зеленый) 16 см  (Арт. И-8800)</t>
  </si>
  <si>
    <t>И-8800</t>
  </si>
  <si>
    <t>136957</t>
  </si>
  <si>
    <t>Машинка Экскаватор "ЯРОСЛАВ" Оранжевый 16 см. (Арт. И-2805)</t>
  </si>
  <si>
    <t>И-2805</t>
  </si>
  <si>
    <t>102782</t>
  </si>
  <si>
    <t>Машинка Эвакуатор "ДОБРЫНЯ" Военный 20 см. Арт. И-7990</t>
  </si>
  <si>
    <t>И-7990</t>
  </si>
  <si>
    <t>141296</t>
  </si>
  <si>
    <t>Машинка Бетоновоз "ИЛЬЯ" Военный 22 см (Арт. И-2639)</t>
  </si>
  <si>
    <t>И-2639</t>
  </si>
  <si>
    <t>141302</t>
  </si>
  <si>
    <t>Машинка Пожарная "ИЛЬЯ" Классическая 22 см (Арт. И-2640)</t>
  </si>
  <si>
    <t>И-2640</t>
  </si>
  <si>
    <t>166876</t>
  </si>
  <si>
    <t>Машинка Тягач "БИЗОН" с прицепом Стоительный (Арт. И-5111)</t>
  </si>
  <si>
    <t>И-5111</t>
  </si>
  <si>
    <t>174074</t>
  </si>
  <si>
    <t>Мотоцикл Байкер Полицейский И-3414</t>
  </si>
  <si>
    <t>И-3414</t>
  </si>
  <si>
    <t>174018</t>
  </si>
  <si>
    <t>Мотоцикл Спорт красный И-3407</t>
  </si>
  <si>
    <t>И-3407</t>
  </si>
  <si>
    <t>174066</t>
  </si>
  <si>
    <t>Мотоцикл Харли Оранжевый И-3410</t>
  </si>
  <si>
    <t>И-3410</t>
  </si>
  <si>
    <t>196767</t>
  </si>
  <si>
    <t xml:space="preserve"> Танк "Тайфун" 39,6 см И-9832 </t>
  </si>
  <si>
    <t>И-9832</t>
  </si>
  <si>
    <t>173821</t>
  </si>
  <si>
    <t>Трактор "Иван" Бульдозер с бортовым прицепом Классический (Арт. И-2394)</t>
  </si>
  <si>
    <t>И-2394</t>
  </si>
  <si>
    <t>173815</t>
  </si>
  <si>
    <t>Трактор "Иван" с бортовым прицепом Фермерский (Арт. И-2392)</t>
  </si>
  <si>
    <t>И-2392</t>
  </si>
  <si>
    <t>173804</t>
  </si>
  <si>
    <t>Трактор "Иван" экскаватор - бульдозер Военный (Арт. И-2386)</t>
  </si>
  <si>
    <t>И-2386</t>
  </si>
  <si>
    <t>173797</t>
  </si>
  <si>
    <t>Трактор "Иван" экскаватор Строительный (Арт. И-2381)</t>
  </si>
  <si>
    <t>И-2381</t>
  </si>
  <si>
    <t>028143</t>
  </si>
  <si>
    <t>КУБИКИ ПЛАСТИКОВЫЕ. 12 шт. АЗБУКА В КАРТИНКАХ (цветная) (Арт. К12-9038)</t>
  </si>
  <si>
    <t>К12-9038</t>
  </si>
  <si>
    <t>12*16*4 см</t>
  </si>
  <si>
    <t>039863</t>
  </si>
  <si>
    <t>08. КУБИКИ ВЫДУВНЫЕ с картинками. 10 шт. АЗБУКА (Арт. К10-0826)</t>
  </si>
  <si>
    <t>К10-0826</t>
  </si>
  <si>
    <t>036273</t>
  </si>
  <si>
    <t>06. ПИРАМИДКА БОЛЬШАЯ (в пакете + европодвес 14 шт.) (Арт. И-0352)</t>
  </si>
  <si>
    <t>И-0352</t>
  </si>
  <si>
    <t>18,5*27 см (пакет)</t>
  </si>
  <si>
    <t>031460</t>
  </si>
  <si>
    <t>ЛОГИЧЕСКИЙ КУБ большой (Арт. И-3929)</t>
  </si>
  <si>
    <t>И-3929</t>
  </si>
  <si>
    <t>12*12 см</t>
  </si>
  <si>
    <t>032285</t>
  </si>
  <si>
    <t>СУПЕРКОНСТРУКТОР 40 элементов (Арт. К-3524)</t>
  </si>
  <si>
    <t>К-3524</t>
  </si>
  <si>
    <t>26*35 см</t>
  </si>
  <si>
    <t>027585</t>
  </si>
  <si>
    <t>ЛОТО ПЛАСТИКОВОЕ 48 фишек. АЗБУКА И СЧЕТ (Арт. ИН-8084)</t>
  </si>
  <si>
    <t>ИН-8084</t>
  </si>
  <si>
    <t>19*14*3 см</t>
  </si>
  <si>
    <t>177682</t>
  </si>
  <si>
    <t xml:space="preserve">ЛОТО ПЛАСТИКОВОЕ Нужный транспорт (Арт. ИН-4264) </t>
  </si>
  <si>
    <t>ИН-4264</t>
  </si>
  <si>
    <t>023484</t>
  </si>
  <si>
    <t>19. ДОМИНО ПЛАСТИКОВОЕ. ДОРОЖНЫЕ ЗНАКИ (Арт. ИН-0969)</t>
  </si>
  <si>
    <t>ИН-0969</t>
  </si>
  <si>
    <t>18,5*5,5*1,5 см</t>
  </si>
  <si>
    <t>097314</t>
  </si>
  <si>
    <t>Логическое Домино ВЕСЕЛАЯ МАТЕМАТИКА Арт. ИД-5429</t>
  </si>
  <si>
    <t>ИД-5429</t>
  </si>
  <si>
    <t>025535</t>
  </si>
  <si>
    <t>02. МОЗАИКА КРУГЛАЯ. 110 шт. (Арт. М-5656)</t>
  </si>
  <si>
    <t>М-5656</t>
  </si>
  <si>
    <t>18,5 см в диаметре</t>
  </si>
  <si>
    <t>068389</t>
  </si>
  <si>
    <t>04. Серия "Мозайкин". Мозаика-чемодан со схемами в коробке (Арт. И-7495)</t>
  </si>
  <si>
    <t>И-7495</t>
  </si>
  <si>
    <t>171253</t>
  </si>
  <si>
    <t>Серия "Мозайкин для малышей". Мозаика 12 картинок в коробке  (32 фишки + 2 глазок) Арт. М-7166</t>
  </si>
  <si>
    <t>М-7166</t>
  </si>
  <si>
    <t>082664</t>
  </si>
  <si>
    <t>ПАЗЛ-РАМКА. 12 элементов. 15х21 см КОЛОБОК (Арт. П-0452)</t>
  </si>
  <si>
    <t>П-0452</t>
  </si>
  <si>
    <t>119150</t>
  </si>
  <si>
    <t>ПАЗЛ-РАМКА. 24 элемента. МИР ТРАНСФОРМЕРОВ №5 (Арт. П-3181)</t>
  </si>
  <si>
    <t>П-3181</t>
  </si>
  <si>
    <t>25,5*15 см</t>
  </si>
  <si>
    <t>154752</t>
  </si>
  <si>
    <t>ПАЗЛ-РАМКА (358*278 мм) 60 эл. Космос (Арт. П60-8738)</t>
  </si>
  <si>
    <t>П60-8738</t>
  </si>
  <si>
    <t>175788</t>
  </si>
  <si>
    <t>Пазл-рамка с фигурными элементами "Зоопарк" (Арт. П20-9357)</t>
  </si>
  <si>
    <t>П20-9357</t>
  </si>
  <si>
    <t>119954</t>
  </si>
  <si>
    <t>МАКСИ-ПАЗЛЫ 35 элементов. МИЛЫЙ ЕДИНОРОГ №2 (Арт. ПУ35-7192)</t>
  </si>
  <si>
    <t>ПУ35-7192</t>
  </si>
  <si>
    <t>177103</t>
  </si>
  <si>
    <t>ПАЗЛЫ 260 элементов. ЗАБАВНЫЙ КОСМОС (Арт. ПУ260-9840)</t>
  </si>
  <si>
    <t>ПУ260-9840</t>
  </si>
  <si>
    <t>099047</t>
  </si>
  <si>
    <t>TOPpuzzle. ПАЗЛЫ 500 элементов. ХТП500-6816 Черная пантера</t>
  </si>
  <si>
    <t>ХТП500-6816</t>
  </si>
  <si>
    <t>198407</t>
  </si>
  <si>
    <t>TOPpuzzle. ПАЗЛЫ 500 элементов. П500-0738 РОМАНТИЧНЫЙ ПЕЙЗАЖ ПРОВАНСА</t>
  </si>
  <si>
    <t>П500-0738</t>
  </si>
  <si>
    <t>143715</t>
  </si>
  <si>
    <t>TOPpuzzle. ПАЗЛЫ 500 элементов. ХТП500-4128 КРУТОЙ ТРАНСПОРТ №5</t>
  </si>
  <si>
    <t>ХТП500-4128</t>
  </si>
  <si>
    <t>177566</t>
  </si>
  <si>
    <t>TOPpuzzle. ПАЗЛЫ 1000 элементов. ШТТП1000-9856 Закат на море</t>
  </si>
  <si>
    <t>ШТТП1000-9856</t>
  </si>
  <si>
    <t>021176</t>
  </si>
  <si>
    <t>МАКСИ-ПАЗЛЫ. ЖИВОТНЫЕ (Арт. ПМ-7975)</t>
  </si>
  <si>
    <t>ПМ-7975</t>
  </si>
  <si>
    <t>14*19*5,5 см</t>
  </si>
  <si>
    <t>173038</t>
  </si>
  <si>
    <t>АЛФАВИТ-ПАЗЛ 34 элемента. УЛИТКА (Арт. П34-8034)</t>
  </si>
  <si>
    <t>П34-8034</t>
  </si>
  <si>
    <t>173034</t>
  </si>
  <si>
    <t>АЛФАВИТ-ПАЗЛ 34 элемента. ЧЕРЕПАШКА (Арт. П34-8033)</t>
  </si>
  <si>
    <t>П34-8033</t>
  </si>
  <si>
    <t>161009</t>
  </si>
  <si>
    <t>НАПОЛЬНЫЕ ПАЗЛЫ. Гигант "Динозавры" 48эл. (поле 980х665) (Арт. П48-2462)</t>
  </si>
  <si>
    <t>П48-2462</t>
  </si>
  <si>
    <t>157671</t>
  </si>
  <si>
    <t>Bright Kids ПАЗЛ НАПОЛЬНЫЙ 4в1. Милые зверята (Арт. П-0493)</t>
  </si>
  <si>
    <t>П-0493</t>
  </si>
  <si>
    <t>193986</t>
  </si>
  <si>
    <t>ПАЗЛЫ 4 в 1 ЗАБАВНЫЕ КОРГИ №4 (9,16, 25, 36 эл.) (Арт. П-8386)</t>
  </si>
  <si>
    <t>П-8386</t>
  </si>
  <si>
    <t>193988</t>
  </si>
  <si>
    <t>ПАЗЛЫ 4 в 1 КОСМИЧЕСКИЙ ВИРАЖ (9,16, 25, 36 эл.) (Арт. П-8388)</t>
  </si>
  <si>
    <t>П-8388</t>
  </si>
  <si>
    <t>075907</t>
  </si>
  <si>
    <t>ПАЗЛЫ 54 элемента. МАШИНА МЕЧТА (Арт. П54-6342) кратно 32</t>
  </si>
  <si>
    <t>П54-6342</t>
  </si>
  <si>
    <t>152082</t>
  </si>
  <si>
    <t>ПАЗЛЫ 60 элементов. КОСМОС №5 (Арт. П60-5880)</t>
  </si>
  <si>
    <t>П60-5880</t>
  </si>
  <si>
    <t>047291</t>
  </si>
  <si>
    <t>ПАЗЛЫ 500 элементов. КБ500-7911 ЗАМОК ХИМЭДЗИ</t>
  </si>
  <si>
    <t>КБ500-7911</t>
  </si>
  <si>
    <t>047314</t>
  </si>
  <si>
    <t>ПАЗЛЫ 500 элементов. СЕМЕЙСТВО СЛОНОВ (Арт. КБ500-7934)</t>
  </si>
  <si>
    <t>КБ500-7934</t>
  </si>
  <si>
    <t>047247</t>
  </si>
  <si>
    <t>ПАЗЛЫ 1000 элементов. КБ1000-7849 ВАН ГОГ. ТЕРРАСА НОЧНОГО КАФЕ</t>
  </si>
  <si>
    <t>КБ1000-7849</t>
  </si>
  <si>
    <t>159505</t>
  </si>
  <si>
    <t>ПАЗЛЫ 1000 элементов. ФП1000-1061 ЗИМНИЕ ТИГРЫ</t>
  </si>
  <si>
    <t>ФП1000-1061</t>
  </si>
  <si>
    <t>142881</t>
  </si>
  <si>
    <t>Konigspuzzle. ПАЗЛЫ 500 элементов. ВЕНЕЦИАНСКИЙ КАНАЛ НА РАССВЕТЕ (Арт. ШТK500-3577)</t>
  </si>
  <si>
    <t>ШТK500-3577</t>
  </si>
  <si>
    <t>169808</t>
  </si>
  <si>
    <t>Konigspuzzle. ПАЗЛЫ 500 элементов. ЮЖНАЯ КОРЕЯ. ДВОРЕЦ КЁНБОККУН (Арт. ШТK500-6798)</t>
  </si>
  <si>
    <t>ШТK500-6798</t>
  </si>
  <si>
    <t>200687</t>
  </si>
  <si>
    <t>Пазл Super 3D «Гарри Поттер», 500 детал., 6+ Размер собранного пазла 61 х 46см. (арт.32652)</t>
  </si>
  <si>
    <t>32652</t>
  </si>
  <si>
    <t>203200</t>
  </si>
  <si>
    <t>Пазл Super 3D «Гарри, Гермиона и Рон»,500 дет.,6+ Размер собран.пазла 61х46см.(арт.32559) игр.-голов</t>
  </si>
  <si>
    <t>32559</t>
  </si>
  <si>
    <t>203205</t>
  </si>
  <si>
    <t>Пазл Super 3D «Звездные войны», 500 дет., 6+ Размер собранного пазла 61х46см.(арт.32635) игр.-голов.</t>
  </si>
  <si>
    <t>32635</t>
  </si>
  <si>
    <t>202197</t>
  </si>
  <si>
    <t>Пазл Super 3D «Под луной», 1000 детал., 6+  Размер собранного пазла 61 х 46см. (арт.16101)</t>
  </si>
  <si>
    <t>16101</t>
  </si>
  <si>
    <t>203180</t>
  </si>
  <si>
    <t>Пазл Super 3D «ХОЛОДНОЕ СЕРДЦЕ II»,100 дет.,5+ Размер собран.пазла 31х23см.(арт.13830) игр.-голов.</t>
  </si>
  <si>
    <t>13830</t>
  </si>
  <si>
    <t>200698</t>
  </si>
  <si>
    <t>Контурный пазл  «Белый тигр», 300 детал., 10+ Размер собранного пазла 40,6 x 40,6см (арт.6004)</t>
  </si>
  <si>
    <t>6004</t>
  </si>
  <si>
    <t>200694</t>
  </si>
  <si>
    <t>Контурный пазл  «Сова», 550 детал., 10+ Размер собранного пазла 76,2 x 66см (арт.3013)</t>
  </si>
  <si>
    <t>3013</t>
  </si>
  <si>
    <t>020356</t>
  </si>
  <si>
    <t>МИНИ-ИГРЫ. АВТОРАЛЛИ (арт.ИН-7168)</t>
  </si>
  <si>
    <t>ИН-7168</t>
  </si>
  <si>
    <t>16*26 см (пакет)</t>
  </si>
  <si>
    <t>084383</t>
  </si>
  <si>
    <t>МИНИ-ИГРЫ. ПРАВИЛА ДОРОЖНОГО ДВИЖЕНИЯ (Арт. ИН-0991)</t>
  </si>
  <si>
    <t>ИН-0991</t>
  </si>
  <si>
    <t>120074</t>
  </si>
  <si>
    <t>МАКСИ-ИГРЫ.  ТРАНСФОРМЕРЫ В КОСМОСЕ (Арт. ИН-7321)</t>
  </si>
  <si>
    <t>ИН-7321</t>
  </si>
  <si>
    <t>071882</t>
  </si>
  <si>
    <t>Лучшая настольная игра-ходилка. ПРИНЦЕССЫ (Арт. ИН-8972)</t>
  </si>
  <si>
    <t>ИН-8972</t>
  </si>
  <si>
    <t>073583</t>
  </si>
  <si>
    <t>Лучшие игры ходилки. ИЗУЧАЕМ АЛФАВИТ (Арт. ИН-9934)</t>
  </si>
  <si>
    <t>ИН-9934</t>
  </si>
  <si>
    <t>157392</t>
  </si>
  <si>
    <t>Настольная игра ходилка. ИЗУЧАЕМ АЛФАВИТ (плотная коробка)(Арт. ИН-0248)</t>
  </si>
  <si>
    <t>ИН-0248</t>
  </si>
  <si>
    <t>157390</t>
  </si>
  <si>
    <t>Настольная игра ходилка. КОСМОС (плотная коробка)(Арт. ИН-0247)</t>
  </si>
  <si>
    <t>ИН-0247</t>
  </si>
  <si>
    <t>193229</t>
  </si>
  <si>
    <t>Развивающие карточки "Логопедия" ( Арт. ИН-0841)</t>
  </si>
  <si>
    <t>ИН-0841</t>
  </si>
  <si>
    <t>157660</t>
  </si>
  <si>
    <t>ПИШИ-РИСУЙ-СТИРАЙ. ДЛЯ МАЛЫШЕЙ  (Новая коробка) Арт. ИН-1414</t>
  </si>
  <si>
    <t>ИН-1414</t>
  </si>
  <si>
    <t>076778</t>
  </si>
  <si>
    <t>ДОМИНО + ПАЗЛЫ (18 элементов). ДЛЯ МАЛЬЧИКОВ (Арт. ИН-6756)</t>
  </si>
  <si>
    <t>ИН-6756</t>
  </si>
  <si>
    <t>158768</t>
  </si>
  <si>
    <t>МЕМО "КОСМОС" (50 карт) (Арт. ИН-0919)</t>
  </si>
  <si>
    <t>ИН-0919</t>
  </si>
  <si>
    <t>150676</t>
  </si>
  <si>
    <t>ИГРЫ НА МАГНИТАХ. Весёлое обучение. Правила дорожного движения (ИН-4726)</t>
  </si>
  <si>
    <t>ИН-4726</t>
  </si>
  <si>
    <t>181398</t>
  </si>
  <si>
    <t>Рамка-вкладыш Танграм-лабиринт "Классический"  (39 деталей) П-2657</t>
  </si>
  <si>
    <t>П-2657</t>
  </si>
  <si>
    <t>173114</t>
  </si>
  <si>
    <t>Игры с маркером. ГОЛОВОЛОМКИ И РЕБУСЫ Арт. ИН-7060</t>
  </si>
  <si>
    <t>ИН-7060</t>
  </si>
  <si>
    <t>173116</t>
  </si>
  <si>
    <t>Игры с маркером. ЛОГИЧЕСКИЕ ИГРЫ Арт. ИН-7062</t>
  </si>
  <si>
    <t>ИН-7062</t>
  </si>
  <si>
    <t>061515</t>
  </si>
  <si>
    <t>ВИКТОРИНА ДЛЯ МАЛЫШЕЙ. ТЕЛО ЧЕЛОВЕКА (Арт. ИН-8520)</t>
  </si>
  <si>
    <t>ИН-8520</t>
  </si>
  <si>
    <t>153220</t>
  </si>
  <si>
    <t>Электронная Викторина "Умнее всех" 6+ (Арт. ИН-7294)</t>
  </si>
  <si>
    <t>ИН-7294</t>
  </si>
  <si>
    <t>078037</t>
  </si>
  <si>
    <t>СУПЕР-ТВИСТ (Арт. ИР-0066)</t>
  </si>
  <si>
    <t>ИР-0066</t>
  </si>
  <si>
    <t>28*27*5,5 см</t>
  </si>
  <si>
    <t>183274</t>
  </si>
  <si>
    <t>Dooblio "Классический"  (60 карт) (Арт. ИН-3256)</t>
  </si>
  <si>
    <t>ИН-3256</t>
  </si>
  <si>
    <t>025083</t>
  </si>
  <si>
    <t>КРОКОДИЛЬЧИК (Арт. И-3001)</t>
  </si>
  <si>
    <t>И-3001</t>
  </si>
  <si>
    <t>8*14*3 см</t>
  </si>
  <si>
    <t>181447</t>
  </si>
  <si>
    <t>Твои первые флаги (ИН-3414)</t>
  </si>
  <si>
    <t>ИН-3414</t>
  </si>
  <si>
    <t>024127</t>
  </si>
  <si>
    <t>МАФИЯ. КОМИССАР (Арт. ИН-2912)</t>
  </si>
  <si>
    <t>ИН-2912</t>
  </si>
  <si>
    <t>037807</t>
  </si>
  <si>
    <t>23. ШАХМАТЫ КЛАССИЧЕСКИЕ в большой коробке + поле 22,5х30 см (Арт. ИН-0295)</t>
  </si>
  <si>
    <t>ИН-0295</t>
  </si>
  <si>
    <t>33*25*4,5 см</t>
  </si>
  <si>
    <t>086881</t>
  </si>
  <si>
    <t>01. НАСТОЛЬНАЯ ИГРА ШАШКИ В ПАКЕТЕ + поле 28,5х28,5 см БШ (Арт. ИН-1832) другой стандарт</t>
  </si>
  <si>
    <t>ИН-1832</t>
  </si>
  <si>
    <t>16*23 см</t>
  </si>
  <si>
    <t>171322</t>
  </si>
  <si>
    <t>Холст с красками 15х15 см. Милый тигрёнок ( Арт. ХК-7168)</t>
  </si>
  <si>
    <t>ХК-7168</t>
  </si>
  <si>
    <t>171364</t>
  </si>
  <si>
    <t>Холст с красками 20х30 см. Животные в космосе ( Арт. ХК-7198)</t>
  </si>
  <si>
    <t>ХК-7198</t>
  </si>
  <si>
    <t>139991</t>
  </si>
  <si>
    <t>Палитра. Холст с краск. 30х40 см по номер. в кор.(18 цв.) Парламент в Будапеште (Арт. ХК-5834)</t>
  </si>
  <si>
    <t>ХК-5834</t>
  </si>
  <si>
    <t>119881</t>
  </si>
  <si>
    <t>Палитра. Холст с краск. 40х50 см по номер. в кор. ЕДИНОРОГ НА ЛУНЕ (Арт. Х-3690)</t>
  </si>
  <si>
    <t>Х-3690</t>
  </si>
  <si>
    <t>193423</t>
  </si>
  <si>
    <t xml:space="preserve"> Холст с красками 40х50 см по номерам. На берегу моря ( Арт. ХК-1805)</t>
  </si>
  <si>
    <t>ХК-1805</t>
  </si>
  <si>
    <t>193222</t>
  </si>
  <si>
    <t xml:space="preserve"> Холст с красками 40х50 см по номерам. Владимирская Икона Божией Матери №2. ( Арт. ХК-8028)</t>
  </si>
  <si>
    <t>ХК-8028</t>
  </si>
  <si>
    <t>152185</t>
  </si>
  <si>
    <t>Алмаз.моз.квадратная 17x22 (класс.) с подр.,с полн.зап.(20 цв.) Большое парусное судно (Арт. F1-017)</t>
  </si>
  <si>
    <t>F1-017</t>
  </si>
  <si>
    <t xml:space="preserve">АКЦИЯ </t>
  </si>
  <si>
    <t>153989</t>
  </si>
  <si>
    <t>Алмаз. мозаика (класс.) 20х20 см, без подр., с част. заполн. Грациозный фламинго (Арт. ACB028)</t>
  </si>
  <si>
    <t>ACB028</t>
  </si>
  <si>
    <t>153987</t>
  </si>
  <si>
    <t>Алмаз. мозаика (класс.) 20х20 см, без подр., с част. заполн. Стильные котики (Арт. ACB026)</t>
  </si>
  <si>
    <t>ACB026</t>
  </si>
  <si>
    <t>130977</t>
  </si>
  <si>
    <t>Алмаз.моз.(блест.)20х20, с подр.,с полн. зап. (16 цв.)  ДЕВУШКА В СИНЕМ (Арт. AS20050)</t>
  </si>
  <si>
    <t>AS20050</t>
  </si>
  <si>
    <t>131017</t>
  </si>
  <si>
    <t>Алмаз. мозаика (клас.) 20х30 см, без подр., с част. заполн.(15цв.) ЛЕНИВЕЦ И ЛАМА (Арт.ACF080)</t>
  </si>
  <si>
    <t>ACF080</t>
  </si>
  <si>
    <t>166780</t>
  </si>
  <si>
    <t>Алмаз.моз.(клас.)22х32см,с подр.,с полн.зап.(23цв.) Космическое путешествие питомцев (Арт. AC22115)</t>
  </si>
  <si>
    <t>AC22115</t>
  </si>
  <si>
    <t>167717</t>
  </si>
  <si>
    <t>Алмаз.мозаика(класс.)30х40 см,на карт.с част.зап.(21 цв.)Летняя девушка (Арт. ACA040)</t>
  </si>
  <si>
    <t>ACA040</t>
  </si>
  <si>
    <t>107406</t>
  </si>
  <si>
    <t>Алмаз.мозаика (блест.) 30х40см, на картоне с част.заполн. (32 цв.) КРАСНЫЕ И ЖЕЛТЫЕ ТЮЛЬПАНЫ. ASA011</t>
  </si>
  <si>
    <t>ASA011</t>
  </si>
  <si>
    <t>175567</t>
  </si>
  <si>
    <t>Алмаз мозаика (клас.) 30х40 см, с подр., с полн. заполн.(цв.) Одинокий маяк у моря.( Арт. AC34073)</t>
  </si>
  <si>
    <t>AC34073</t>
  </si>
  <si>
    <t>171537</t>
  </si>
  <si>
    <t>Алмаз.мозаика(блест.)30х40см, С подр., с полн. заполн. (17цв.) Эльф фветущих деревьев (Арт.AS34001)</t>
  </si>
  <si>
    <t>AS34001</t>
  </si>
  <si>
    <t>168245</t>
  </si>
  <si>
    <t>Алмаз. мозаика (класс.) 40х50 см, с подр., с полн. заполн. (28 цв.) Кошка-сударыня (Арт. AC4105)</t>
  </si>
  <si>
    <t>AC4105</t>
  </si>
  <si>
    <t>115932</t>
  </si>
  <si>
    <t>Алмаз. моз. круг, д.24 см с подр,с част. зап, камни разн форм  (11цв) САНКТ-ПЕТЕРБУРГ. Арт. YKH40</t>
  </si>
  <si>
    <t>YKH40</t>
  </si>
  <si>
    <t>115934</t>
  </si>
  <si>
    <t>Алмаз. моз. круг, д.24 см с подр,с част. зап, камни разн форм  (13цв) ЗАКАТ. Арт. YKH39</t>
  </si>
  <si>
    <t>YKH39</t>
  </si>
  <si>
    <t>171231</t>
  </si>
  <si>
    <t>Гравюра А4 в конверте. Золото. Корабль в океане ( Арт. Г-5975)</t>
  </si>
  <si>
    <t>Г-5975</t>
  </si>
  <si>
    <t>167425</t>
  </si>
  <si>
    <t>Создай волшебный рисунок. СВЕТОМАНИЯ (20*14) (Арт. НРС-5439)</t>
  </si>
  <si>
    <t>НРС-5439</t>
  </si>
  <si>
    <t>177399</t>
  </si>
  <si>
    <t>Звуковой плакат "РУССКИЙ И АНГЛИЙСКИЙ ЯЗЫК, ЗВУКИ И СЧЕТ" (звучание букв, алфавит, сч (арт. ЗП-0183)</t>
  </si>
  <si>
    <t>ЗП-0183</t>
  </si>
  <si>
    <t>165610</t>
  </si>
  <si>
    <t>Набор музыкальных инструментов-2 "Веселый оркестр" (7 инструментов,в коробке) (Арт. И-4095)</t>
  </si>
  <si>
    <t>И-4095</t>
  </si>
  <si>
    <t>169280</t>
  </si>
  <si>
    <t>Набор букв и цифр на магнитах (48 элементов, размер букв и цифр 3,8 см, в пакете ( Арт. ИН-6624)</t>
  </si>
  <si>
    <t>ИН-6624</t>
  </si>
  <si>
    <t>198715</t>
  </si>
  <si>
    <t>Рыбалка пластиковая (20х50см) "Большой улов" (6 рыбок,удочка с катушкой,в блистере) (Арт. M1500-4)</t>
  </si>
  <si>
    <t>M1500-4</t>
  </si>
  <si>
    <t>154025</t>
  </si>
  <si>
    <t>Палатка игровая (120х120х150 см) "ВЕСЁЛОЕ ПРИКЛЮЧЕНИЕ-2" (в коробке) (арт. 8194)</t>
  </si>
  <si>
    <t>8194</t>
  </si>
  <si>
    <t>141136</t>
  </si>
  <si>
    <t>Палатка игровая с туннелем (165х95х85см) "Единороги"(в коробке) (Арт. 8197)</t>
  </si>
  <si>
    <t>8197</t>
  </si>
  <si>
    <t>141171</t>
  </si>
  <si>
    <t>Палатка игровая с туннелем (170х112х94см) "Машинки"(в коробке) (Арт. 8331)</t>
  </si>
  <si>
    <t>8331</t>
  </si>
  <si>
    <t>194896</t>
  </si>
  <si>
    <t>Светильник "Дино" голубой (звук,свет,пульт,пластик, USB в к-те,в кор.)(12x12x17,5 cм) (Арт. ИК-8480)</t>
  </si>
  <si>
    <t>ИК-8480</t>
  </si>
  <si>
    <t>194905</t>
  </si>
  <si>
    <t>Светильник "Совенок"  (звук,свет,пульт,пластик, USB в к-те,в кор.)(12x12x17,5 cм) ( Арт. ИК-8485)</t>
  </si>
  <si>
    <t>ИК-8485</t>
  </si>
  <si>
    <t>197266</t>
  </si>
  <si>
    <t>Машинка инерционная.Кран(32х11,5х18,5 см)(свет,звук,3*AG13 в компл.,в кор.) (Арт. 1601656)</t>
  </si>
  <si>
    <t>1601656</t>
  </si>
  <si>
    <t>164658</t>
  </si>
  <si>
    <t>Танк инерционный "Победа-2"(24*8*8 см), (свет,звук,бат.3шт.AG13 в компл.) (Арт. 6506-6)</t>
  </si>
  <si>
    <t>6506-6</t>
  </si>
  <si>
    <t>145990</t>
  </si>
  <si>
    <t>Автотрек (длина 468 см) гибкий,светящийся "Супер гонка 2"(260 дет., мостик) в кор. (Арт. ZY789665)</t>
  </si>
  <si>
    <t>ZY789665</t>
  </si>
  <si>
    <t>162947</t>
  </si>
  <si>
    <t>Автотрек(7,6м.) "СКОРОСТНОЙ ПУТЬ-2"(190*100*36CM, свет,2маш,2пульт,адаптер) (Арт.  A47-18)</t>
  </si>
  <si>
    <t>A47-18</t>
  </si>
  <si>
    <t>166610</t>
  </si>
  <si>
    <t>Железная дорога на бат. "Молния-2" (153 см x 62см) (69 эл.,в коробке) (Арт. 1964775)</t>
  </si>
  <si>
    <t>1964775</t>
  </si>
  <si>
    <t>193976</t>
  </si>
  <si>
    <t>Микроскоп в наборе белый "Биолог"(свет,линза на тел.,в кор.)(19x7,3x29cм) ( Арт. ИК-7642)</t>
  </si>
  <si>
    <t>ИК-7642</t>
  </si>
  <si>
    <t>196883</t>
  </si>
  <si>
    <t>Набор инструментов "Мини мастерская" (42 пред.,в кор.)(41х8х30 см) ( Арт. 1966333)</t>
  </si>
  <si>
    <t>1966333</t>
  </si>
  <si>
    <t>166251</t>
  </si>
  <si>
    <t>Кукла (29см) "АНФИСА. БЛОНДИНКА-1" (в пакете) (Арт. 2023161)</t>
  </si>
  <si>
    <t>2023161</t>
  </si>
  <si>
    <t>166309</t>
  </si>
  <si>
    <t>Пупс(43см) "МИША"(аксес.,бут. с чипом,писает,текут слёзы,глаза закрываются) (Арт. WZJ058A-575R)</t>
  </si>
  <si>
    <t>WZJ058A-575R</t>
  </si>
  <si>
    <t>196368</t>
  </si>
  <si>
    <t>Карета с куклой.Сказочный мир(кукла,лошадь ход,свет,звук,5*АА не в ком,в кор.)(56х19х30) арт.2045584</t>
  </si>
  <si>
    <t>2045584</t>
  </si>
  <si>
    <t>196372</t>
  </si>
  <si>
    <t>Карета с куклой.Сказочный мир(кукла,лошадь ход,свет,звук,5*ААне в ком,в кор.)(60х20х34) арт.2045578</t>
  </si>
  <si>
    <t>2045578</t>
  </si>
  <si>
    <t>193856</t>
  </si>
  <si>
    <t>Игровой набор  "Кофемашина"(свет,звук,вода, 2*AA не в к-те,в кор.) (19x14,2x23,5 cм) ( Арт. 2137509)</t>
  </si>
  <si>
    <t>2137509</t>
  </si>
  <si>
    <t>193853</t>
  </si>
  <si>
    <t>Игровой набор "Хозяйка" (пылесос, 3 насадки, свет, звук) (55x19x11 cм) ( Арт. 2154188)</t>
  </si>
  <si>
    <t>2154188</t>
  </si>
  <si>
    <t>193913</t>
  </si>
  <si>
    <t>Игровой набор "Мини кухня" (чайник, плитка, посуда, свет,звук) (46x17x39cм) ( Арт. 2062955)</t>
  </si>
  <si>
    <t>2062955</t>
  </si>
  <si>
    <t>176611</t>
  </si>
  <si>
    <t>Набор для резки "Свежие продукты-1"(11 предметов,в чемоданчике) ( Арт. 2108117)</t>
  </si>
  <si>
    <t>2108117</t>
  </si>
  <si>
    <t>194262</t>
  </si>
  <si>
    <t>Игровой набор "Щеночек"(звук,аксесс.,гараж корич.,2*АА не в к-те,в кор.)(17,9x15cм) ( Арт. 2174920)</t>
  </si>
  <si>
    <t>2174920</t>
  </si>
  <si>
    <t>133561</t>
  </si>
  <si>
    <t>Конструктор пластик.SLUBAN.МЕХАНО.Гоночная машинка 7 инерц.(53 дет.,в коробке) (Арт. M38-B0801G)</t>
  </si>
  <si>
    <t>M38-B0801G</t>
  </si>
  <si>
    <t>140598</t>
  </si>
  <si>
    <t>Конструктор пластиковый Sluban MODELBRICKS Военный внедорожник (38х23,7х6,7 см) (Арт. M38-B0837)</t>
  </si>
  <si>
    <t>M38-B0837</t>
  </si>
  <si>
    <t>116239</t>
  </si>
  <si>
    <t>Конструктор пластиковый. SLUBAN Город. Вывоз мусора (118 деталей). Арт. M38-B0781B</t>
  </si>
  <si>
    <t>M38-B0781B</t>
  </si>
  <si>
    <t>181336</t>
  </si>
  <si>
    <t>Зонт (50см)"Сочный арбузик"  SOFT TOUCH (в пакете) ( Арт. ЗНТ-2429)</t>
  </si>
  <si>
    <t>ЗНТ-2429</t>
  </si>
  <si>
    <t>188767</t>
  </si>
  <si>
    <t>Набор аквагрима для детей(6 цветов, карандаш 3шт, спонж 1шт, аппликатор 1шт) ( Арт. КС-4626)</t>
  </si>
  <si>
    <t>КС-4626</t>
  </si>
  <si>
    <t>194711</t>
  </si>
  <si>
    <t>Набор детской косметики "My sweet dreams" (блеск для губ) КС-8702</t>
  </si>
  <si>
    <t>КС-8702</t>
  </si>
  <si>
    <t>192567</t>
  </si>
  <si>
    <t>Набор детской косметики  "Сказочный единорог" (сухие тени, помада, апплик.), планшет (Арт.КС-8772)</t>
  </si>
  <si>
    <t>КС-8772</t>
  </si>
  <si>
    <t>170846</t>
  </si>
  <si>
    <t>Набор детской косметики "Кошечка" (тени, лак для ногтей, апплик, кисть, цвет микс)  ( Арт. КС-5225)</t>
  </si>
  <si>
    <t>КС-5225</t>
  </si>
  <si>
    <t>https://redcat-toys.ru/api/getInfo/item/78bcdb5a-0ee5-11eb-a25b-ac1f6b442184</t>
  </si>
  <si>
    <t>https://redcat-toys.ru/api/getInfo/item/742a2863-0ee3-11eb-a25b-ac1f6b442184</t>
  </si>
  <si>
    <t>https://redcat-toys.ru/api/getInfo/item/460c3235-9e44-11e5-9e78-5cf3fc4a2490</t>
  </si>
  <si>
    <t>https://redcat-toys.ru/api/getInfo/item/63f3b3e3-19ec-11eb-a25d-ac1f6b442184</t>
  </si>
  <si>
    <t>https://redcat-toys.ru/api/getInfo/item/6464bec1-296e-11eb-a25d-ac1f6b442184</t>
  </si>
  <si>
    <t>https://redcat-toys.ru/api/getInfo/item/d1927e73-3ece-11eb-a25e-ac1f6b442184</t>
  </si>
  <si>
    <t>https://redcat-toys.ru/api/getInfo/item/46690a45-3ece-11eb-a25e-ac1f6b442184</t>
  </si>
  <si>
    <t>https://redcat-toys.ru/api/getInfo/item/06ff40eb-6d9b-11ea-a244-ac1f6b442184</t>
  </si>
  <si>
    <t>https://redcat-toys.ru/api/getInfo/item/fb3aade9-6dc8-11ea-a244-ac1f6b442184</t>
  </si>
  <si>
    <t>https://redcat-toys.ru/api/getInfo/item/e0493ec2-a9ad-11eb-a201-ac1f6b442185</t>
  </si>
  <si>
    <t>https://redcat-toys.ru/api/getInfo/item/304a096c-b3e6-11eb-a202-ac1f6b442185</t>
  </si>
  <si>
    <t>https://redcat-toys.ru/api/getInfo/item/518eb89a-70e1-11e9-a224-ac1f6b442184</t>
  </si>
  <si>
    <t>https://redcat-toys.ru/api/getInfo/item/2b062744-0594-11ec-a20e-ac1f6b442185</t>
  </si>
  <si>
    <t>https://redcat-toys.ru/api/getInfo/item/29aec0b5-d5b2-11eb-a209-ac1f6b442185</t>
  </si>
  <si>
    <t>https://redcat-toys.ru/api/getInfo/item/b52c8330-b899-11eb-a205-ac1f6b442185</t>
  </si>
  <si>
    <t>https://redcat-toys.ru/api/getInfo/item/a68d722a-daf3-11e9-a234-ac1f6b442184</t>
  </si>
  <si>
    <t>https://redcat-toys.ru/api/getInfo/item/0d489c02-daf4-11e9-a234-ac1f6b442184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</si>
</sst>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0.0"/>
    <numFmt numFmtId="178" formatCode="0.00000"/>
    <numFmt numFmtId="179" formatCode="0.0000"/>
  </numFmts>
  <fonts count="54">
    <font>
      <sz val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0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1" fontId="0" fillId="0" borderId="9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/>
    </xf>
    <xf numFmtId="1" fontId="0" fillId="33" borderId="9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/>
    </xf>
    <xf numFmtId="3" fontId="0" fillId="33" borderId="9" xfId="0" applyNumberFormat="1" applyFont="1" applyFill="1" applyBorder="1" applyAlignment="1">
      <alignment horizontal="right" vertical="top"/>
    </xf>
    <xf numFmtId="3" fontId="0" fillId="0" borderId="9" xfId="0" applyNumberFormat="1" applyFont="1" applyBorder="1" applyAlignment="1">
      <alignment horizontal="right" vertical="top"/>
    </xf>
    <xf numFmtId="0" fontId="11" fillId="34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Border="1" applyAlignment="1">
      <alignment horizontal="right" vertical="top"/>
    </xf>
    <xf numFmtId="176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right" vertical="top"/>
    </xf>
    <xf numFmtId="176" fontId="0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4" fontId="12" fillId="33" borderId="10" xfId="0" applyNumberFormat="1" applyFont="1" applyFill="1" applyBorder="1" applyAlignment="1">
      <alignment horizontal="right" vertical="top"/>
    </xf>
    <xf numFmtId="177" fontId="0" fillId="0" borderId="10" xfId="0" applyNumberFormat="1" applyFont="1" applyBorder="1" applyAlignment="1">
      <alignment horizontal="right" vertical="top"/>
    </xf>
    <xf numFmtId="178" fontId="0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right" vertical="top"/>
    </xf>
    <xf numFmtId="179" fontId="0" fillId="0" borderId="10" xfId="0" applyNumberFormat="1" applyFont="1" applyBorder="1" applyAlignment="1">
      <alignment horizontal="right" vertical="top"/>
    </xf>
    <xf numFmtId="178" fontId="0" fillId="33" borderId="10" xfId="0" applyNumberFormat="1" applyFont="1" applyFill="1" applyBorder="1" applyAlignment="1">
      <alignment horizontal="right" vertical="top"/>
    </xf>
    <xf numFmtId="0" fontId="13" fillId="33" borderId="10" xfId="0" applyNumberFormat="1" applyFont="1" applyFill="1" applyBorder="1" applyAlignment="1">
      <alignment horizontal="right" vertical="top"/>
    </xf>
    <xf numFmtId="0" fontId="0" fillId="33" borderId="0" xfId="0" applyNumberFormat="1" applyFill="1" applyAlignment="1">
      <alignment/>
    </xf>
    <xf numFmtId="179" fontId="0" fillId="33" borderId="10" xfId="0" applyNumberFormat="1" applyFont="1" applyFill="1" applyBorder="1" applyAlignment="1">
      <alignment horizontal="right" vertical="top"/>
    </xf>
    <xf numFmtId="177" fontId="0" fillId="33" borderId="10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 indent="2"/>
    </xf>
    <xf numFmtId="0" fontId="9" fillId="0" borderId="0" xfId="0" applyNumberFormat="1" applyFont="1" applyAlignment="1">
      <alignment vertical="center" wrapText="1" indent="4"/>
    </xf>
    <xf numFmtId="0" fontId="10" fillId="0" borderId="0" xfId="0" applyNumberFormat="1" applyFont="1" applyAlignment="1">
      <alignment vertical="center" wrapText="1" indent="6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0" fontId="50" fillId="15" borderId="0" xfId="0" applyNumberFormat="1" applyFont="1" applyFill="1" applyBorder="1" applyAlignment="1" applyProtection="1">
      <alignment/>
      <protection/>
    </xf>
    <xf numFmtId="3" fontId="50" fillId="15" borderId="9" xfId="0" applyNumberFormat="1" applyFont="1" applyFill="1" applyBorder="1" applyAlignment="1">
      <alignment horizontal="right" vertical="top"/>
    </xf>
    <xf numFmtId="0" fontId="50" fillId="15" borderId="10" xfId="0" applyNumberFormat="1" applyFont="1" applyFill="1" applyBorder="1" applyAlignment="1">
      <alignment vertical="top" wrapText="1"/>
    </xf>
    <xf numFmtId="0" fontId="50" fillId="15" borderId="10" xfId="0" applyNumberFormat="1" applyFont="1" applyFill="1" applyBorder="1" applyAlignment="1">
      <alignment vertical="top" wrapText="1"/>
    </xf>
    <xf numFmtId="0" fontId="50" fillId="15" borderId="10" xfId="0" applyNumberFormat="1" applyFont="1" applyFill="1" applyBorder="1" applyAlignment="1">
      <alignment vertical="top"/>
    </xf>
    <xf numFmtId="1" fontId="50" fillId="15" borderId="10" xfId="0" applyNumberFormat="1" applyFont="1" applyFill="1" applyBorder="1" applyAlignment="1">
      <alignment horizontal="right" vertical="top"/>
    </xf>
    <xf numFmtId="0" fontId="50" fillId="15" borderId="10" xfId="0" applyNumberFormat="1" applyFont="1" applyFill="1" applyBorder="1" applyAlignment="1">
      <alignment/>
    </xf>
    <xf numFmtId="1" fontId="50" fillId="15" borderId="9" xfId="0" applyNumberFormat="1" applyFont="1" applyFill="1" applyBorder="1" applyAlignment="1">
      <alignment horizontal="right" vertical="top"/>
    </xf>
    <xf numFmtId="2" fontId="52" fillId="15" borderId="10" xfId="0" applyNumberFormat="1" applyFont="1" applyFill="1" applyBorder="1" applyAlignment="1">
      <alignment horizontal="right" vertical="top"/>
    </xf>
    <xf numFmtId="0" fontId="50" fillId="15" borderId="10" xfId="0" applyNumberFormat="1" applyFont="1" applyFill="1" applyBorder="1" applyAlignment="1" applyProtection="1">
      <alignment horizontal="right" vertical="top"/>
      <protection locked="0"/>
    </xf>
    <xf numFmtId="0" fontId="50" fillId="15" borderId="10" xfId="0" applyNumberFormat="1" applyFont="1" applyFill="1" applyBorder="1" applyAlignment="1">
      <alignment horizontal="right" vertical="top"/>
    </xf>
    <xf numFmtId="2" fontId="50" fillId="15" borderId="10" xfId="0" applyNumberFormat="1" applyFont="1" applyFill="1" applyBorder="1" applyAlignment="1">
      <alignment horizontal="right" vertical="top"/>
    </xf>
    <xf numFmtId="176" fontId="50" fillId="15" borderId="10" xfId="0" applyNumberFormat="1" applyFont="1" applyFill="1" applyBorder="1" applyAlignment="1">
      <alignment horizontal="right" vertical="top"/>
    </xf>
    <xf numFmtId="0" fontId="53" fillId="15" borderId="10" xfId="0" applyNumberFormat="1" applyFont="1" applyFill="1" applyBorder="1" applyAlignment="1">
      <alignment horizontal="right" vertical="top"/>
    </xf>
    <xf numFmtId="0" fontId="53" fillId="15" borderId="0" xfId="0" applyNumberFormat="1" applyFont="1" applyFill="1" applyAlignment="1">
      <alignment vertical="top"/>
    </xf>
    <xf numFmtId="178" fontId="50" fillId="15" borderId="10" xfId="0" applyNumberFormat="1" applyFont="1" applyFill="1" applyBorder="1" applyAlignment="1">
      <alignment horizontal="right" vertical="top"/>
    </xf>
    <xf numFmtId="179" fontId="50" fillId="15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A07A"/>
      <rgbColor rgb="00CCFFFF"/>
      <rgbColor rgb="007CFC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pn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Relationship Id="rId172" Type="http://schemas.openxmlformats.org/officeDocument/2006/relationships/image" Target="../media/image172.jpeg" /><Relationship Id="rId173" Type="http://schemas.openxmlformats.org/officeDocument/2006/relationships/image" Target="../media/image173.jpeg" /><Relationship Id="rId174" Type="http://schemas.openxmlformats.org/officeDocument/2006/relationships/image" Target="../media/image17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9525</xdr:rowOff>
    </xdr:from>
    <xdr:to>
      <xdr:col>10</xdr:col>
      <xdr:colOff>19050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934325" y="219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9525</xdr:rowOff>
    </xdr:from>
    <xdr:to>
      <xdr:col>10</xdr:col>
      <xdr:colOff>19050</xdr:colOff>
      <xdr:row>12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7934325" y="340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19050</xdr:colOff>
      <xdr:row>13</xdr:row>
      <xdr:rowOff>19050</xdr:rowOff>
    </xdr:to>
    <xdr:sp>
      <xdr:nvSpPr>
        <xdr:cNvPr id="3" name="Rectangle 12"/>
        <xdr:cNvSpPr>
          <a:spLocks/>
        </xdr:cNvSpPr>
      </xdr:nvSpPr>
      <xdr:spPr>
        <a:xfrm>
          <a:off x="7934325" y="462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19050</xdr:colOff>
      <xdr:row>14</xdr:row>
      <xdr:rowOff>19050</xdr:rowOff>
    </xdr:to>
    <xdr:sp>
      <xdr:nvSpPr>
        <xdr:cNvPr id="4" name="Rectangle 50"/>
        <xdr:cNvSpPr>
          <a:spLocks/>
        </xdr:cNvSpPr>
      </xdr:nvSpPr>
      <xdr:spPr>
        <a:xfrm>
          <a:off x="7934325" y="584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9525</xdr:rowOff>
    </xdr:from>
    <xdr:to>
      <xdr:col>10</xdr:col>
      <xdr:colOff>19050</xdr:colOff>
      <xdr:row>15</xdr:row>
      <xdr:rowOff>19050</xdr:rowOff>
    </xdr:to>
    <xdr:sp>
      <xdr:nvSpPr>
        <xdr:cNvPr id="5" name="Rectangle 109"/>
        <xdr:cNvSpPr>
          <a:spLocks/>
        </xdr:cNvSpPr>
      </xdr:nvSpPr>
      <xdr:spPr>
        <a:xfrm>
          <a:off x="7934325" y="706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9525</xdr:rowOff>
    </xdr:from>
    <xdr:to>
      <xdr:col>10</xdr:col>
      <xdr:colOff>19050</xdr:colOff>
      <xdr:row>16</xdr:row>
      <xdr:rowOff>19050</xdr:rowOff>
    </xdr:to>
    <xdr:sp>
      <xdr:nvSpPr>
        <xdr:cNvPr id="6" name="Rectangle 117"/>
        <xdr:cNvSpPr>
          <a:spLocks/>
        </xdr:cNvSpPr>
      </xdr:nvSpPr>
      <xdr:spPr>
        <a:xfrm>
          <a:off x="7934325" y="828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9525</xdr:rowOff>
    </xdr:from>
    <xdr:to>
      <xdr:col>10</xdr:col>
      <xdr:colOff>19050</xdr:colOff>
      <xdr:row>17</xdr:row>
      <xdr:rowOff>19050</xdr:rowOff>
    </xdr:to>
    <xdr:sp>
      <xdr:nvSpPr>
        <xdr:cNvPr id="7" name="Rectangle 168"/>
        <xdr:cNvSpPr>
          <a:spLocks/>
        </xdr:cNvSpPr>
      </xdr:nvSpPr>
      <xdr:spPr>
        <a:xfrm>
          <a:off x="7934325" y="950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19050</xdr:colOff>
      <xdr:row>18</xdr:row>
      <xdr:rowOff>19050</xdr:rowOff>
    </xdr:to>
    <xdr:sp>
      <xdr:nvSpPr>
        <xdr:cNvPr id="8" name="Rectangle 176"/>
        <xdr:cNvSpPr>
          <a:spLocks/>
        </xdr:cNvSpPr>
      </xdr:nvSpPr>
      <xdr:spPr>
        <a:xfrm>
          <a:off x="7934325" y="1072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9525</xdr:rowOff>
    </xdr:from>
    <xdr:to>
      <xdr:col>10</xdr:col>
      <xdr:colOff>19050</xdr:colOff>
      <xdr:row>19</xdr:row>
      <xdr:rowOff>19050</xdr:rowOff>
    </xdr:to>
    <xdr:sp>
      <xdr:nvSpPr>
        <xdr:cNvPr id="9" name="Rectangle 211"/>
        <xdr:cNvSpPr>
          <a:spLocks/>
        </xdr:cNvSpPr>
      </xdr:nvSpPr>
      <xdr:spPr>
        <a:xfrm>
          <a:off x="7934325" y="1194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20</xdr:row>
      <xdr:rowOff>9525</xdr:rowOff>
    </xdr:from>
    <xdr:to>
      <xdr:col>10</xdr:col>
      <xdr:colOff>19050</xdr:colOff>
      <xdr:row>20</xdr:row>
      <xdr:rowOff>19050</xdr:rowOff>
    </xdr:to>
    <xdr:sp>
      <xdr:nvSpPr>
        <xdr:cNvPr id="10" name="Rectangle 214"/>
        <xdr:cNvSpPr>
          <a:spLocks/>
        </xdr:cNvSpPr>
      </xdr:nvSpPr>
      <xdr:spPr>
        <a:xfrm>
          <a:off x="7934325" y="1316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9525</xdr:rowOff>
    </xdr:from>
    <xdr:to>
      <xdr:col>10</xdr:col>
      <xdr:colOff>19050</xdr:colOff>
      <xdr:row>21</xdr:row>
      <xdr:rowOff>19050</xdr:rowOff>
    </xdr:to>
    <xdr:sp>
      <xdr:nvSpPr>
        <xdr:cNvPr id="11" name="Rectangle 223"/>
        <xdr:cNvSpPr>
          <a:spLocks/>
        </xdr:cNvSpPr>
      </xdr:nvSpPr>
      <xdr:spPr>
        <a:xfrm>
          <a:off x="7934325" y="1438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9525</xdr:rowOff>
    </xdr:from>
    <xdr:to>
      <xdr:col>10</xdr:col>
      <xdr:colOff>19050</xdr:colOff>
      <xdr:row>22</xdr:row>
      <xdr:rowOff>19050</xdr:rowOff>
    </xdr:to>
    <xdr:sp>
      <xdr:nvSpPr>
        <xdr:cNvPr id="12" name="Rectangle 230"/>
        <xdr:cNvSpPr>
          <a:spLocks/>
        </xdr:cNvSpPr>
      </xdr:nvSpPr>
      <xdr:spPr>
        <a:xfrm>
          <a:off x="7934325" y="1560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9525</xdr:rowOff>
    </xdr:from>
    <xdr:to>
      <xdr:col>10</xdr:col>
      <xdr:colOff>19050</xdr:colOff>
      <xdr:row>23</xdr:row>
      <xdr:rowOff>19050</xdr:rowOff>
    </xdr:to>
    <xdr:sp>
      <xdr:nvSpPr>
        <xdr:cNvPr id="13" name="Rectangle 232"/>
        <xdr:cNvSpPr>
          <a:spLocks/>
        </xdr:cNvSpPr>
      </xdr:nvSpPr>
      <xdr:spPr>
        <a:xfrm>
          <a:off x="7934325" y="1682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24</xdr:row>
      <xdr:rowOff>9525</xdr:rowOff>
    </xdr:from>
    <xdr:to>
      <xdr:col>10</xdr:col>
      <xdr:colOff>19050</xdr:colOff>
      <xdr:row>24</xdr:row>
      <xdr:rowOff>19050</xdr:rowOff>
    </xdr:to>
    <xdr:sp>
      <xdr:nvSpPr>
        <xdr:cNvPr id="14" name="Rectangle 237"/>
        <xdr:cNvSpPr>
          <a:spLocks/>
        </xdr:cNvSpPr>
      </xdr:nvSpPr>
      <xdr:spPr>
        <a:xfrm>
          <a:off x="7934325" y="1804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</xdr:row>
      <xdr:rowOff>9525</xdr:rowOff>
    </xdr:from>
    <xdr:to>
      <xdr:col>10</xdr:col>
      <xdr:colOff>19050</xdr:colOff>
      <xdr:row>25</xdr:row>
      <xdr:rowOff>19050</xdr:rowOff>
    </xdr:to>
    <xdr:sp>
      <xdr:nvSpPr>
        <xdr:cNvPr id="15" name="Rectangle 402"/>
        <xdr:cNvSpPr>
          <a:spLocks/>
        </xdr:cNvSpPr>
      </xdr:nvSpPr>
      <xdr:spPr>
        <a:xfrm>
          <a:off x="7934325" y="1925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9525</xdr:rowOff>
    </xdr:from>
    <xdr:to>
      <xdr:col>10</xdr:col>
      <xdr:colOff>19050</xdr:colOff>
      <xdr:row>26</xdr:row>
      <xdr:rowOff>19050</xdr:rowOff>
    </xdr:to>
    <xdr:sp>
      <xdr:nvSpPr>
        <xdr:cNvPr id="16" name="Rectangle 437"/>
        <xdr:cNvSpPr>
          <a:spLocks/>
        </xdr:cNvSpPr>
      </xdr:nvSpPr>
      <xdr:spPr>
        <a:xfrm>
          <a:off x="7934325" y="2047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9525</xdr:rowOff>
    </xdr:from>
    <xdr:to>
      <xdr:col>10</xdr:col>
      <xdr:colOff>19050</xdr:colOff>
      <xdr:row>27</xdr:row>
      <xdr:rowOff>19050</xdr:rowOff>
    </xdr:to>
    <xdr:sp>
      <xdr:nvSpPr>
        <xdr:cNvPr id="17" name="Rectangle 452"/>
        <xdr:cNvSpPr>
          <a:spLocks/>
        </xdr:cNvSpPr>
      </xdr:nvSpPr>
      <xdr:spPr>
        <a:xfrm>
          <a:off x="7934325" y="2169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</xdr:row>
      <xdr:rowOff>9525</xdr:rowOff>
    </xdr:from>
    <xdr:to>
      <xdr:col>10</xdr:col>
      <xdr:colOff>19050</xdr:colOff>
      <xdr:row>28</xdr:row>
      <xdr:rowOff>19050</xdr:rowOff>
    </xdr:to>
    <xdr:sp>
      <xdr:nvSpPr>
        <xdr:cNvPr id="18" name="Rectangle 516"/>
        <xdr:cNvSpPr>
          <a:spLocks/>
        </xdr:cNvSpPr>
      </xdr:nvSpPr>
      <xdr:spPr>
        <a:xfrm>
          <a:off x="7934325" y="2291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9525</xdr:rowOff>
    </xdr:from>
    <xdr:to>
      <xdr:col>10</xdr:col>
      <xdr:colOff>19050</xdr:colOff>
      <xdr:row>29</xdr:row>
      <xdr:rowOff>19050</xdr:rowOff>
    </xdr:to>
    <xdr:sp>
      <xdr:nvSpPr>
        <xdr:cNvPr id="19" name="Rectangle 532"/>
        <xdr:cNvSpPr>
          <a:spLocks/>
        </xdr:cNvSpPr>
      </xdr:nvSpPr>
      <xdr:spPr>
        <a:xfrm>
          <a:off x="7934325" y="2413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9525</xdr:rowOff>
    </xdr:from>
    <xdr:to>
      <xdr:col>10</xdr:col>
      <xdr:colOff>19050</xdr:colOff>
      <xdr:row>30</xdr:row>
      <xdr:rowOff>19050</xdr:rowOff>
    </xdr:to>
    <xdr:sp>
      <xdr:nvSpPr>
        <xdr:cNvPr id="20" name="Rectangle 546"/>
        <xdr:cNvSpPr>
          <a:spLocks/>
        </xdr:cNvSpPr>
      </xdr:nvSpPr>
      <xdr:spPr>
        <a:xfrm>
          <a:off x="7934325" y="2535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9525</xdr:rowOff>
    </xdr:from>
    <xdr:to>
      <xdr:col>10</xdr:col>
      <xdr:colOff>19050</xdr:colOff>
      <xdr:row>31</xdr:row>
      <xdr:rowOff>19050</xdr:rowOff>
    </xdr:to>
    <xdr:sp>
      <xdr:nvSpPr>
        <xdr:cNvPr id="21" name="Rectangle 550"/>
        <xdr:cNvSpPr>
          <a:spLocks/>
        </xdr:cNvSpPr>
      </xdr:nvSpPr>
      <xdr:spPr>
        <a:xfrm>
          <a:off x="7934325" y="2657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9525</xdr:rowOff>
    </xdr:from>
    <xdr:to>
      <xdr:col>10</xdr:col>
      <xdr:colOff>19050</xdr:colOff>
      <xdr:row>32</xdr:row>
      <xdr:rowOff>19050</xdr:rowOff>
    </xdr:to>
    <xdr:sp>
      <xdr:nvSpPr>
        <xdr:cNvPr id="22" name="Rectangle 560"/>
        <xdr:cNvSpPr>
          <a:spLocks/>
        </xdr:cNvSpPr>
      </xdr:nvSpPr>
      <xdr:spPr>
        <a:xfrm>
          <a:off x="7934325" y="2779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</xdr:row>
      <xdr:rowOff>9525</xdr:rowOff>
    </xdr:from>
    <xdr:to>
      <xdr:col>10</xdr:col>
      <xdr:colOff>19050</xdr:colOff>
      <xdr:row>33</xdr:row>
      <xdr:rowOff>19050</xdr:rowOff>
    </xdr:to>
    <xdr:sp>
      <xdr:nvSpPr>
        <xdr:cNvPr id="23" name="Rectangle 561"/>
        <xdr:cNvSpPr>
          <a:spLocks/>
        </xdr:cNvSpPr>
      </xdr:nvSpPr>
      <xdr:spPr>
        <a:xfrm>
          <a:off x="7934325" y="2901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34</xdr:row>
      <xdr:rowOff>9525</xdr:rowOff>
    </xdr:from>
    <xdr:to>
      <xdr:col>10</xdr:col>
      <xdr:colOff>19050</xdr:colOff>
      <xdr:row>34</xdr:row>
      <xdr:rowOff>19050</xdr:rowOff>
    </xdr:to>
    <xdr:sp>
      <xdr:nvSpPr>
        <xdr:cNvPr id="24" name="Rectangle 565"/>
        <xdr:cNvSpPr>
          <a:spLocks/>
        </xdr:cNvSpPr>
      </xdr:nvSpPr>
      <xdr:spPr>
        <a:xfrm>
          <a:off x="7934325" y="3023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9525</xdr:rowOff>
    </xdr:from>
    <xdr:to>
      <xdr:col>10</xdr:col>
      <xdr:colOff>19050</xdr:colOff>
      <xdr:row>35</xdr:row>
      <xdr:rowOff>19050</xdr:rowOff>
    </xdr:to>
    <xdr:sp>
      <xdr:nvSpPr>
        <xdr:cNvPr id="25" name="Rectangle 567"/>
        <xdr:cNvSpPr>
          <a:spLocks/>
        </xdr:cNvSpPr>
      </xdr:nvSpPr>
      <xdr:spPr>
        <a:xfrm>
          <a:off x="7934325" y="3145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36</xdr:row>
      <xdr:rowOff>9525</xdr:rowOff>
    </xdr:from>
    <xdr:to>
      <xdr:col>10</xdr:col>
      <xdr:colOff>19050</xdr:colOff>
      <xdr:row>36</xdr:row>
      <xdr:rowOff>19050</xdr:rowOff>
    </xdr:to>
    <xdr:sp>
      <xdr:nvSpPr>
        <xdr:cNvPr id="26" name="Rectangle 568"/>
        <xdr:cNvSpPr>
          <a:spLocks/>
        </xdr:cNvSpPr>
      </xdr:nvSpPr>
      <xdr:spPr>
        <a:xfrm>
          <a:off x="7934325" y="3267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37</xdr:row>
      <xdr:rowOff>9525</xdr:rowOff>
    </xdr:from>
    <xdr:to>
      <xdr:col>10</xdr:col>
      <xdr:colOff>19050</xdr:colOff>
      <xdr:row>37</xdr:row>
      <xdr:rowOff>19050</xdr:rowOff>
    </xdr:to>
    <xdr:sp>
      <xdr:nvSpPr>
        <xdr:cNvPr id="27" name="Rectangle 573"/>
        <xdr:cNvSpPr>
          <a:spLocks/>
        </xdr:cNvSpPr>
      </xdr:nvSpPr>
      <xdr:spPr>
        <a:xfrm>
          <a:off x="7934325" y="3388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9525</xdr:rowOff>
    </xdr:from>
    <xdr:to>
      <xdr:col>10</xdr:col>
      <xdr:colOff>19050</xdr:colOff>
      <xdr:row>38</xdr:row>
      <xdr:rowOff>19050</xdr:rowOff>
    </xdr:to>
    <xdr:sp>
      <xdr:nvSpPr>
        <xdr:cNvPr id="28" name="Rectangle 597"/>
        <xdr:cNvSpPr>
          <a:spLocks/>
        </xdr:cNvSpPr>
      </xdr:nvSpPr>
      <xdr:spPr>
        <a:xfrm>
          <a:off x="7934325" y="3510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39</xdr:row>
      <xdr:rowOff>9525</xdr:rowOff>
    </xdr:from>
    <xdr:to>
      <xdr:col>10</xdr:col>
      <xdr:colOff>19050</xdr:colOff>
      <xdr:row>39</xdr:row>
      <xdr:rowOff>19050</xdr:rowOff>
    </xdr:to>
    <xdr:sp>
      <xdr:nvSpPr>
        <xdr:cNvPr id="29" name="Rectangle 600"/>
        <xdr:cNvSpPr>
          <a:spLocks/>
        </xdr:cNvSpPr>
      </xdr:nvSpPr>
      <xdr:spPr>
        <a:xfrm>
          <a:off x="7934325" y="3632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40</xdr:row>
      <xdr:rowOff>9525</xdr:rowOff>
    </xdr:from>
    <xdr:to>
      <xdr:col>10</xdr:col>
      <xdr:colOff>19050</xdr:colOff>
      <xdr:row>40</xdr:row>
      <xdr:rowOff>19050</xdr:rowOff>
    </xdr:to>
    <xdr:sp>
      <xdr:nvSpPr>
        <xdr:cNvPr id="30" name="Rectangle 625"/>
        <xdr:cNvSpPr>
          <a:spLocks/>
        </xdr:cNvSpPr>
      </xdr:nvSpPr>
      <xdr:spPr>
        <a:xfrm>
          <a:off x="7934325" y="3754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9525</xdr:rowOff>
    </xdr:from>
    <xdr:to>
      <xdr:col>10</xdr:col>
      <xdr:colOff>19050</xdr:colOff>
      <xdr:row>41</xdr:row>
      <xdr:rowOff>19050</xdr:rowOff>
    </xdr:to>
    <xdr:sp>
      <xdr:nvSpPr>
        <xdr:cNvPr id="31" name="Rectangle 649"/>
        <xdr:cNvSpPr>
          <a:spLocks/>
        </xdr:cNvSpPr>
      </xdr:nvSpPr>
      <xdr:spPr>
        <a:xfrm>
          <a:off x="7934325" y="3876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9525</xdr:rowOff>
    </xdr:from>
    <xdr:to>
      <xdr:col>10</xdr:col>
      <xdr:colOff>19050</xdr:colOff>
      <xdr:row>42</xdr:row>
      <xdr:rowOff>19050</xdr:rowOff>
    </xdr:to>
    <xdr:sp>
      <xdr:nvSpPr>
        <xdr:cNvPr id="32" name="Rectangle 655"/>
        <xdr:cNvSpPr>
          <a:spLocks/>
        </xdr:cNvSpPr>
      </xdr:nvSpPr>
      <xdr:spPr>
        <a:xfrm>
          <a:off x="7934325" y="3998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43</xdr:row>
      <xdr:rowOff>9525</xdr:rowOff>
    </xdr:from>
    <xdr:to>
      <xdr:col>10</xdr:col>
      <xdr:colOff>19050</xdr:colOff>
      <xdr:row>43</xdr:row>
      <xdr:rowOff>19050</xdr:rowOff>
    </xdr:to>
    <xdr:sp>
      <xdr:nvSpPr>
        <xdr:cNvPr id="33" name="Rectangle 658"/>
        <xdr:cNvSpPr>
          <a:spLocks/>
        </xdr:cNvSpPr>
      </xdr:nvSpPr>
      <xdr:spPr>
        <a:xfrm>
          <a:off x="7934325" y="4120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9525</xdr:rowOff>
    </xdr:from>
    <xdr:to>
      <xdr:col>10</xdr:col>
      <xdr:colOff>19050</xdr:colOff>
      <xdr:row>44</xdr:row>
      <xdr:rowOff>19050</xdr:rowOff>
    </xdr:to>
    <xdr:sp>
      <xdr:nvSpPr>
        <xdr:cNvPr id="34" name="Rectangle 664"/>
        <xdr:cNvSpPr>
          <a:spLocks/>
        </xdr:cNvSpPr>
      </xdr:nvSpPr>
      <xdr:spPr>
        <a:xfrm>
          <a:off x="7934325" y="4242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9525</xdr:rowOff>
    </xdr:from>
    <xdr:to>
      <xdr:col>10</xdr:col>
      <xdr:colOff>19050</xdr:colOff>
      <xdr:row>45</xdr:row>
      <xdr:rowOff>19050</xdr:rowOff>
    </xdr:to>
    <xdr:sp>
      <xdr:nvSpPr>
        <xdr:cNvPr id="35" name="Rectangle 676"/>
        <xdr:cNvSpPr>
          <a:spLocks/>
        </xdr:cNvSpPr>
      </xdr:nvSpPr>
      <xdr:spPr>
        <a:xfrm>
          <a:off x="7934325" y="4364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46</xdr:row>
      <xdr:rowOff>9525</xdr:rowOff>
    </xdr:from>
    <xdr:to>
      <xdr:col>10</xdr:col>
      <xdr:colOff>19050</xdr:colOff>
      <xdr:row>46</xdr:row>
      <xdr:rowOff>19050</xdr:rowOff>
    </xdr:to>
    <xdr:sp>
      <xdr:nvSpPr>
        <xdr:cNvPr id="36" name="Rectangle 697"/>
        <xdr:cNvSpPr>
          <a:spLocks/>
        </xdr:cNvSpPr>
      </xdr:nvSpPr>
      <xdr:spPr>
        <a:xfrm>
          <a:off x="7934325" y="4486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9525</xdr:rowOff>
    </xdr:from>
    <xdr:to>
      <xdr:col>10</xdr:col>
      <xdr:colOff>19050</xdr:colOff>
      <xdr:row>47</xdr:row>
      <xdr:rowOff>19050</xdr:rowOff>
    </xdr:to>
    <xdr:sp>
      <xdr:nvSpPr>
        <xdr:cNvPr id="37" name="Rectangle 882"/>
        <xdr:cNvSpPr>
          <a:spLocks/>
        </xdr:cNvSpPr>
      </xdr:nvSpPr>
      <xdr:spPr>
        <a:xfrm>
          <a:off x="7934325" y="4608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9525</xdr:rowOff>
    </xdr:from>
    <xdr:to>
      <xdr:col>10</xdr:col>
      <xdr:colOff>19050</xdr:colOff>
      <xdr:row>48</xdr:row>
      <xdr:rowOff>19050</xdr:rowOff>
    </xdr:to>
    <xdr:sp>
      <xdr:nvSpPr>
        <xdr:cNvPr id="38" name="Rectangle 945"/>
        <xdr:cNvSpPr>
          <a:spLocks/>
        </xdr:cNvSpPr>
      </xdr:nvSpPr>
      <xdr:spPr>
        <a:xfrm>
          <a:off x="7934325" y="4730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49</xdr:row>
      <xdr:rowOff>9525</xdr:rowOff>
    </xdr:from>
    <xdr:to>
      <xdr:col>10</xdr:col>
      <xdr:colOff>19050</xdr:colOff>
      <xdr:row>49</xdr:row>
      <xdr:rowOff>19050</xdr:rowOff>
    </xdr:to>
    <xdr:sp>
      <xdr:nvSpPr>
        <xdr:cNvPr id="39" name="Rectangle 971"/>
        <xdr:cNvSpPr>
          <a:spLocks/>
        </xdr:cNvSpPr>
      </xdr:nvSpPr>
      <xdr:spPr>
        <a:xfrm>
          <a:off x="7934325" y="4852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9525</xdr:rowOff>
    </xdr:from>
    <xdr:to>
      <xdr:col>10</xdr:col>
      <xdr:colOff>19050</xdr:colOff>
      <xdr:row>50</xdr:row>
      <xdr:rowOff>19050</xdr:rowOff>
    </xdr:to>
    <xdr:sp>
      <xdr:nvSpPr>
        <xdr:cNvPr id="40" name="Rectangle 978"/>
        <xdr:cNvSpPr>
          <a:spLocks/>
        </xdr:cNvSpPr>
      </xdr:nvSpPr>
      <xdr:spPr>
        <a:xfrm>
          <a:off x="7934325" y="4973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51</xdr:row>
      <xdr:rowOff>9525</xdr:rowOff>
    </xdr:from>
    <xdr:to>
      <xdr:col>10</xdr:col>
      <xdr:colOff>19050</xdr:colOff>
      <xdr:row>51</xdr:row>
      <xdr:rowOff>19050</xdr:rowOff>
    </xdr:to>
    <xdr:sp>
      <xdr:nvSpPr>
        <xdr:cNvPr id="41" name="Rectangle 979"/>
        <xdr:cNvSpPr>
          <a:spLocks/>
        </xdr:cNvSpPr>
      </xdr:nvSpPr>
      <xdr:spPr>
        <a:xfrm>
          <a:off x="7934325" y="5095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52</xdr:row>
      <xdr:rowOff>9525</xdr:rowOff>
    </xdr:from>
    <xdr:to>
      <xdr:col>10</xdr:col>
      <xdr:colOff>19050</xdr:colOff>
      <xdr:row>52</xdr:row>
      <xdr:rowOff>19050</xdr:rowOff>
    </xdr:to>
    <xdr:sp>
      <xdr:nvSpPr>
        <xdr:cNvPr id="42" name="Rectangle 984"/>
        <xdr:cNvSpPr>
          <a:spLocks/>
        </xdr:cNvSpPr>
      </xdr:nvSpPr>
      <xdr:spPr>
        <a:xfrm>
          <a:off x="7934325" y="5217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9525</xdr:rowOff>
    </xdr:from>
    <xdr:to>
      <xdr:col>10</xdr:col>
      <xdr:colOff>19050</xdr:colOff>
      <xdr:row>53</xdr:row>
      <xdr:rowOff>19050</xdr:rowOff>
    </xdr:to>
    <xdr:sp>
      <xdr:nvSpPr>
        <xdr:cNvPr id="43" name="Rectangle 989"/>
        <xdr:cNvSpPr>
          <a:spLocks/>
        </xdr:cNvSpPr>
      </xdr:nvSpPr>
      <xdr:spPr>
        <a:xfrm>
          <a:off x="7934325" y="5339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9525</xdr:rowOff>
    </xdr:from>
    <xdr:to>
      <xdr:col>10</xdr:col>
      <xdr:colOff>19050</xdr:colOff>
      <xdr:row>54</xdr:row>
      <xdr:rowOff>19050</xdr:rowOff>
    </xdr:to>
    <xdr:sp>
      <xdr:nvSpPr>
        <xdr:cNvPr id="44" name="Rectangle 235"/>
        <xdr:cNvSpPr>
          <a:spLocks/>
        </xdr:cNvSpPr>
      </xdr:nvSpPr>
      <xdr:spPr>
        <a:xfrm>
          <a:off x="7934325" y="5461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9525</xdr:rowOff>
    </xdr:from>
    <xdr:to>
      <xdr:col>10</xdr:col>
      <xdr:colOff>19050</xdr:colOff>
      <xdr:row>55</xdr:row>
      <xdr:rowOff>19050</xdr:rowOff>
    </xdr:to>
    <xdr:sp>
      <xdr:nvSpPr>
        <xdr:cNvPr id="45" name="Rectangle 236"/>
        <xdr:cNvSpPr>
          <a:spLocks/>
        </xdr:cNvSpPr>
      </xdr:nvSpPr>
      <xdr:spPr>
        <a:xfrm>
          <a:off x="7934325" y="5583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56</xdr:row>
      <xdr:rowOff>9525</xdr:rowOff>
    </xdr:from>
    <xdr:to>
      <xdr:col>10</xdr:col>
      <xdr:colOff>19050</xdr:colOff>
      <xdr:row>56</xdr:row>
      <xdr:rowOff>19050</xdr:rowOff>
    </xdr:to>
    <xdr:sp>
      <xdr:nvSpPr>
        <xdr:cNvPr id="46" name="Rectangle 249"/>
        <xdr:cNvSpPr>
          <a:spLocks/>
        </xdr:cNvSpPr>
      </xdr:nvSpPr>
      <xdr:spPr>
        <a:xfrm>
          <a:off x="7934325" y="5705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57</xdr:row>
      <xdr:rowOff>9525</xdr:rowOff>
    </xdr:from>
    <xdr:to>
      <xdr:col>10</xdr:col>
      <xdr:colOff>19050</xdr:colOff>
      <xdr:row>57</xdr:row>
      <xdr:rowOff>19050</xdr:rowOff>
    </xdr:to>
    <xdr:sp>
      <xdr:nvSpPr>
        <xdr:cNvPr id="47" name="Rectangle 259"/>
        <xdr:cNvSpPr>
          <a:spLocks/>
        </xdr:cNvSpPr>
      </xdr:nvSpPr>
      <xdr:spPr>
        <a:xfrm>
          <a:off x="7934325" y="5827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58</xdr:row>
      <xdr:rowOff>9525</xdr:rowOff>
    </xdr:from>
    <xdr:to>
      <xdr:col>10</xdr:col>
      <xdr:colOff>19050</xdr:colOff>
      <xdr:row>58</xdr:row>
      <xdr:rowOff>19050</xdr:rowOff>
    </xdr:to>
    <xdr:sp>
      <xdr:nvSpPr>
        <xdr:cNvPr id="48" name="Rectangle 285"/>
        <xdr:cNvSpPr>
          <a:spLocks/>
        </xdr:cNvSpPr>
      </xdr:nvSpPr>
      <xdr:spPr>
        <a:xfrm>
          <a:off x="7934325" y="5949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59</xdr:row>
      <xdr:rowOff>9525</xdr:rowOff>
    </xdr:from>
    <xdr:to>
      <xdr:col>10</xdr:col>
      <xdr:colOff>19050</xdr:colOff>
      <xdr:row>59</xdr:row>
      <xdr:rowOff>19050</xdr:rowOff>
    </xdr:to>
    <xdr:sp>
      <xdr:nvSpPr>
        <xdr:cNvPr id="49" name="Rectangle 291"/>
        <xdr:cNvSpPr>
          <a:spLocks/>
        </xdr:cNvSpPr>
      </xdr:nvSpPr>
      <xdr:spPr>
        <a:xfrm>
          <a:off x="7934325" y="6071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60</xdr:row>
      <xdr:rowOff>9525</xdr:rowOff>
    </xdr:from>
    <xdr:to>
      <xdr:col>10</xdr:col>
      <xdr:colOff>19050</xdr:colOff>
      <xdr:row>60</xdr:row>
      <xdr:rowOff>19050</xdr:rowOff>
    </xdr:to>
    <xdr:sp>
      <xdr:nvSpPr>
        <xdr:cNvPr id="50" name="Rectangle 340"/>
        <xdr:cNvSpPr>
          <a:spLocks/>
        </xdr:cNvSpPr>
      </xdr:nvSpPr>
      <xdr:spPr>
        <a:xfrm>
          <a:off x="7934325" y="6193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61</xdr:row>
      <xdr:rowOff>9525</xdr:rowOff>
    </xdr:from>
    <xdr:to>
      <xdr:col>10</xdr:col>
      <xdr:colOff>19050</xdr:colOff>
      <xdr:row>61</xdr:row>
      <xdr:rowOff>19050</xdr:rowOff>
    </xdr:to>
    <xdr:sp>
      <xdr:nvSpPr>
        <xdr:cNvPr id="51" name="Rectangle 341"/>
        <xdr:cNvSpPr>
          <a:spLocks/>
        </xdr:cNvSpPr>
      </xdr:nvSpPr>
      <xdr:spPr>
        <a:xfrm>
          <a:off x="7934325" y="6315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62</xdr:row>
      <xdr:rowOff>9525</xdr:rowOff>
    </xdr:from>
    <xdr:to>
      <xdr:col>10</xdr:col>
      <xdr:colOff>19050</xdr:colOff>
      <xdr:row>62</xdr:row>
      <xdr:rowOff>19050</xdr:rowOff>
    </xdr:to>
    <xdr:sp>
      <xdr:nvSpPr>
        <xdr:cNvPr id="52" name="Rectangle 353"/>
        <xdr:cNvSpPr>
          <a:spLocks/>
        </xdr:cNvSpPr>
      </xdr:nvSpPr>
      <xdr:spPr>
        <a:xfrm>
          <a:off x="7934325" y="6436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63</xdr:row>
      <xdr:rowOff>9525</xdr:rowOff>
    </xdr:from>
    <xdr:to>
      <xdr:col>10</xdr:col>
      <xdr:colOff>19050</xdr:colOff>
      <xdr:row>63</xdr:row>
      <xdr:rowOff>19050</xdr:rowOff>
    </xdr:to>
    <xdr:sp>
      <xdr:nvSpPr>
        <xdr:cNvPr id="53" name="Rectangle 375"/>
        <xdr:cNvSpPr>
          <a:spLocks/>
        </xdr:cNvSpPr>
      </xdr:nvSpPr>
      <xdr:spPr>
        <a:xfrm>
          <a:off x="7934325" y="6558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64</xdr:row>
      <xdr:rowOff>9525</xdr:rowOff>
    </xdr:from>
    <xdr:to>
      <xdr:col>10</xdr:col>
      <xdr:colOff>19050</xdr:colOff>
      <xdr:row>64</xdr:row>
      <xdr:rowOff>19050</xdr:rowOff>
    </xdr:to>
    <xdr:sp>
      <xdr:nvSpPr>
        <xdr:cNvPr id="54" name="Rectangle 380"/>
        <xdr:cNvSpPr>
          <a:spLocks/>
        </xdr:cNvSpPr>
      </xdr:nvSpPr>
      <xdr:spPr>
        <a:xfrm>
          <a:off x="7934325" y="6680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9525</xdr:rowOff>
    </xdr:from>
    <xdr:to>
      <xdr:col>10</xdr:col>
      <xdr:colOff>19050</xdr:colOff>
      <xdr:row>65</xdr:row>
      <xdr:rowOff>19050</xdr:rowOff>
    </xdr:to>
    <xdr:sp>
      <xdr:nvSpPr>
        <xdr:cNvPr id="55" name="Rectangle 393"/>
        <xdr:cNvSpPr>
          <a:spLocks/>
        </xdr:cNvSpPr>
      </xdr:nvSpPr>
      <xdr:spPr>
        <a:xfrm>
          <a:off x="7934325" y="6802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66</xdr:row>
      <xdr:rowOff>9525</xdr:rowOff>
    </xdr:from>
    <xdr:to>
      <xdr:col>10</xdr:col>
      <xdr:colOff>19050</xdr:colOff>
      <xdr:row>66</xdr:row>
      <xdr:rowOff>19050</xdr:rowOff>
    </xdr:to>
    <xdr:sp>
      <xdr:nvSpPr>
        <xdr:cNvPr id="56" name="Rectangle 398"/>
        <xdr:cNvSpPr>
          <a:spLocks/>
        </xdr:cNvSpPr>
      </xdr:nvSpPr>
      <xdr:spPr>
        <a:xfrm>
          <a:off x="7934325" y="6924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9525</xdr:rowOff>
    </xdr:from>
    <xdr:to>
      <xdr:col>10</xdr:col>
      <xdr:colOff>19050</xdr:colOff>
      <xdr:row>67</xdr:row>
      <xdr:rowOff>19050</xdr:rowOff>
    </xdr:to>
    <xdr:sp>
      <xdr:nvSpPr>
        <xdr:cNvPr id="57" name="Rectangle 402"/>
        <xdr:cNvSpPr>
          <a:spLocks/>
        </xdr:cNvSpPr>
      </xdr:nvSpPr>
      <xdr:spPr>
        <a:xfrm>
          <a:off x="7934325" y="7046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68</xdr:row>
      <xdr:rowOff>9525</xdr:rowOff>
    </xdr:from>
    <xdr:to>
      <xdr:col>10</xdr:col>
      <xdr:colOff>19050</xdr:colOff>
      <xdr:row>68</xdr:row>
      <xdr:rowOff>19050</xdr:rowOff>
    </xdr:to>
    <xdr:sp>
      <xdr:nvSpPr>
        <xdr:cNvPr id="58" name="Rectangle 425"/>
        <xdr:cNvSpPr>
          <a:spLocks/>
        </xdr:cNvSpPr>
      </xdr:nvSpPr>
      <xdr:spPr>
        <a:xfrm>
          <a:off x="7934325" y="7168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69</xdr:row>
      <xdr:rowOff>9525</xdr:rowOff>
    </xdr:from>
    <xdr:to>
      <xdr:col>10</xdr:col>
      <xdr:colOff>19050</xdr:colOff>
      <xdr:row>69</xdr:row>
      <xdr:rowOff>19050</xdr:rowOff>
    </xdr:to>
    <xdr:sp>
      <xdr:nvSpPr>
        <xdr:cNvPr id="59" name="Rectangle 427"/>
        <xdr:cNvSpPr>
          <a:spLocks/>
        </xdr:cNvSpPr>
      </xdr:nvSpPr>
      <xdr:spPr>
        <a:xfrm>
          <a:off x="7934325" y="7290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70</xdr:row>
      <xdr:rowOff>9525</xdr:rowOff>
    </xdr:from>
    <xdr:to>
      <xdr:col>10</xdr:col>
      <xdr:colOff>19050</xdr:colOff>
      <xdr:row>70</xdr:row>
      <xdr:rowOff>19050</xdr:rowOff>
    </xdr:to>
    <xdr:sp>
      <xdr:nvSpPr>
        <xdr:cNvPr id="60" name="Rectangle 431"/>
        <xdr:cNvSpPr>
          <a:spLocks/>
        </xdr:cNvSpPr>
      </xdr:nvSpPr>
      <xdr:spPr>
        <a:xfrm>
          <a:off x="7934325" y="7412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9525</xdr:rowOff>
    </xdr:from>
    <xdr:to>
      <xdr:col>10</xdr:col>
      <xdr:colOff>19050</xdr:colOff>
      <xdr:row>71</xdr:row>
      <xdr:rowOff>19050</xdr:rowOff>
    </xdr:to>
    <xdr:sp>
      <xdr:nvSpPr>
        <xdr:cNvPr id="61" name="Rectangle 435"/>
        <xdr:cNvSpPr>
          <a:spLocks/>
        </xdr:cNvSpPr>
      </xdr:nvSpPr>
      <xdr:spPr>
        <a:xfrm>
          <a:off x="7934325" y="7534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72</xdr:row>
      <xdr:rowOff>9525</xdr:rowOff>
    </xdr:from>
    <xdr:to>
      <xdr:col>10</xdr:col>
      <xdr:colOff>19050</xdr:colOff>
      <xdr:row>72</xdr:row>
      <xdr:rowOff>19050</xdr:rowOff>
    </xdr:to>
    <xdr:sp>
      <xdr:nvSpPr>
        <xdr:cNvPr id="62" name="Rectangle 438"/>
        <xdr:cNvSpPr>
          <a:spLocks/>
        </xdr:cNvSpPr>
      </xdr:nvSpPr>
      <xdr:spPr>
        <a:xfrm>
          <a:off x="7934325" y="7656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9525</xdr:rowOff>
    </xdr:from>
    <xdr:to>
      <xdr:col>10</xdr:col>
      <xdr:colOff>19050</xdr:colOff>
      <xdr:row>73</xdr:row>
      <xdr:rowOff>19050</xdr:rowOff>
    </xdr:to>
    <xdr:sp>
      <xdr:nvSpPr>
        <xdr:cNvPr id="63" name="Rectangle 441"/>
        <xdr:cNvSpPr>
          <a:spLocks/>
        </xdr:cNvSpPr>
      </xdr:nvSpPr>
      <xdr:spPr>
        <a:xfrm>
          <a:off x="7934325" y="7778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74</xdr:row>
      <xdr:rowOff>9525</xdr:rowOff>
    </xdr:from>
    <xdr:to>
      <xdr:col>10</xdr:col>
      <xdr:colOff>19050</xdr:colOff>
      <xdr:row>74</xdr:row>
      <xdr:rowOff>19050</xdr:rowOff>
    </xdr:to>
    <xdr:sp>
      <xdr:nvSpPr>
        <xdr:cNvPr id="64" name="Rectangle 447"/>
        <xdr:cNvSpPr>
          <a:spLocks/>
        </xdr:cNvSpPr>
      </xdr:nvSpPr>
      <xdr:spPr>
        <a:xfrm>
          <a:off x="7934325" y="7900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9525</xdr:rowOff>
    </xdr:from>
    <xdr:to>
      <xdr:col>10</xdr:col>
      <xdr:colOff>19050</xdr:colOff>
      <xdr:row>75</xdr:row>
      <xdr:rowOff>19050</xdr:rowOff>
    </xdr:to>
    <xdr:sp>
      <xdr:nvSpPr>
        <xdr:cNvPr id="65" name="Rectangle 451"/>
        <xdr:cNvSpPr>
          <a:spLocks/>
        </xdr:cNvSpPr>
      </xdr:nvSpPr>
      <xdr:spPr>
        <a:xfrm>
          <a:off x="7934325" y="8021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76</xdr:row>
      <xdr:rowOff>9525</xdr:rowOff>
    </xdr:from>
    <xdr:to>
      <xdr:col>10</xdr:col>
      <xdr:colOff>19050</xdr:colOff>
      <xdr:row>76</xdr:row>
      <xdr:rowOff>19050</xdr:rowOff>
    </xdr:to>
    <xdr:sp>
      <xdr:nvSpPr>
        <xdr:cNvPr id="66" name="Rectangle 455"/>
        <xdr:cNvSpPr>
          <a:spLocks/>
        </xdr:cNvSpPr>
      </xdr:nvSpPr>
      <xdr:spPr>
        <a:xfrm>
          <a:off x="7934325" y="8143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9525</xdr:rowOff>
    </xdr:from>
    <xdr:to>
      <xdr:col>10</xdr:col>
      <xdr:colOff>19050</xdr:colOff>
      <xdr:row>77</xdr:row>
      <xdr:rowOff>19050</xdr:rowOff>
    </xdr:to>
    <xdr:sp>
      <xdr:nvSpPr>
        <xdr:cNvPr id="67" name="Rectangle 459"/>
        <xdr:cNvSpPr>
          <a:spLocks/>
        </xdr:cNvSpPr>
      </xdr:nvSpPr>
      <xdr:spPr>
        <a:xfrm>
          <a:off x="7934325" y="8265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9525</xdr:rowOff>
    </xdr:from>
    <xdr:to>
      <xdr:col>10</xdr:col>
      <xdr:colOff>19050</xdr:colOff>
      <xdr:row>78</xdr:row>
      <xdr:rowOff>19050</xdr:rowOff>
    </xdr:to>
    <xdr:sp>
      <xdr:nvSpPr>
        <xdr:cNvPr id="68" name="Rectangle 473"/>
        <xdr:cNvSpPr>
          <a:spLocks/>
        </xdr:cNvSpPr>
      </xdr:nvSpPr>
      <xdr:spPr>
        <a:xfrm>
          <a:off x="7934325" y="8387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79</xdr:row>
      <xdr:rowOff>9525</xdr:rowOff>
    </xdr:from>
    <xdr:to>
      <xdr:col>10</xdr:col>
      <xdr:colOff>19050</xdr:colOff>
      <xdr:row>79</xdr:row>
      <xdr:rowOff>19050</xdr:rowOff>
    </xdr:to>
    <xdr:sp>
      <xdr:nvSpPr>
        <xdr:cNvPr id="69" name="Rectangle 477"/>
        <xdr:cNvSpPr>
          <a:spLocks/>
        </xdr:cNvSpPr>
      </xdr:nvSpPr>
      <xdr:spPr>
        <a:xfrm>
          <a:off x="7934325" y="8509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80</xdr:row>
      <xdr:rowOff>9525</xdr:rowOff>
    </xdr:from>
    <xdr:to>
      <xdr:col>10</xdr:col>
      <xdr:colOff>19050</xdr:colOff>
      <xdr:row>80</xdr:row>
      <xdr:rowOff>19050</xdr:rowOff>
    </xdr:to>
    <xdr:sp>
      <xdr:nvSpPr>
        <xdr:cNvPr id="70" name="Rectangle 480"/>
        <xdr:cNvSpPr>
          <a:spLocks/>
        </xdr:cNvSpPr>
      </xdr:nvSpPr>
      <xdr:spPr>
        <a:xfrm>
          <a:off x="7934325" y="8631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81</xdr:row>
      <xdr:rowOff>9525</xdr:rowOff>
    </xdr:from>
    <xdr:to>
      <xdr:col>10</xdr:col>
      <xdr:colOff>19050</xdr:colOff>
      <xdr:row>81</xdr:row>
      <xdr:rowOff>19050</xdr:rowOff>
    </xdr:to>
    <xdr:sp>
      <xdr:nvSpPr>
        <xdr:cNvPr id="71" name="Rectangle 496"/>
        <xdr:cNvSpPr>
          <a:spLocks/>
        </xdr:cNvSpPr>
      </xdr:nvSpPr>
      <xdr:spPr>
        <a:xfrm>
          <a:off x="7934325" y="8753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82</xdr:row>
      <xdr:rowOff>9525</xdr:rowOff>
    </xdr:from>
    <xdr:to>
      <xdr:col>10</xdr:col>
      <xdr:colOff>19050</xdr:colOff>
      <xdr:row>82</xdr:row>
      <xdr:rowOff>19050</xdr:rowOff>
    </xdr:to>
    <xdr:sp>
      <xdr:nvSpPr>
        <xdr:cNvPr id="72" name="Rectangle 512"/>
        <xdr:cNvSpPr>
          <a:spLocks/>
        </xdr:cNvSpPr>
      </xdr:nvSpPr>
      <xdr:spPr>
        <a:xfrm>
          <a:off x="7934325" y="8875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83</xdr:row>
      <xdr:rowOff>9525</xdr:rowOff>
    </xdr:from>
    <xdr:to>
      <xdr:col>10</xdr:col>
      <xdr:colOff>19050</xdr:colOff>
      <xdr:row>83</xdr:row>
      <xdr:rowOff>19050</xdr:rowOff>
    </xdr:to>
    <xdr:sp>
      <xdr:nvSpPr>
        <xdr:cNvPr id="73" name="Rectangle 517"/>
        <xdr:cNvSpPr>
          <a:spLocks/>
        </xdr:cNvSpPr>
      </xdr:nvSpPr>
      <xdr:spPr>
        <a:xfrm>
          <a:off x="7934325" y="8997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84</xdr:row>
      <xdr:rowOff>9525</xdr:rowOff>
    </xdr:from>
    <xdr:to>
      <xdr:col>10</xdr:col>
      <xdr:colOff>19050</xdr:colOff>
      <xdr:row>84</xdr:row>
      <xdr:rowOff>19050</xdr:rowOff>
    </xdr:to>
    <xdr:sp>
      <xdr:nvSpPr>
        <xdr:cNvPr id="74" name="Rectangle 520"/>
        <xdr:cNvSpPr>
          <a:spLocks/>
        </xdr:cNvSpPr>
      </xdr:nvSpPr>
      <xdr:spPr>
        <a:xfrm>
          <a:off x="7934325" y="9119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85</xdr:row>
      <xdr:rowOff>9525</xdr:rowOff>
    </xdr:from>
    <xdr:to>
      <xdr:col>10</xdr:col>
      <xdr:colOff>19050</xdr:colOff>
      <xdr:row>85</xdr:row>
      <xdr:rowOff>19050</xdr:rowOff>
    </xdr:to>
    <xdr:sp>
      <xdr:nvSpPr>
        <xdr:cNvPr id="75" name="Rectangle 536"/>
        <xdr:cNvSpPr>
          <a:spLocks/>
        </xdr:cNvSpPr>
      </xdr:nvSpPr>
      <xdr:spPr>
        <a:xfrm>
          <a:off x="7934325" y="9241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86</xdr:row>
      <xdr:rowOff>9525</xdr:rowOff>
    </xdr:from>
    <xdr:to>
      <xdr:col>10</xdr:col>
      <xdr:colOff>19050</xdr:colOff>
      <xdr:row>86</xdr:row>
      <xdr:rowOff>19050</xdr:rowOff>
    </xdr:to>
    <xdr:sp>
      <xdr:nvSpPr>
        <xdr:cNvPr id="76" name="Rectangle 541"/>
        <xdr:cNvSpPr>
          <a:spLocks/>
        </xdr:cNvSpPr>
      </xdr:nvSpPr>
      <xdr:spPr>
        <a:xfrm>
          <a:off x="7934325" y="9363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87</xdr:row>
      <xdr:rowOff>9525</xdr:rowOff>
    </xdr:from>
    <xdr:to>
      <xdr:col>10</xdr:col>
      <xdr:colOff>19050</xdr:colOff>
      <xdr:row>87</xdr:row>
      <xdr:rowOff>19050</xdr:rowOff>
    </xdr:to>
    <xdr:sp>
      <xdr:nvSpPr>
        <xdr:cNvPr id="77" name="Rectangle 546"/>
        <xdr:cNvSpPr>
          <a:spLocks/>
        </xdr:cNvSpPr>
      </xdr:nvSpPr>
      <xdr:spPr>
        <a:xfrm>
          <a:off x="7934325" y="9484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88</xdr:row>
      <xdr:rowOff>9525</xdr:rowOff>
    </xdr:from>
    <xdr:to>
      <xdr:col>10</xdr:col>
      <xdr:colOff>19050</xdr:colOff>
      <xdr:row>88</xdr:row>
      <xdr:rowOff>19050</xdr:rowOff>
    </xdr:to>
    <xdr:sp>
      <xdr:nvSpPr>
        <xdr:cNvPr id="78" name="Rectangle 547"/>
        <xdr:cNvSpPr>
          <a:spLocks/>
        </xdr:cNvSpPr>
      </xdr:nvSpPr>
      <xdr:spPr>
        <a:xfrm>
          <a:off x="7934325" y="9606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89</xdr:row>
      <xdr:rowOff>9525</xdr:rowOff>
    </xdr:from>
    <xdr:to>
      <xdr:col>10</xdr:col>
      <xdr:colOff>19050</xdr:colOff>
      <xdr:row>89</xdr:row>
      <xdr:rowOff>19050</xdr:rowOff>
    </xdr:to>
    <xdr:sp>
      <xdr:nvSpPr>
        <xdr:cNvPr id="79" name="Rectangle 558"/>
        <xdr:cNvSpPr>
          <a:spLocks/>
        </xdr:cNvSpPr>
      </xdr:nvSpPr>
      <xdr:spPr>
        <a:xfrm>
          <a:off x="7934325" y="9728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90</xdr:row>
      <xdr:rowOff>9525</xdr:rowOff>
    </xdr:from>
    <xdr:to>
      <xdr:col>10</xdr:col>
      <xdr:colOff>19050</xdr:colOff>
      <xdr:row>90</xdr:row>
      <xdr:rowOff>19050</xdr:rowOff>
    </xdr:to>
    <xdr:sp>
      <xdr:nvSpPr>
        <xdr:cNvPr id="80" name="Rectangle 575"/>
        <xdr:cNvSpPr>
          <a:spLocks/>
        </xdr:cNvSpPr>
      </xdr:nvSpPr>
      <xdr:spPr>
        <a:xfrm>
          <a:off x="7934325" y="9850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91</xdr:row>
      <xdr:rowOff>9525</xdr:rowOff>
    </xdr:from>
    <xdr:to>
      <xdr:col>10</xdr:col>
      <xdr:colOff>19050</xdr:colOff>
      <xdr:row>91</xdr:row>
      <xdr:rowOff>19050</xdr:rowOff>
    </xdr:to>
    <xdr:sp>
      <xdr:nvSpPr>
        <xdr:cNvPr id="81" name="Rectangle 581"/>
        <xdr:cNvSpPr>
          <a:spLocks/>
        </xdr:cNvSpPr>
      </xdr:nvSpPr>
      <xdr:spPr>
        <a:xfrm>
          <a:off x="7934325" y="9972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9525</xdr:rowOff>
    </xdr:from>
    <xdr:to>
      <xdr:col>10</xdr:col>
      <xdr:colOff>19050</xdr:colOff>
      <xdr:row>92</xdr:row>
      <xdr:rowOff>19050</xdr:rowOff>
    </xdr:to>
    <xdr:sp>
      <xdr:nvSpPr>
        <xdr:cNvPr id="82" name="Rectangle 584"/>
        <xdr:cNvSpPr>
          <a:spLocks/>
        </xdr:cNvSpPr>
      </xdr:nvSpPr>
      <xdr:spPr>
        <a:xfrm>
          <a:off x="7934325" y="10094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93</xdr:row>
      <xdr:rowOff>9525</xdr:rowOff>
    </xdr:from>
    <xdr:to>
      <xdr:col>10</xdr:col>
      <xdr:colOff>19050</xdr:colOff>
      <xdr:row>93</xdr:row>
      <xdr:rowOff>19050</xdr:rowOff>
    </xdr:to>
    <xdr:sp>
      <xdr:nvSpPr>
        <xdr:cNvPr id="83" name="Rectangle 648"/>
        <xdr:cNvSpPr>
          <a:spLocks/>
        </xdr:cNvSpPr>
      </xdr:nvSpPr>
      <xdr:spPr>
        <a:xfrm>
          <a:off x="7934325" y="10216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94</xdr:row>
      <xdr:rowOff>9525</xdr:rowOff>
    </xdr:from>
    <xdr:to>
      <xdr:col>10</xdr:col>
      <xdr:colOff>19050</xdr:colOff>
      <xdr:row>94</xdr:row>
      <xdr:rowOff>19050</xdr:rowOff>
    </xdr:to>
    <xdr:sp>
      <xdr:nvSpPr>
        <xdr:cNvPr id="84" name="Rectangle 731"/>
        <xdr:cNvSpPr>
          <a:spLocks/>
        </xdr:cNvSpPr>
      </xdr:nvSpPr>
      <xdr:spPr>
        <a:xfrm>
          <a:off x="7934325" y="10338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10</xdr:col>
      <xdr:colOff>19050</xdr:colOff>
      <xdr:row>95</xdr:row>
      <xdr:rowOff>19050</xdr:rowOff>
    </xdr:to>
    <xdr:sp>
      <xdr:nvSpPr>
        <xdr:cNvPr id="85" name="Rectangle 775"/>
        <xdr:cNvSpPr>
          <a:spLocks/>
        </xdr:cNvSpPr>
      </xdr:nvSpPr>
      <xdr:spPr>
        <a:xfrm>
          <a:off x="7934325" y="10460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96</xdr:row>
      <xdr:rowOff>9525</xdr:rowOff>
    </xdr:from>
    <xdr:to>
      <xdr:col>10</xdr:col>
      <xdr:colOff>19050</xdr:colOff>
      <xdr:row>96</xdr:row>
      <xdr:rowOff>19050</xdr:rowOff>
    </xdr:to>
    <xdr:sp>
      <xdr:nvSpPr>
        <xdr:cNvPr id="86" name="Rectangle 779"/>
        <xdr:cNvSpPr>
          <a:spLocks/>
        </xdr:cNvSpPr>
      </xdr:nvSpPr>
      <xdr:spPr>
        <a:xfrm>
          <a:off x="7934325" y="10582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97</xdr:row>
      <xdr:rowOff>9525</xdr:rowOff>
    </xdr:from>
    <xdr:to>
      <xdr:col>10</xdr:col>
      <xdr:colOff>19050</xdr:colOff>
      <xdr:row>97</xdr:row>
      <xdr:rowOff>19050</xdr:rowOff>
    </xdr:to>
    <xdr:sp>
      <xdr:nvSpPr>
        <xdr:cNvPr id="87" name="Rectangle 788"/>
        <xdr:cNvSpPr>
          <a:spLocks/>
        </xdr:cNvSpPr>
      </xdr:nvSpPr>
      <xdr:spPr>
        <a:xfrm>
          <a:off x="7934325" y="10704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9525</xdr:rowOff>
    </xdr:from>
    <xdr:to>
      <xdr:col>10</xdr:col>
      <xdr:colOff>19050</xdr:colOff>
      <xdr:row>98</xdr:row>
      <xdr:rowOff>19050</xdr:rowOff>
    </xdr:to>
    <xdr:sp>
      <xdr:nvSpPr>
        <xdr:cNvPr id="88" name="Rectangle 819"/>
        <xdr:cNvSpPr>
          <a:spLocks/>
        </xdr:cNvSpPr>
      </xdr:nvSpPr>
      <xdr:spPr>
        <a:xfrm>
          <a:off x="7934325" y="10826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99</xdr:row>
      <xdr:rowOff>9525</xdr:rowOff>
    </xdr:from>
    <xdr:to>
      <xdr:col>10</xdr:col>
      <xdr:colOff>19050</xdr:colOff>
      <xdr:row>99</xdr:row>
      <xdr:rowOff>19050</xdr:rowOff>
    </xdr:to>
    <xdr:sp>
      <xdr:nvSpPr>
        <xdr:cNvPr id="89" name="Rectangle 841"/>
        <xdr:cNvSpPr>
          <a:spLocks/>
        </xdr:cNvSpPr>
      </xdr:nvSpPr>
      <xdr:spPr>
        <a:xfrm>
          <a:off x="7934325" y="10948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100</xdr:row>
      <xdr:rowOff>9525</xdr:rowOff>
    </xdr:from>
    <xdr:to>
      <xdr:col>10</xdr:col>
      <xdr:colOff>19050</xdr:colOff>
      <xdr:row>100</xdr:row>
      <xdr:rowOff>19050</xdr:rowOff>
    </xdr:to>
    <xdr:sp>
      <xdr:nvSpPr>
        <xdr:cNvPr id="90" name="Rectangle 846"/>
        <xdr:cNvSpPr>
          <a:spLocks/>
        </xdr:cNvSpPr>
      </xdr:nvSpPr>
      <xdr:spPr>
        <a:xfrm>
          <a:off x="7934325" y="11069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9525</xdr:rowOff>
    </xdr:from>
    <xdr:to>
      <xdr:col>10</xdr:col>
      <xdr:colOff>19050</xdr:colOff>
      <xdr:row>101</xdr:row>
      <xdr:rowOff>19050</xdr:rowOff>
    </xdr:to>
    <xdr:sp>
      <xdr:nvSpPr>
        <xdr:cNvPr id="91" name="Rectangle 847"/>
        <xdr:cNvSpPr>
          <a:spLocks/>
        </xdr:cNvSpPr>
      </xdr:nvSpPr>
      <xdr:spPr>
        <a:xfrm>
          <a:off x="7934325" y="11191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102</xdr:row>
      <xdr:rowOff>9525</xdr:rowOff>
    </xdr:from>
    <xdr:to>
      <xdr:col>10</xdr:col>
      <xdr:colOff>19050</xdr:colOff>
      <xdr:row>102</xdr:row>
      <xdr:rowOff>19050</xdr:rowOff>
    </xdr:to>
    <xdr:sp>
      <xdr:nvSpPr>
        <xdr:cNvPr id="92" name="Rectangle 854"/>
        <xdr:cNvSpPr>
          <a:spLocks/>
        </xdr:cNvSpPr>
      </xdr:nvSpPr>
      <xdr:spPr>
        <a:xfrm>
          <a:off x="7934325" y="11313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103</xdr:row>
      <xdr:rowOff>9525</xdr:rowOff>
    </xdr:from>
    <xdr:to>
      <xdr:col>10</xdr:col>
      <xdr:colOff>19050</xdr:colOff>
      <xdr:row>103</xdr:row>
      <xdr:rowOff>19050</xdr:rowOff>
    </xdr:to>
    <xdr:sp>
      <xdr:nvSpPr>
        <xdr:cNvPr id="93" name="Rectangle 860"/>
        <xdr:cNvSpPr>
          <a:spLocks/>
        </xdr:cNvSpPr>
      </xdr:nvSpPr>
      <xdr:spPr>
        <a:xfrm>
          <a:off x="7934325" y="11435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9525</xdr:rowOff>
    </xdr:from>
    <xdr:to>
      <xdr:col>10</xdr:col>
      <xdr:colOff>19050</xdr:colOff>
      <xdr:row>104</xdr:row>
      <xdr:rowOff>19050</xdr:rowOff>
    </xdr:to>
    <xdr:sp>
      <xdr:nvSpPr>
        <xdr:cNvPr id="94" name="Rectangle 892"/>
        <xdr:cNvSpPr>
          <a:spLocks/>
        </xdr:cNvSpPr>
      </xdr:nvSpPr>
      <xdr:spPr>
        <a:xfrm>
          <a:off x="7934325" y="11557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105</xdr:row>
      <xdr:rowOff>9525</xdr:rowOff>
    </xdr:from>
    <xdr:to>
      <xdr:col>10</xdr:col>
      <xdr:colOff>19050</xdr:colOff>
      <xdr:row>105</xdr:row>
      <xdr:rowOff>19050</xdr:rowOff>
    </xdr:to>
    <xdr:sp>
      <xdr:nvSpPr>
        <xdr:cNvPr id="95" name="Rectangle 894"/>
        <xdr:cNvSpPr>
          <a:spLocks/>
        </xdr:cNvSpPr>
      </xdr:nvSpPr>
      <xdr:spPr>
        <a:xfrm>
          <a:off x="7934325" y="11679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9525</xdr:rowOff>
    </xdr:from>
    <xdr:to>
      <xdr:col>10</xdr:col>
      <xdr:colOff>19050</xdr:colOff>
      <xdr:row>106</xdr:row>
      <xdr:rowOff>19050</xdr:rowOff>
    </xdr:to>
    <xdr:sp>
      <xdr:nvSpPr>
        <xdr:cNvPr id="96" name="Rectangle 952"/>
        <xdr:cNvSpPr>
          <a:spLocks/>
        </xdr:cNvSpPr>
      </xdr:nvSpPr>
      <xdr:spPr>
        <a:xfrm>
          <a:off x="7934325" y="11801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107</xdr:row>
      <xdr:rowOff>9525</xdr:rowOff>
    </xdr:from>
    <xdr:to>
      <xdr:col>10</xdr:col>
      <xdr:colOff>19050</xdr:colOff>
      <xdr:row>107</xdr:row>
      <xdr:rowOff>19050</xdr:rowOff>
    </xdr:to>
    <xdr:sp>
      <xdr:nvSpPr>
        <xdr:cNvPr id="97" name="Rectangle 978"/>
        <xdr:cNvSpPr>
          <a:spLocks/>
        </xdr:cNvSpPr>
      </xdr:nvSpPr>
      <xdr:spPr>
        <a:xfrm>
          <a:off x="7934325" y="11923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108</xdr:row>
      <xdr:rowOff>9525</xdr:rowOff>
    </xdr:from>
    <xdr:to>
      <xdr:col>10</xdr:col>
      <xdr:colOff>19050</xdr:colOff>
      <xdr:row>108</xdr:row>
      <xdr:rowOff>19050</xdr:rowOff>
    </xdr:to>
    <xdr:sp>
      <xdr:nvSpPr>
        <xdr:cNvPr id="98" name="Rectangle 84"/>
        <xdr:cNvSpPr>
          <a:spLocks/>
        </xdr:cNvSpPr>
      </xdr:nvSpPr>
      <xdr:spPr>
        <a:xfrm>
          <a:off x="7934325" y="12045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109</xdr:row>
      <xdr:rowOff>9525</xdr:rowOff>
    </xdr:from>
    <xdr:to>
      <xdr:col>10</xdr:col>
      <xdr:colOff>19050</xdr:colOff>
      <xdr:row>109</xdr:row>
      <xdr:rowOff>19050</xdr:rowOff>
    </xdr:to>
    <xdr:sp>
      <xdr:nvSpPr>
        <xdr:cNvPr id="99" name="Rectangle 98"/>
        <xdr:cNvSpPr>
          <a:spLocks/>
        </xdr:cNvSpPr>
      </xdr:nvSpPr>
      <xdr:spPr>
        <a:xfrm>
          <a:off x="7934325" y="12167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9525</xdr:rowOff>
    </xdr:from>
    <xdr:to>
      <xdr:col>10</xdr:col>
      <xdr:colOff>19050</xdr:colOff>
      <xdr:row>110</xdr:row>
      <xdr:rowOff>19050</xdr:rowOff>
    </xdr:to>
    <xdr:sp>
      <xdr:nvSpPr>
        <xdr:cNvPr id="100" name="Rectangle 121"/>
        <xdr:cNvSpPr>
          <a:spLocks/>
        </xdr:cNvSpPr>
      </xdr:nvSpPr>
      <xdr:spPr>
        <a:xfrm>
          <a:off x="7934325" y="12289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111</xdr:row>
      <xdr:rowOff>9525</xdr:rowOff>
    </xdr:from>
    <xdr:to>
      <xdr:col>10</xdr:col>
      <xdr:colOff>19050</xdr:colOff>
      <xdr:row>111</xdr:row>
      <xdr:rowOff>19050</xdr:rowOff>
    </xdr:to>
    <xdr:sp>
      <xdr:nvSpPr>
        <xdr:cNvPr id="101" name="Rectangle 134"/>
        <xdr:cNvSpPr>
          <a:spLocks/>
        </xdr:cNvSpPr>
      </xdr:nvSpPr>
      <xdr:spPr>
        <a:xfrm>
          <a:off x="7934325" y="12411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9525</xdr:rowOff>
    </xdr:from>
    <xdr:to>
      <xdr:col>10</xdr:col>
      <xdr:colOff>19050</xdr:colOff>
      <xdr:row>112</xdr:row>
      <xdr:rowOff>19050</xdr:rowOff>
    </xdr:to>
    <xdr:sp>
      <xdr:nvSpPr>
        <xdr:cNvPr id="102" name="Rectangle 169"/>
        <xdr:cNvSpPr>
          <a:spLocks/>
        </xdr:cNvSpPr>
      </xdr:nvSpPr>
      <xdr:spPr>
        <a:xfrm>
          <a:off x="7934325" y="12532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113</xdr:row>
      <xdr:rowOff>9525</xdr:rowOff>
    </xdr:from>
    <xdr:to>
      <xdr:col>10</xdr:col>
      <xdr:colOff>19050</xdr:colOff>
      <xdr:row>113</xdr:row>
      <xdr:rowOff>19050</xdr:rowOff>
    </xdr:to>
    <xdr:sp>
      <xdr:nvSpPr>
        <xdr:cNvPr id="103" name="Rectangle 173"/>
        <xdr:cNvSpPr>
          <a:spLocks/>
        </xdr:cNvSpPr>
      </xdr:nvSpPr>
      <xdr:spPr>
        <a:xfrm>
          <a:off x="7934325" y="12654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114</xdr:row>
      <xdr:rowOff>9525</xdr:rowOff>
    </xdr:from>
    <xdr:to>
      <xdr:col>10</xdr:col>
      <xdr:colOff>19050</xdr:colOff>
      <xdr:row>114</xdr:row>
      <xdr:rowOff>19050</xdr:rowOff>
    </xdr:to>
    <xdr:sp>
      <xdr:nvSpPr>
        <xdr:cNvPr id="104" name="Rectangle 210"/>
        <xdr:cNvSpPr>
          <a:spLocks/>
        </xdr:cNvSpPr>
      </xdr:nvSpPr>
      <xdr:spPr>
        <a:xfrm>
          <a:off x="7934325" y="12776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115</xdr:row>
      <xdr:rowOff>9525</xdr:rowOff>
    </xdr:from>
    <xdr:to>
      <xdr:col>10</xdr:col>
      <xdr:colOff>19050</xdr:colOff>
      <xdr:row>115</xdr:row>
      <xdr:rowOff>19050</xdr:rowOff>
    </xdr:to>
    <xdr:sp>
      <xdr:nvSpPr>
        <xdr:cNvPr id="105" name="Rectangle 211"/>
        <xdr:cNvSpPr>
          <a:spLocks/>
        </xdr:cNvSpPr>
      </xdr:nvSpPr>
      <xdr:spPr>
        <a:xfrm>
          <a:off x="7934325" y="12898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9525</xdr:rowOff>
    </xdr:from>
    <xdr:to>
      <xdr:col>10</xdr:col>
      <xdr:colOff>19050</xdr:colOff>
      <xdr:row>116</xdr:row>
      <xdr:rowOff>19050</xdr:rowOff>
    </xdr:to>
    <xdr:sp>
      <xdr:nvSpPr>
        <xdr:cNvPr id="106" name="Rectangle 219"/>
        <xdr:cNvSpPr>
          <a:spLocks/>
        </xdr:cNvSpPr>
      </xdr:nvSpPr>
      <xdr:spPr>
        <a:xfrm>
          <a:off x="7934325" y="13020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117</xdr:row>
      <xdr:rowOff>9525</xdr:rowOff>
    </xdr:from>
    <xdr:to>
      <xdr:col>10</xdr:col>
      <xdr:colOff>19050</xdr:colOff>
      <xdr:row>117</xdr:row>
      <xdr:rowOff>19050</xdr:rowOff>
    </xdr:to>
    <xdr:sp>
      <xdr:nvSpPr>
        <xdr:cNvPr id="107" name="Rectangle 236"/>
        <xdr:cNvSpPr>
          <a:spLocks/>
        </xdr:cNvSpPr>
      </xdr:nvSpPr>
      <xdr:spPr>
        <a:xfrm>
          <a:off x="7934325" y="13142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118</xdr:row>
      <xdr:rowOff>9525</xdr:rowOff>
    </xdr:from>
    <xdr:to>
      <xdr:col>10</xdr:col>
      <xdr:colOff>19050</xdr:colOff>
      <xdr:row>118</xdr:row>
      <xdr:rowOff>19050</xdr:rowOff>
    </xdr:to>
    <xdr:sp>
      <xdr:nvSpPr>
        <xdr:cNvPr id="108" name="Rectangle 253"/>
        <xdr:cNvSpPr>
          <a:spLocks/>
        </xdr:cNvSpPr>
      </xdr:nvSpPr>
      <xdr:spPr>
        <a:xfrm>
          <a:off x="7934325" y="13264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9525</xdr:rowOff>
    </xdr:from>
    <xdr:to>
      <xdr:col>10</xdr:col>
      <xdr:colOff>19050</xdr:colOff>
      <xdr:row>119</xdr:row>
      <xdr:rowOff>19050</xdr:rowOff>
    </xdr:to>
    <xdr:sp>
      <xdr:nvSpPr>
        <xdr:cNvPr id="109" name="Rectangle 264"/>
        <xdr:cNvSpPr>
          <a:spLocks/>
        </xdr:cNvSpPr>
      </xdr:nvSpPr>
      <xdr:spPr>
        <a:xfrm>
          <a:off x="7934325" y="13386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120</xdr:row>
      <xdr:rowOff>9525</xdr:rowOff>
    </xdr:from>
    <xdr:to>
      <xdr:col>10</xdr:col>
      <xdr:colOff>19050</xdr:colOff>
      <xdr:row>120</xdr:row>
      <xdr:rowOff>19050</xdr:rowOff>
    </xdr:to>
    <xdr:sp>
      <xdr:nvSpPr>
        <xdr:cNvPr id="110" name="Rectangle 268"/>
        <xdr:cNvSpPr>
          <a:spLocks/>
        </xdr:cNvSpPr>
      </xdr:nvSpPr>
      <xdr:spPr>
        <a:xfrm>
          <a:off x="7934325" y="13508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121</xdr:row>
      <xdr:rowOff>9525</xdr:rowOff>
    </xdr:from>
    <xdr:to>
      <xdr:col>10</xdr:col>
      <xdr:colOff>19050</xdr:colOff>
      <xdr:row>121</xdr:row>
      <xdr:rowOff>19050</xdr:rowOff>
    </xdr:to>
    <xdr:sp>
      <xdr:nvSpPr>
        <xdr:cNvPr id="111" name="Rectangle 320"/>
        <xdr:cNvSpPr>
          <a:spLocks/>
        </xdr:cNvSpPr>
      </xdr:nvSpPr>
      <xdr:spPr>
        <a:xfrm>
          <a:off x="7934325" y="13630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9525</xdr:rowOff>
    </xdr:from>
    <xdr:to>
      <xdr:col>10</xdr:col>
      <xdr:colOff>19050</xdr:colOff>
      <xdr:row>122</xdr:row>
      <xdr:rowOff>19050</xdr:rowOff>
    </xdr:to>
    <xdr:sp>
      <xdr:nvSpPr>
        <xdr:cNvPr id="112" name="Rectangle 332"/>
        <xdr:cNvSpPr>
          <a:spLocks/>
        </xdr:cNvSpPr>
      </xdr:nvSpPr>
      <xdr:spPr>
        <a:xfrm>
          <a:off x="7934325" y="13752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123</xdr:row>
      <xdr:rowOff>9525</xdr:rowOff>
    </xdr:from>
    <xdr:to>
      <xdr:col>10</xdr:col>
      <xdr:colOff>19050</xdr:colOff>
      <xdr:row>123</xdr:row>
      <xdr:rowOff>19050</xdr:rowOff>
    </xdr:to>
    <xdr:sp>
      <xdr:nvSpPr>
        <xdr:cNvPr id="113" name="Rectangle 342"/>
        <xdr:cNvSpPr>
          <a:spLocks/>
        </xdr:cNvSpPr>
      </xdr:nvSpPr>
      <xdr:spPr>
        <a:xfrm>
          <a:off x="7934325" y="13874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9525</xdr:rowOff>
    </xdr:from>
    <xdr:to>
      <xdr:col>10</xdr:col>
      <xdr:colOff>19050</xdr:colOff>
      <xdr:row>124</xdr:row>
      <xdr:rowOff>19050</xdr:rowOff>
    </xdr:to>
    <xdr:sp>
      <xdr:nvSpPr>
        <xdr:cNvPr id="114" name="Rectangle 347"/>
        <xdr:cNvSpPr>
          <a:spLocks/>
        </xdr:cNvSpPr>
      </xdr:nvSpPr>
      <xdr:spPr>
        <a:xfrm>
          <a:off x="7934325" y="13996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125</xdr:row>
      <xdr:rowOff>9525</xdr:rowOff>
    </xdr:from>
    <xdr:to>
      <xdr:col>10</xdr:col>
      <xdr:colOff>19050</xdr:colOff>
      <xdr:row>125</xdr:row>
      <xdr:rowOff>19050</xdr:rowOff>
    </xdr:to>
    <xdr:sp>
      <xdr:nvSpPr>
        <xdr:cNvPr id="115" name="Rectangle 353"/>
        <xdr:cNvSpPr>
          <a:spLocks/>
        </xdr:cNvSpPr>
      </xdr:nvSpPr>
      <xdr:spPr>
        <a:xfrm>
          <a:off x="7934325" y="14117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126</xdr:row>
      <xdr:rowOff>9525</xdr:rowOff>
    </xdr:from>
    <xdr:to>
      <xdr:col>10</xdr:col>
      <xdr:colOff>19050</xdr:colOff>
      <xdr:row>126</xdr:row>
      <xdr:rowOff>19050</xdr:rowOff>
    </xdr:to>
    <xdr:sp>
      <xdr:nvSpPr>
        <xdr:cNvPr id="116" name="Rectangle 365"/>
        <xdr:cNvSpPr>
          <a:spLocks/>
        </xdr:cNvSpPr>
      </xdr:nvSpPr>
      <xdr:spPr>
        <a:xfrm>
          <a:off x="7934325" y="14239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9525</xdr:rowOff>
    </xdr:from>
    <xdr:to>
      <xdr:col>10</xdr:col>
      <xdr:colOff>19050</xdr:colOff>
      <xdr:row>127</xdr:row>
      <xdr:rowOff>19050</xdr:rowOff>
    </xdr:to>
    <xdr:sp>
      <xdr:nvSpPr>
        <xdr:cNvPr id="117" name="Rectangle 366"/>
        <xdr:cNvSpPr>
          <a:spLocks/>
        </xdr:cNvSpPr>
      </xdr:nvSpPr>
      <xdr:spPr>
        <a:xfrm>
          <a:off x="7934325" y="14361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128</xdr:row>
      <xdr:rowOff>9525</xdr:rowOff>
    </xdr:from>
    <xdr:to>
      <xdr:col>10</xdr:col>
      <xdr:colOff>19050</xdr:colOff>
      <xdr:row>128</xdr:row>
      <xdr:rowOff>19050</xdr:rowOff>
    </xdr:to>
    <xdr:sp>
      <xdr:nvSpPr>
        <xdr:cNvPr id="118" name="Rectangle 391"/>
        <xdr:cNvSpPr>
          <a:spLocks/>
        </xdr:cNvSpPr>
      </xdr:nvSpPr>
      <xdr:spPr>
        <a:xfrm>
          <a:off x="7934325" y="14483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129</xdr:row>
      <xdr:rowOff>9525</xdr:rowOff>
    </xdr:from>
    <xdr:to>
      <xdr:col>10</xdr:col>
      <xdr:colOff>19050</xdr:colOff>
      <xdr:row>129</xdr:row>
      <xdr:rowOff>19050</xdr:rowOff>
    </xdr:to>
    <xdr:sp>
      <xdr:nvSpPr>
        <xdr:cNvPr id="119" name="Rectangle 406"/>
        <xdr:cNvSpPr>
          <a:spLocks/>
        </xdr:cNvSpPr>
      </xdr:nvSpPr>
      <xdr:spPr>
        <a:xfrm>
          <a:off x="7934325" y="14605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130</xdr:row>
      <xdr:rowOff>9525</xdr:rowOff>
    </xdr:from>
    <xdr:to>
      <xdr:col>10</xdr:col>
      <xdr:colOff>19050</xdr:colOff>
      <xdr:row>130</xdr:row>
      <xdr:rowOff>19050</xdr:rowOff>
    </xdr:to>
    <xdr:sp>
      <xdr:nvSpPr>
        <xdr:cNvPr id="120" name="Rectangle 437"/>
        <xdr:cNvSpPr>
          <a:spLocks/>
        </xdr:cNvSpPr>
      </xdr:nvSpPr>
      <xdr:spPr>
        <a:xfrm>
          <a:off x="7934325" y="14727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9525</xdr:rowOff>
    </xdr:from>
    <xdr:to>
      <xdr:col>10</xdr:col>
      <xdr:colOff>19050</xdr:colOff>
      <xdr:row>131</xdr:row>
      <xdr:rowOff>19050</xdr:rowOff>
    </xdr:to>
    <xdr:sp>
      <xdr:nvSpPr>
        <xdr:cNvPr id="121" name="Rectangle 457"/>
        <xdr:cNvSpPr>
          <a:spLocks/>
        </xdr:cNvSpPr>
      </xdr:nvSpPr>
      <xdr:spPr>
        <a:xfrm>
          <a:off x="7934325" y="14849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132</xdr:row>
      <xdr:rowOff>9525</xdr:rowOff>
    </xdr:from>
    <xdr:to>
      <xdr:col>10</xdr:col>
      <xdr:colOff>19050</xdr:colOff>
      <xdr:row>132</xdr:row>
      <xdr:rowOff>19050</xdr:rowOff>
    </xdr:to>
    <xdr:sp>
      <xdr:nvSpPr>
        <xdr:cNvPr id="122" name="Rectangle 476"/>
        <xdr:cNvSpPr>
          <a:spLocks/>
        </xdr:cNvSpPr>
      </xdr:nvSpPr>
      <xdr:spPr>
        <a:xfrm>
          <a:off x="7934325" y="14971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9525</xdr:rowOff>
    </xdr:from>
    <xdr:to>
      <xdr:col>10</xdr:col>
      <xdr:colOff>19050</xdr:colOff>
      <xdr:row>133</xdr:row>
      <xdr:rowOff>19050</xdr:rowOff>
    </xdr:to>
    <xdr:sp>
      <xdr:nvSpPr>
        <xdr:cNvPr id="123" name="Rectangle 486"/>
        <xdr:cNvSpPr>
          <a:spLocks/>
        </xdr:cNvSpPr>
      </xdr:nvSpPr>
      <xdr:spPr>
        <a:xfrm>
          <a:off x="7934325" y="15093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134</xdr:row>
      <xdr:rowOff>9525</xdr:rowOff>
    </xdr:from>
    <xdr:to>
      <xdr:col>10</xdr:col>
      <xdr:colOff>19050</xdr:colOff>
      <xdr:row>134</xdr:row>
      <xdr:rowOff>19050</xdr:rowOff>
    </xdr:to>
    <xdr:sp>
      <xdr:nvSpPr>
        <xdr:cNvPr id="124" name="Rectangle 491"/>
        <xdr:cNvSpPr>
          <a:spLocks/>
        </xdr:cNvSpPr>
      </xdr:nvSpPr>
      <xdr:spPr>
        <a:xfrm>
          <a:off x="7934325" y="15215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135</xdr:row>
      <xdr:rowOff>9525</xdr:rowOff>
    </xdr:from>
    <xdr:to>
      <xdr:col>10</xdr:col>
      <xdr:colOff>19050</xdr:colOff>
      <xdr:row>135</xdr:row>
      <xdr:rowOff>19050</xdr:rowOff>
    </xdr:to>
    <xdr:sp>
      <xdr:nvSpPr>
        <xdr:cNvPr id="125" name="Rectangle 517"/>
        <xdr:cNvSpPr>
          <a:spLocks/>
        </xdr:cNvSpPr>
      </xdr:nvSpPr>
      <xdr:spPr>
        <a:xfrm>
          <a:off x="7934325" y="15337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9525</xdr:rowOff>
    </xdr:from>
    <xdr:to>
      <xdr:col>10</xdr:col>
      <xdr:colOff>19050</xdr:colOff>
      <xdr:row>136</xdr:row>
      <xdr:rowOff>19050</xdr:rowOff>
    </xdr:to>
    <xdr:sp>
      <xdr:nvSpPr>
        <xdr:cNvPr id="126" name="Rectangle 525"/>
        <xdr:cNvSpPr>
          <a:spLocks/>
        </xdr:cNvSpPr>
      </xdr:nvSpPr>
      <xdr:spPr>
        <a:xfrm>
          <a:off x="7934325" y="15459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137</xdr:row>
      <xdr:rowOff>9525</xdr:rowOff>
    </xdr:from>
    <xdr:to>
      <xdr:col>10</xdr:col>
      <xdr:colOff>19050</xdr:colOff>
      <xdr:row>137</xdr:row>
      <xdr:rowOff>19050</xdr:rowOff>
    </xdr:to>
    <xdr:sp>
      <xdr:nvSpPr>
        <xdr:cNvPr id="127" name="Rectangle 529"/>
        <xdr:cNvSpPr>
          <a:spLocks/>
        </xdr:cNvSpPr>
      </xdr:nvSpPr>
      <xdr:spPr>
        <a:xfrm>
          <a:off x="7934325" y="15580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138</xdr:row>
      <xdr:rowOff>9525</xdr:rowOff>
    </xdr:from>
    <xdr:to>
      <xdr:col>10</xdr:col>
      <xdr:colOff>19050</xdr:colOff>
      <xdr:row>138</xdr:row>
      <xdr:rowOff>19050</xdr:rowOff>
    </xdr:to>
    <xdr:sp>
      <xdr:nvSpPr>
        <xdr:cNvPr id="128" name="Rectangle 535"/>
        <xdr:cNvSpPr>
          <a:spLocks/>
        </xdr:cNvSpPr>
      </xdr:nvSpPr>
      <xdr:spPr>
        <a:xfrm>
          <a:off x="7934325" y="15702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139</xdr:row>
      <xdr:rowOff>9525</xdr:rowOff>
    </xdr:from>
    <xdr:to>
      <xdr:col>10</xdr:col>
      <xdr:colOff>19050</xdr:colOff>
      <xdr:row>139</xdr:row>
      <xdr:rowOff>19050</xdr:rowOff>
    </xdr:to>
    <xdr:sp>
      <xdr:nvSpPr>
        <xdr:cNvPr id="129" name="Rectangle 539"/>
        <xdr:cNvSpPr>
          <a:spLocks/>
        </xdr:cNvSpPr>
      </xdr:nvSpPr>
      <xdr:spPr>
        <a:xfrm>
          <a:off x="7934325" y="15824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140</xdr:row>
      <xdr:rowOff>9525</xdr:rowOff>
    </xdr:from>
    <xdr:to>
      <xdr:col>10</xdr:col>
      <xdr:colOff>19050</xdr:colOff>
      <xdr:row>140</xdr:row>
      <xdr:rowOff>19050</xdr:rowOff>
    </xdr:to>
    <xdr:sp>
      <xdr:nvSpPr>
        <xdr:cNvPr id="130" name="Rectangle 552"/>
        <xdr:cNvSpPr>
          <a:spLocks/>
        </xdr:cNvSpPr>
      </xdr:nvSpPr>
      <xdr:spPr>
        <a:xfrm>
          <a:off x="7934325" y="15946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141</xdr:row>
      <xdr:rowOff>9525</xdr:rowOff>
    </xdr:from>
    <xdr:to>
      <xdr:col>10</xdr:col>
      <xdr:colOff>19050</xdr:colOff>
      <xdr:row>141</xdr:row>
      <xdr:rowOff>19050</xdr:rowOff>
    </xdr:to>
    <xdr:sp>
      <xdr:nvSpPr>
        <xdr:cNvPr id="131" name="Rectangle 558"/>
        <xdr:cNvSpPr>
          <a:spLocks/>
        </xdr:cNvSpPr>
      </xdr:nvSpPr>
      <xdr:spPr>
        <a:xfrm>
          <a:off x="7934325" y="16068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142</xdr:row>
      <xdr:rowOff>9525</xdr:rowOff>
    </xdr:from>
    <xdr:to>
      <xdr:col>10</xdr:col>
      <xdr:colOff>19050</xdr:colOff>
      <xdr:row>142</xdr:row>
      <xdr:rowOff>19050</xdr:rowOff>
    </xdr:to>
    <xdr:sp>
      <xdr:nvSpPr>
        <xdr:cNvPr id="132" name="Rectangle 586"/>
        <xdr:cNvSpPr>
          <a:spLocks/>
        </xdr:cNvSpPr>
      </xdr:nvSpPr>
      <xdr:spPr>
        <a:xfrm>
          <a:off x="7934325" y="16190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143</xdr:row>
      <xdr:rowOff>9525</xdr:rowOff>
    </xdr:from>
    <xdr:to>
      <xdr:col>10</xdr:col>
      <xdr:colOff>19050</xdr:colOff>
      <xdr:row>143</xdr:row>
      <xdr:rowOff>19050</xdr:rowOff>
    </xdr:to>
    <xdr:sp>
      <xdr:nvSpPr>
        <xdr:cNvPr id="133" name="Rectangle 587"/>
        <xdr:cNvSpPr>
          <a:spLocks/>
        </xdr:cNvSpPr>
      </xdr:nvSpPr>
      <xdr:spPr>
        <a:xfrm>
          <a:off x="7934325" y="16312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144</xdr:row>
      <xdr:rowOff>9525</xdr:rowOff>
    </xdr:from>
    <xdr:to>
      <xdr:col>10</xdr:col>
      <xdr:colOff>19050</xdr:colOff>
      <xdr:row>144</xdr:row>
      <xdr:rowOff>19050</xdr:rowOff>
    </xdr:to>
    <xdr:sp>
      <xdr:nvSpPr>
        <xdr:cNvPr id="134" name="Rectangle 643"/>
        <xdr:cNvSpPr>
          <a:spLocks/>
        </xdr:cNvSpPr>
      </xdr:nvSpPr>
      <xdr:spPr>
        <a:xfrm>
          <a:off x="7934325" y="16434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145</xdr:row>
      <xdr:rowOff>9525</xdr:rowOff>
    </xdr:from>
    <xdr:to>
      <xdr:col>10</xdr:col>
      <xdr:colOff>19050</xdr:colOff>
      <xdr:row>145</xdr:row>
      <xdr:rowOff>19050</xdr:rowOff>
    </xdr:to>
    <xdr:sp>
      <xdr:nvSpPr>
        <xdr:cNvPr id="135" name="Rectangle 716"/>
        <xdr:cNvSpPr>
          <a:spLocks/>
        </xdr:cNvSpPr>
      </xdr:nvSpPr>
      <xdr:spPr>
        <a:xfrm>
          <a:off x="7934325" y="16556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146</xdr:row>
      <xdr:rowOff>9525</xdr:rowOff>
    </xdr:from>
    <xdr:to>
      <xdr:col>10</xdr:col>
      <xdr:colOff>19050</xdr:colOff>
      <xdr:row>146</xdr:row>
      <xdr:rowOff>19050</xdr:rowOff>
    </xdr:to>
    <xdr:sp>
      <xdr:nvSpPr>
        <xdr:cNvPr id="136" name="Rectangle 762"/>
        <xdr:cNvSpPr>
          <a:spLocks/>
        </xdr:cNvSpPr>
      </xdr:nvSpPr>
      <xdr:spPr>
        <a:xfrm>
          <a:off x="7934325" y="16678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147</xdr:row>
      <xdr:rowOff>9525</xdr:rowOff>
    </xdr:from>
    <xdr:to>
      <xdr:col>10</xdr:col>
      <xdr:colOff>19050</xdr:colOff>
      <xdr:row>147</xdr:row>
      <xdr:rowOff>19050</xdr:rowOff>
    </xdr:to>
    <xdr:sp>
      <xdr:nvSpPr>
        <xdr:cNvPr id="137" name="Rectangle 776"/>
        <xdr:cNvSpPr>
          <a:spLocks/>
        </xdr:cNvSpPr>
      </xdr:nvSpPr>
      <xdr:spPr>
        <a:xfrm>
          <a:off x="7934325" y="16800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148</xdr:row>
      <xdr:rowOff>9525</xdr:rowOff>
    </xdr:from>
    <xdr:to>
      <xdr:col>10</xdr:col>
      <xdr:colOff>19050</xdr:colOff>
      <xdr:row>148</xdr:row>
      <xdr:rowOff>19050</xdr:rowOff>
    </xdr:to>
    <xdr:sp>
      <xdr:nvSpPr>
        <xdr:cNvPr id="138" name="Rectangle 805"/>
        <xdr:cNvSpPr>
          <a:spLocks/>
        </xdr:cNvSpPr>
      </xdr:nvSpPr>
      <xdr:spPr>
        <a:xfrm>
          <a:off x="7934325" y="16922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149</xdr:row>
      <xdr:rowOff>9525</xdr:rowOff>
    </xdr:from>
    <xdr:to>
      <xdr:col>10</xdr:col>
      <xdr:colOff>19050</xdr:colOff>
      <xdr:row>149</xdr:row>
      <xdr:rowOff>19050</xdr:rowOff>
    </xdr:to>
    <xdr:sp>
      <xdr:nvSpPr>
        <xdr:cNvPr id="139" name="Rectangle 810"/>
        <xdr:cNvSpPr>
          <a:spLocks/>
        </xdr:cNvSpPr>
      </xdr:nvSpPr>
      <xdr:spPr>
        <a:xfrm>
          <a:off x="7934325" y="17044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150</xdr:row>
      <xdr:rowOff>9525</xdr:rowOff>
    </xdr:from>
    <xdr:to>
      <xdr:col>10</xdr:col>
      <xdr:colOff>19050</xdr:colOff>
      <xdr:row>150</xdr:row>
      <xdr:rowOff>19050</xdr:rowOff>
    </xdr:to>
    <xdr:sp>
      <xdr:nvSpPr>
        <xdr:cNvPr id="140" name="Rectangle 663"/>
        <xdr:cNvSpPr>
          <a:spLocks/>
        </xdr:cNvSpPr>
      </xdr:nvSpPr>
      <xdr:spPr>
        <a:xfrm>
          <a:off x="7934325" y="17165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151</xdr:row>
      <xdr:rowOff>9525</xdr:rowOff>
    </xdr:from>
    <xdr:to>
      <xdr:col>10</xdr:col>
      <xdr:colOff>19050</xdr:colOff>
      <xdr:row>151</xdr:row>
      <xdr:rowOff>19050</xdr:rowOff>
    </xdr:to>
    <xdr:sp>
      <xdr:nvSpPr>
        <xdr:cNvPr id="141" name="Rectangle 714"/>
        <xdr:cNvSpPr>
          <a:spLocks/>
        </xdr:cNvSpPr>
      </xdr:nvSpPr>
      <xdr:spPr>
        <a:xfrm>
          <a:off x="7934325" y="17287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152</xdr:row>
      <xdr:rowOff>9525</xdr:rowOff>
    </xdr:from>
    <xdr:to>
      <xdr:col>10</xdr:col>
      <xdr:colOff>19050</xdr:colOff>
      <xdr:row>152</xdr:row>
      <xdr:rowOff>19050</xdr:rowOff>
    </xdr:to>
    <xdr:sp>
      <xdr:nvSpPr>
        <xdr:cNvPr id="142" name="Rectangle 859"/>
        <xdr:cNvSpPr>
          <a:spLocks/>
        </xdr:cNvSpPr>
      </xdr:nvSpPr>
      <xdr:spPr>
        <a:xfrm>
          <a:off x="7934325" y="17409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153</xdr:row>
      <xdr:rowOff>9525</xdr:rowOff>
    </xdr:from>
    <xdr:to>
      <xdr:col>10</xdr:col>
      <xdr:colOff>19050</xdr:colOff>
      <xdr:row>153</xdr:row>
      <xdr:rowOff>19050</xdr:rowOff>
    </xdr:to>
    <xdr:sp>
      <xdr:nvSpPr>
        <xdr:cNvPr id="143" name="Rectangle 908"/>
        <xdr:cNvSpPr>
          <a:spLocks/>
        </xdr:cNvSpPr>
      </xdr:nvSpPr>
      <xdr:spPr>
        <a:xfrm>
          <a:off x="7934325" y="17531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9525</xdr:rowOff>
    </xdr:from>
    <xdr:to>
      <xdr:col>10</xdr:col>
      <xdr:colOff>19050</xdr:colOff>
      <xdr:row>154</xdr:row>
      <xdr:rowOff>19050</xdr:rowOff>
    </xdr:to>
    <xdr:sp>
      <xdr:nvSpPr>
        <xdr:cNvPr id="144" name="Rectangle 986"/>
        <xdr:cNvSpPr>
          <a:spLocks/>
        </xdr:cNvSpPr>
      </xdr:nvSpPr>
      <xdr:spPr>
        <a:xfrm>
          <a:off x="7934325" y="17653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155</xdr:row>
      <xdr:rowOff>9525</xdr:rowOff>
    </xdr:from>
    <xdr:to>
      <xdr:col>10</xdr:col>
      <xdr:colOff>19050</xdr:colOff>
      <xdr:row>155</xdr:row>
      <xdr:rowOff>19050</xdr:rowOff>
    </xdr:to>
    <xdr:sp>
      <xdr:nvSpPr>
        <xdr:cNvPr id="145" name="Rectangle 70"/>
        <xdr:cNvSpPr>
          <a:spLocks/>
        </xdr:cNvSpPr>
      </xdr:nvSpPr>
      <xdr:spPr>
        <a:xfrm>
          <a:off x="7934325" y="17775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156</xdr:row>
      <xdr:rowOff>9525</xdr:rowOff>
    </xdr:from>
    <xdr:to>
      <xdr:col>10</xdr:col>
      <xdr:colOff>19050</xdr:colOff>
      <xdr:row>156</xdr:row>
      <xdr:rowOff>19050</xdr:rowOff>
    </xdr:to>
    <xdr:sp>
      <xdr:nvSpPr>
        <xdr:cNvPr id="146" name="Rectangle 106"/>
        <xdr:cNvSpPr>
          <a:spLocks/>
        </xdr:cNvSpPr>
      </xdr:nvSpPr>
      <xdr:spPr>
        <a:xfrm>
          <a:off x="7934325" y="17897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157</xdr:row>
      <xdr:rowOff>9525</xdr:rowOff>
    </xdr:from>
    <xdr:to>
      <xdr:col>10</xdr:col>
      <xdr:colOff>19050</xdr:colOff>
      <xdr:row>157</xdr:row>
      <xdr:rowOff>19050</xdr:rowOff>
    </xdr:to>
    <xdr:sp>
      <xdr:nvSpPr>
        <xdr:cNvPr id="147" name="Rectangle 115"/>
        <xdr:cNvSpPr>
          <a:spLocks/>
        </xdr:cNvSpPr>
      </xdr:nvSpPr>
      <xdr:spPr>
        <a:xfrm>
          <a:off x="7934325" y="18019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158</xdr:row>
      <xdr:rowOff>9525</xdr:rowOff>
    </xdr:from>
    <xdr:to>
      <xdr:col>10</xdr:col>
      <xdr:colOff>19050</xdr:colOff>
      <xdr:row>158</xdr:row>
      <xdr:rowOff>19050</xdr:rowOff>
    </xdr:to>
    <xdr:sp>
      <xdr:nvSpPr>
        <xdr:cNvPr id="148" name="Rectangle 118"/>
        <xdr:cNvSpPr>
          <a:spLocks/>
        </xdr:cNvSpPr>
      </xdr:nvSpPr>
      <xdr:spPr>
        <a:xfrm>
          <a:off x="7934325" y="18141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159</xdr:row>
      <xdr:rowOff>9525</xdr:rowOff>
    </xdr:from>
    <xdr:to>
      <xdr:col>10</xdr:col>
      <xdr:colOff>19050</xdr:colOff>
      <xdr:row>159</xdr:row>
      <xdr:rowOff>19050</xdr:rowOff>
    </xdr:to>
    <xdr:sp>
      <xdr:nvSpPr>
        <xdr:cNvPr id="149" name="Rectangle 124"/>
        <xdr:cNvSpPr>
          <a:spLocks/>
        </xdr:cNvSpPr>
      </xdr:nvSpPr>
      <xdr:spPr>
        <a:xfrm>
          <a:off x="7934325" y="18263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160</xdr:row>
      <xdr:rowOff>9525</xdr:rowOff>
    </xdr:from>
    <xdr:to>
      <xdr:col>10</xdr:col>
      <xdr:colOff>19050</xdr:colOff>
      <xdr:row>160</xdr:row>
      <xdr:rowOff>19050</xdr:rowOff>
    </xdr:to>
    <xdr:sp>
      <xdr:nvSpPr>
        <xdr:cNvPr id="150" name="Rectangle 128"/>
        <xdr:cNvSpPr>
          <a:spLocks/>
        </xdr:cNvSpPr>
      </xdr:nvSpPr>
      <xdr:spPr>
        <a:xfrm>
          <a:off x="7934325" y="183851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161</xdr:row>
      <xdr:rowOff>9525</xdr:rowOff>
    </xdr:from>
    <xdr:to>
      <xdr:col>10</xdr:col>
      <xdr:colOff>19050</xdr:colOff>
      <xdr:row>161</xdr:row>
      <xdr:rowOff>19050</xdr:rowOff>
    </xdr:to>
    <xdr:sp>
      <xdr:nvSpPr>
        <xdr:cNvPr id="151" name="Rectangle 219"/>
        <xdr:cNvSpPr>
          <a:spLocks/>
        </xdr:cNvSpPr>
      </xdr:nvSpPr>
      <xdr:spPr>
        <a:xfrm>
          <a:off x="7934325" y="185070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162</xdr:row>
      <xdr:rowOff>9525</xdr:rowOff>
    </xdr:from>
    <xdr:to>
      <xdr:col>10</xdr:col>
      <xdr:colOff>19050</xdr:colOff>
      <xdr:row>162</xdr:row>
      <xdr:rowOff>19050</xdr:rowOff>
    </xdr:to>
    <xdr:sp>
      <xdr:nvSpPr>
        <xdr:cNvPr id="152" name="Rectangle 291"/>
        <xdr:cNvSpPr>
          <a:spLocks/>
        </xdr:cNvSpPr>
      </xdr:nvSpPr>
      <xdr:spPr>
        <a:xfrm>
          <a:off x="7934325" y="186289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9525</xdr:rowOff>
    </xdr:from>
    <xdr:to>
      <xdr:col>10</xdr:col>
      <xdr:colOff>19050</xdr:colOff>
      <xdr:row>163</xdr:row>
      <xdr:rowOff>19050</xdr:rowOff>
    </xdr:to>
    <xdr:sp>
      <xdr:nvSpPr>
        <xdr:cNvPr id="153" name="Rectangle 444"/>
        <xdr:cNvSpPr>
          <a:spLocks/>
        </xdr:cNvSpPr>
      </xdr:nvSpPr>
      <xdr:spPr>
        <a:xfrm>
          <a:off x="7934325" y="187509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164</xdr:row>
      <xdr:rowOff>9525</xdr:rowOff>
    </xdr:from>
    <xdr:to>
      <xdr:col>10</xdr:col>
      <xdr:colOff>19050</xdr:colOff>
      <xdr:row>164</xdr:row>
      <xdr:rowOff>19050</xdr:rowOff>
    </xdr:to>
    <xdr:sp>
      <xdr:nvSpPr>
        <xdr:cNvPr id="154" name="Rectangle 468"/>
        <xdr:cNvSpPr>
          <a:spLocks/>
        </xdr:cNvSpPr>
      </xdr:nvSpPr>
      <xdr:spPr>
        <a:xfrm>
          <a:off x="7934325" y="188728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165</xdr:row>
      <xdr:rowOff>9525</xdr:rowOff>
    </xdr:from>
    <xdr:to>
      <xdr:col>10</xdr:col>
      <xdr:colOff>19050</xdr:colOff>
      <xdr:row>165</xdr:row>
      <xdr:rowOff>19050</xdr:rowOff>
    </xdr:to>
    <xdr:sp>
      <xdr:nvSpPr>
        <xdr:cNvPr id="155" name="Rectangle 504"/>
        <xdr:cNvSpPr>
          <a:spLocks/>
        </xdr:cNvSpPr>
      </xdr:nvSpPr>
      <xdr:spPr>
        <a:xfrm>
          <a:off x="7934325" y="189947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166</xdr:row>
      <xdr:rowOff>9525</xdr:rowOff>
    </xdr:from>
    <xdr:to>
      <xdr:col>10</xdr:col>
      <xdr:colOff>19050</xdr:colOff>
      <xdr:row>166</xdr:row>
      <xdr:rowOff>19050</xdr:rowOff>
    </xdr:to>
    <xdr:sp>
      <xdr:nvSpPr>
        <xdr:cNvPr id="156" name="Rectangle 517"/>
        <xdr:cNvSpPr>
          <a:spLocks/>
        </xdr:cNvSpPr>
      </xdr:nvSpPr>
      <xdr:spPr>
        <a:xfrm>
          <a:off x="7934325" y="191166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167</xdr:row>
      <xdr:rowOff>9525</xdr:rowOff>
    </xdr:from>
    <xdr:to>
      <xdr:col>10</xdr:col>
      <xdr:colOff>19050</xdr:colOff>
      <xdr:row>167</xdr:row>
      <xdr:rowOff>19050</xdr:rowOff>
    </xdr:to>
    <xdr:sp>
      <xdr:nvSpPr>
        <xdr:cNvPr id="157" name="Rectangle 610"/>
        <xdr:cNvSpPr>
          <a:spLocks/>
        </xdr:cNvSpPr>
      </xdr:nvSpPr>
      <xdr:spPr>
        <a:xfrm>
          <a:off x="7934325" y="192385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168</xdr:row>
      <xdr:rowOff>9525</xdr:rowOff>
    </xdr:from>
    <xdr:to>
      <xdr:col>10</xdr:col>
      <xdr:colOff>19050</xdr:colOff>
      <xdr:row>168</xdr:row>
      <xdr:rowOff>19050</xdr:rowOff>
    </xdr:to>
    <xdr:sp>
      <xdr:nvSpPr>
        <xdr:cNvPr id="158" name="Rectangle 760"/>
        <xdr:cNvSpPr>
          <a:spLocks/>
        </xdr:cNvSpPr>
      </xdr:nvSpPr>
      <xdr:spPr>
        <a:xfrm>
          <a:off x="7934325" y="193605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169</xdr:row>
      <xdr:rowOff>9525</xdr:rowOff>
    </xdr:from>
    <xdr:to>
      <xdr:col>10</xdr:col>
      <xdr:colOff>19050</xdr:colOff>
      <xdr:row>169</xdr:row>
      <xdr:rowOff>19050</xdr:rowOff>
    </xdr:to>
    <xdr:sp>
      <xdr:nvSpPr>
        <xdr:cNvPr id="159" name="Rectangle 859"/>
        <xdr:cNvSpPr>
          <a:spLocks/>
        </xdr:cNvSpPr>
      </xdr:nvSpPr>
      <xdr:spPr>
        <a:xfrm>
          <a:off x="7934325" y="194824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170</xdr:row>
      <xdr:rowOff>9525</xdr:rowOff>
    </xdr:from>
    <xdr:to>
      <xdr:col>10</xdr:col>
      <xdr:colOff>19050</xdr:colOff>
      <xdr:row>170</xdr:row>
      <xdr:rowOff>19050</xdr:rowOff>
    </xdr:to>
    <xdr:sp>
      <xdr:nvSpPr>
        <xdr:cNvPr id="160" name="Rectangle 879"/>
        <xdr:cNvSpPr>
          <a:spLocks/>
        </xdr:cNvSpPr>
      </xdr:nvSpPr>
      <xdr:spPr>
        <a:xfrm>
          <a:off x="7934325" y="196043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171</xdr:row>
      <xdr:rowOff>9525</xdr:rowOff>
    </xdr:from>
    <xdr:to>
      <xdr:col>10</xdr:col>
      <xdr:colOff>19050</xdr:colOff>
      <xdr:row>171</xdr:row>
      <xdr:rowOff>19050</xdr:rowOff>
    </xdr:to>
    <xdr:sp>
      <xdr:nvSpPr>
        <xdr:cNvPr id="161" name="Rectangle 880"/>
        <xdr:cNvSpPr>
          <a:spLocks/>
        </xdr:cNvSpPr>
      </xdr:nvSpPr>
      <xdr:spPr>
        <a:xfrm>
          <a:off x="7934325" y="197262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172</xdr:row>
      <xdr:rowOff>9525</xdr:rowOff>
    </xdr:from>
    <xdr:to>
      <xdr:col>10</xdr:col>
      <xdr:colOff>19050</xdr:colOff>
      <xdr:row>172</xdr:row>
      <xdr:rowOff>19050</xdr:rowOff>
    </xdr:to>
    <xdr:sp>
      <xdr:nvSpPr>
        <xdr:cNvPr id="162" name="Rectangle 919"/>
        <xdr:cNvSpPr>
          <a:spLocks/>
        </xdr:cNvSpPr>
      </xdr:nvSpPr>
      <xdr:spPr>
        <a:xfrm>
          <a:off x="7934325" y="198481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173</xdr:row>
      <xdr:rowOff>9525</xdr:rowOff>
    </xdr:from>
    <xdr:to>
      <xdr:col>10</xdr:col>
      <xdr:colOff>19050</xdr:colOff>
      <xdr:row>173</xdr:row>
      <xdr:rowOff>19050</xdr:rowOff>
    </xdr:to>
    <xdr:sp>
      <xdr:nvSpPr>
        <xdr:cNvPr id="163" name="Rectangle 922"/>
        <xdr:cNvSpPr>
          <a:spLocks/>
        </xdr:cNvSpPr>
      </xdr:nvSpPr>
      <xdr:spPr>
        <a:xfrm>
          <a:off x="7934325" y="199701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174</xdr:row>
      <xdr:rowOff>9525</xdr:rowOff>
    </xdr:from>
    <xdr:to>
      <xdr:col>10</xdr:col>
      <xdr:colOff>19050</xdr:colOff>
      <xdr:row>174</xdr:row>
      <xdr:rowOff>19050</xdr:rowOff>
    </xdr:to>
    <xdr:sp>
      <xdr:nvSpPr>
        <xdr:cNvPr id="164" name="Rectangle 937"/>
        <xdr:cNvSpPr>
          <a:spLocks/>
        </xdr:cNvSpPr>
      </xdr:nvSpPr>
      <xdr:spPr>
        <a:xfrm>
          <a:off x="7934325" y="200920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175</xdr:row>
      <xdr:rowOff>9525</xdr:rowOff>
    </xdr:from>
    <xdr:to>
      <xdr:col>10</xdr:col>
      <xdr:colOff>19050</xdr:colOff>
      <xdr:row>175</xdr:row>
      <xdr:rowOff>19050</xdr:rowOff>
    </xdr:to>
    <xdr:sp>
      <xdr:nvSpPr>
        <xdr:cNvPr id="165" name="Rectangle 961"/>
        <xdr:cNvSpPr>
          <a:spLocks/>
        </xdr:cNvSpPr>
      </xdr:nvSpPr>
      <xdr:spPr>
        <a:xfrm>
          <a:off x="7934325" y="202139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176</xdr:row>
      <xdr:rowOff>9525</xdr:rowOff>
    </xdr:from>
    <xdr:to>
      <xdr:col>10</xdr:col>
      <xdr:colOff>19050</xdr:colOff>
      <xdr:row>176</xdr:row>
      <xdr:rowOff>19050</xdr:rowOff>
    </xdr:to>
    <xdr:sp>
      <xdr:nvSpPr>
        <xdr:cNvPr id="166" name="Rectangle 57"/>
        <xdr:cNvSpPr>
          <a:spLocks/>
        </xdr:cNvSpPr>
      </xdr:nvSpPr>
      <xdr:spPr>
        <a:xfrm>
          <a:off x="7934325" y="203358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177</xdr:row>
      <xdr:rowOff>9525</xdr:rowOff>
    </xdr:from>
    <xdr:to>
      <xdr:col>10</xdr:col>
      <xdr:colOff>19050</xdr:colOff>
      <xdr:row>177</xdr:row>
      <xdr:rowOff>19050</xdr:rowOff>
    </xdr:to>
    <xdr:sp>
      <xdr:nvSpPr>
        <xdr:cNvPr id="167" name="Rectangle 98"/>
        <xdr:cNvSpPr>
          <a:spLocks/>
        </xdr:cNvSpPr>
      </xdr:nvSpPr>
      <xdr:spPr>
        <a:xfrm>
          <a:off x="7934325" y="204577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178</xdr:row>
      <xdr:rowOff>9525</xdr:rowOff>
    </xdr:from>
    <xdr:to>
      <xdr:col>10</xdr:col>
      <xdr:colOff>19050</xdr:colOff>
      <xdr:row>178</xdr:row>
      <xdr:rowOff>19050</xdr:rowOff>
    </xdr:to>
    <xdr:sp>
      <xdr:nvSpPr>
        <xdr:cNvPr id="168" name="Rectangle 122"/>
        <xdr:cNvSpPr>
          <a:spLocks/>
        </xdr:cNvSpPr>
      </xdr:nvSpPr>
      <xdr:spPr>
        <a:xfrm>
          <a:off x="7934325" y="205797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179</xdr:row>
      <xdr:rowOff>9525</xdr:rowOff>
    </xdr:from>
    <xdr:to>
      <xdr:col>10</xdr:col>
      <xdr:colOff>19050</xdr:colOff>
      <xdr:row>179</xdr:row>
      <xdr:rowOff>19050</xdr:rowOff>
    </xdr:to>
    <xdr:sp>
      <xdr:nvSpPr>
        <xdr:cNvPr id="169" name="Rectangle 164"/>
        <xdr:cNvSpPr>
          <a:spLocks/>
        </xdr:cNvSpPr>
      </xdr:nvSpPr>
      <xdr:spPr>
        <a:xfrm>
          <a:off x="7934325" y="207016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180</xdr:row>
      <xdr:rowOff>9525</xdr:rowOff>
    </xdr:from>
    <xdr:to>
      <xdr:col>10</xdr:col>
      <xdr:colOff>19050</xdr:colOff>
      <xdr:row>180</xdr:row>
      <xdr:rowOff>19050</xdr:rowOff>
    </xdr:to>
    <xdr:sp>
      <xdr:nvSpPr>
        <xdr:cNvPr id="170" name="Rectangle 316"/>
        <xdr:cNvSpPr>
          <a:spLocks/>
        </xdr:cNvSpPr>
      </xdr:nvSpPr>
      <xdr:spPr>
        <a:xfrm>
          <a:off x="7934325" y="2082355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181</xdr:row>
      <xdr:rowOff>9525</xdr:rowOff>
    </xdr:from>
    <xdr:to>
      <xdr:col>10</xdr:col>
      <xdr:colOff>19050</xdr:colOff>
      <xdr:row>181</xdr:row>
      <xdr:rowOff>19050</xdr:rowOff>
    </xdr:to>
    <xdr:sp>
      <xdr:nvSpPr>
        <xdr:cNvPr id="171" name="Rectangle 362"/>
        <xdr:cNvSpPr>
          <a:spLocks/>
        </xdr:cNvSpPr>
      </xdr:nvSpPr>
      <xdr:spPr>
        <a:xfrm>
          <a:off x="7934325" y="2094547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182</xdr:row>
      <xdr:rowOff>9525</xdr:rowOff>
    </xdr:from>
    <xdr:to>
      <xdr:col>10</xdr:col>
      <xdr:colOff>19050</xdr:colOff>
      <xdr:row>182</xdr:row>
      <xdr:rowOff>19050</xdr:rowOff>
    </xdr:to>
    <xdr:sp>
      <xdr:nvSpPr>
        <xdr:cNvPr id="172" name="Rectangle 372"/>
        <xdr:cNvSpPr>
          <a:spLocks/>
        </xdr:cNvSpPr>
      </xdr:nvSpPr>
      <xdr:spPr>
        <a:xfrm>
          <a:off x="7934325" y="2106739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183</xdr:row>
      <xdr:rowOff>9525</xdr:rowOff>
    </xdr:from>
    <xdr:to>
      <xdr:col>10</xdr:col>
      <xdr:colOff>19050</xdr:colOff>
      <xdr:row>183</xdr:row>
      <xdr:rowOff>19050</xdr:rowOff>
    </xdr:to>
    <xdr:sp>
      <xdr:nvSpPr>
        <xdr:cNvPr id="173" name="Rectangle 444"/>
        <xdr:cNvSpPr>
          <a:spLocks/>
        </xdr:cNvSpPr>
      </xdr:nvSpPr>
      <xdr:spPr>
        <a:xfrm>
          <a:off x="7934325" y="2118931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184</xdr:row>
      <xdr:rowOff>9525</xdr:rowOff>
    </xdr:from>
    <xdr:to>
      <xdr:col>10</xdr:col>
      <xdr:colOff>19050</xdr:colOff>
      <xdr:row>184</xdr:row>
      <xdr:rowOff>19050</xdr:rowOff>
    </xdr:to>
    <xdr:sp>
      <xdr:nvSpPr>
        <xdr:cNvPr id="174" name="Rectangle 478"/>
        <xdr:cNvSpPr>
          <a:spLocks/>
        </xdr:cNvSpPr>
      </xdr:nvSpPr>
      <xdr:spPr>
        <a:xfrm>
          <a:off x="7934325" y="2131123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28575</xdr:rowOff>
    </xdr:from>
    <xdr:to>
      <xdr:col>10</xdr:col>
      <xdr:colOff>885825</xdr:colOff>
      <xdr:row>11</xdr:row>
      <xdr:rowOff>1209675</xdr:rowOff>
    </xdr:to>
    <xdr:pic>
      <xdr:nvPicPr>
        <xdr:cNvPr id="175" name="Изображение 1" descr="resizeПП-00166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209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</xdr:row>
      <xdr:rowOff>28575</xdr:rowOff>
    </xdr:from>
    <xdr:to>
      <xdr:col>10</xdr:col>
      <xdr:colOff>885825</xdr:colOff>
      <xdr:row>12</xdr:row>
      <xdr:rowOff>1209675</xdr:rowOff>
    </xdr:to>
    <xdr:pic>
      <xdr:nvPicPr>
        <xdr:cNvPr id="176" name="Изображение 2" descr="resizeПП-00135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3429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</xdr:row>
      <xdr:rowOff>28575</xdr:rowOff>
    </xdr:from>
    <xdr:to>
      <xdr:col>10</xdr:col>
      <xdr:colOff>885825</xdr:colOff>
      <xdr:row>13</xdr:row>
      <xdr:rowOff>1209675</xdr:rowOff>
    </xdr:to>
    <xdr:pic>
      <xdr:nvPicPr>
        <xdr:cNvPr id="177" name="Изображение 12" descr="resizeПП-00190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48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</xdr:row>
      <xdr:rowOff>28575</xdr:rowOff>
    </xdr:from>
    <xdr:to>
      <xdr:col>10</xdr:col>
      <xdr:colOff>1190625</xdr:colOff>
      <xdr:row>14</xdr:row>
      <xdr:rowOff>904875</xdr:rowOff>
    </xdr:to>
    <xdr:pic>
      <xdr:nvPicPr>
        <xdr:cNvPr id="178" name="Изображение 50" descr="resizeПП-00190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4325" y="58674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</xdr:row>
      <xdr:rowOff>28575</xdr:rowOff>
    </xdr:from>
    <xdr:to>
      <xdr:col>10</xdr:col>
      <xdr:colOff>885825</xdr:colOff>
      <xdr:row>15</xdr:row>
      <xdr:rowOff>1209675</xdr:rowOff>
    </xdr:to>
    <xdr:pic>
      <xdr:nvPicPr>
        <xdr:cNvPr id="179" name="Изображение 109" descr="resizeПП-001499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34325" y="7086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</xdr:row>
      <xdr:rowOff>28575</xdr:rowOff>
    </xdr:from>
    <xdr:to>
      <xdr:col>10</xdr:col>
      <xdr:colOff>885825</xdr:colOff>
      <xdr:row>16</xdr:row>
      <xdr:rowOff>1209675</xdr:rowOff>
    </xdr:to>
    <xdr:pic>
      <xdr:nvPicPr>
        <xdr:cNvPr id="180" name="Изображение 117" descr="resizeПП-001502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34325" y="830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</xdr:row>
      <xdr:rowOff>28575</xdr:rowOff>
    </xdr:from>
    <xdr:to>
      <xdr:col>10</xdr:col>
      <xdr:colOff>1190625</xdr:colOff>
      <xdr:row>17</xdr:row>
      <xdr:rowOff>1000125</xdr:rowOff>
    </xdr:to>
    <xdr:pic>
      <xdr:nvPicPr>
        <xdr:cNvPr id="181" name="Изображение 168" descr="resizeПП-00179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9525000"/>
          <a:ext cx="1181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</xdr:row>
      <xdr:rowOff>28575</xdr:rowOff>
    </xdr:from>
    <xdr:to>
      <xdr:col>10</xdr:col>
      <xdr:colOff>904875</xdr:colOff>
      <xdr:row>18</xdr:row>
      <xdr:rowOff>1209675</xdr:rowOff>
    </xdr:to>
    <xdr:pic>
      <xdr:nvPicPr>
        <xdr:cNvPr id="182" name="Изображение 176" descr="resizeПП-001791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34325" y="10744200"/>
          <a:ext cx="895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19</xdr:row>
      <xdr:rowOff>28575</xdr:rowOff>
    </xdr:from>
    <xdr:to>
      <xdr:col>10</xdr:col>
      <xdr:colOff>885825</xdr:colOff>
      <xdr:row>19</xdr:row>
      <xdr:rowOff>1209675</xdr:rowOff>
    </xdr:to>
    <xdr:pic>
      <xdr:nvPicPr>
        <xdr:cNvPr id="183" name="Изображение 211" descr="resizeПП-001736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34325" y="11963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20</xdr:row>
      <xdr:rowOff>28575</xdr:rowOff>
    </xdr:from>
    <xdr:to>
      <xdr:col>10</xdr:col>
      <xdr:colOff>885825</xdr:colOff>
      <xdr:row>20</xdr:row>
      <xdr:rowOff>1209675</xdr:rowOff>
    </xdr:to>
    <xdr:pic>
      <xdr:nvPicPr>
        <xdr:cNvPr id="184" name="Изображение 214" descr="resizeПП-001975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34325" y="13182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21</xdr:row>
      <xdr:rowOff>28575</xdr:rowOff>
    </xdr:from>
    <xdr:to>
      <xdr:col>10</xdr:col>
      <xdr:colOff>990600</xdr:colOff>
      <xdr:row>21</xdr:row>
      <xdr:rowOff>1209675</xdr:rowOff>
    </xdr:to>
    <xdr:pic>
      <xdr:nvPicPr>
        <xdr:cNvPr id="185" name="Изображение 223" descr="resizeПП-001735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34325" y="14401800"/>
          <a:ext cx="981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22</xdr:row>
      <xdr:rowOff>28575</xdr:rowOff>
    </xdr:from>
    <xdr:to>
      <xdr:col>10</xdr:col>
      <xdr:colOff>1057275</xdr:colOff>
      <xdr:row>22</xdr:row>
      <xdr:rowOff>1209675</xdr:rowOff>
    </xdr:to>
    <xdr:pic>
      <xdr:nvPicPr>
        <xdr:cNvPr id="186" name="Изображение 230" descr="resizeПП-001735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562100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23</xdr:row>
      <xdr:rowOff>28575</xdr:rowOff>
    </xdr:from>
    <xdr:to>
      <xdr:col>10</xdr:col>
      <xdr:colOff>1190625</xdr:colOff>
      <xdr:row>23</xdr:row>
      <xdr:rowOff>1133475</xdr:rowOff>
    </xdr:to>
    <xdr:pic>
      <xdr:nvPicPr>
        <xdr:cNvPr id="187" name="Изображение 232" descr="resizeПП-001736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34325" y="16840200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24</xdr:row>
      <xdr:rowOff>28575</xdr:rowOff>
    </xdr:from>
    <xdr:to>
      <xdr:col>10</xdr:col>
      <xdr:colOff>885825</xdr:colOff>
      <xdr:row>24</xdr:row>
      <xdr:rowOff>1209675</xdr:rowOff>
    </xdr:to>
    <xdr:pic>
      <xdr:nvPicPr>
        <xdr:cNvPr id="188" name="Изображение 237" descr="resizeПП-001638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34325" y="1805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25</xdr:row>
      <xdr:rowOff>28575</xdr:rowOff>
    </xdr:from>
    <xdr:to>
      <xdr:col>10</xdr:col>
      <xdr:colOff>885825</xdr:colOff>
      <xdr:row>25</xdr:row>
      <xdr:rowOff>1209675</xdr:rowOff>
    </xdr:to>
    <xdr:pic>
      <xdr:nvPicPr>
        <xdr:cNvPr id="189" name="Изображение 402" descr="resizeПП-001165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34325" y="1927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26</xdr:row>
      <xdr:rowOff>28575</xdr:rowOff>
    </xdr:from>
    <xdr:to>
      <xdr:col>10</xdr:col>
      <xdr:colOff>1190625</xdr:colOff>
      <xdr:row>26</xdr:row>
      <xdr:rowOff>1209675</xdr:rowOff>
    </xdr:to>
    <xdr:pic>
      <xdr:nvPicPr>
        <xdr:cNvPr id="190" name="Изображение 437" descr="resizeПП-0014460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34325" y="204978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27</xdr:row>
      <xdr:rowOff>28575</xdr:rowOff>
    </xdr:from>
    <xdr:to>
      <xdr:col>10</xdr:col>
      <xdr:colOff>1190625</xdr:colOff>
      <xdr:row>27</xdr:row>
      <xdr:rowOff>1209675</xdr:rowOff>
    </xdr:to>
    <xdr:pic>
      <xdr:nvPicPr>
        <xdr:cNvPr id="191" name="Изображение 452" descr="resizeПП-001446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34325" y="217170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28</xdr:row>
      <xdr:rowOff>28575</xdr:rowOff>
    </xdr:from>
    <xdr:to>
      <xdr:col>10</xdr:col>
      <xdr:colOff>1190625</xdr:colOff>
      <xdr:row>28</xdr:row>
      <xdr:rowOff>1209675</xdr:rowOff>
    </xdr:to>
    <xdr:pic>
      <xdr:nvPicPr>
        <xdr:cNvPr id="192" name="Изображение 516" descr="resizeПП-001449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34325" y="229362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29</xdr:row>
      <xdr:rowOff>28575</xdr:rowOff>
    </xdr:from>
    <xdr:to>
      <xdr:col>10</xdr:col>
      <xdr:colOff>1190625</xdr:colOff>
      <xdr:row>29</xdr:row>
      <xdr:rowOff>809625</xdr:rowOff>
    </xdr:to>
    <xdr:pic>
      <xdr:nvPicPr>
        <xdr:cNvPr id="193" name="Изображение 532" descr="resizeПП-001448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34325" y="2415540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1190625</xdr:colOff>
      <xdr:row>30</xdr:row>
      <xdr:rowOff>923925</xdr:rowOff>
    </xdr:to>
    <xdr:pic>
      <xdr:nvPicPr>
        <xdr:cNvPr id="194" name="Изображение 546" descr="resizeПП-001452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934325" y="2537460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31</xdr:row>
      <xdr:rowOff>28575</xdr:rowOff>
    </xdr:from>
    <xdr:to>
      <xdr:col>10</xdr:col>
      <xdr:colOff>1190625</xdr:colOff>
      <xdr:row>31</xdr:row>
      <xdr:rowOff>1209675</xdr:rowOff>
    </xdr:to>
    <xdr:pic>
      <xdr:nvPicPr>
        <xdr:cNvPr id="195" name="Изображение 550" descr="resizeПП-0014526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34325" y="265938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32</xdr:row>
      <xdr:rowOff>28575</xdr:rowOff>
    </xdr:from>
    <xdr:to>
      <xdr:col>10</xdr:col>
      <xdr:colOff>1190625</xdr:colOff>
      <xdr:row>32</xdr:row>
      <xdr:rowOff>619125</xdr:rowOff>
    </xdr:to>
    <xdr:pic>
      <xdr:nvPicPr>
        <xdr:cNvPr id="196" name="Изображение 560" descr="resizeПП-0014519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34325" y="2781300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33</xdr:row>
      <xdr:rowOff>28575</xdr:rowOff>
    </xdr:from>
    <xdr:to>
      <xdr:col>10</xdr:col>
      <xdr:colOff>1190625</xdr:colOff>
      <xdr:row>33</xdr:row>
      <xdr:rowOff>571500</xdr:rowOff>
    </xdr:to>
    <xdr:pic>
      <xdr:nvPicPr>
        <xdr:cNvPr id="197" name="Изображение 561" descr="resizeПП-001452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934325" y="29032200"/>
          <a:ext cx="1181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34</xdr:row>
      <xdr:rowOff>28575</xdr:rowOff>
    </xdr:from>
    <xdr:to>
      <xdr:col>10</xdr:col>
      <xdr:colOff>1190625</xdr:colOff>
      <xdr:row>34</xdr:row>
      <xdr:rowOff>857250</xdr:rowOff>
    </xdr:to>
    <xdr:pic>
      <xdr:nvPicPr>
        <xdr:cNvPr id="198" name="Изображение 565" descr="resizeПП-001452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934325" y="302514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35</xdr:row>
      <xdr:rowOff>28575</xdr:rowOff>
    </xdr:from>
    <xdr:to>
      <xdr:col>10</xdr:col>
      <xdr:colOff>1190625</xdr:colOff>
      <xdr:row>35</xdr:row>
      <xdr:rowOff>1209675</xdr:rowOff>
    </xdr:to>
    <xdr:pic>
      <xdr:nvPicPr>
        <xdr:cNvPr id="199" name="Изображение 567" descr="resizeПП-001696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934325" y="314706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36</xdr:row>
      <xdr:rowOff>28575</xdr:rowOff>
    </xdr:from>
    <xdr:to>
      <xdr:col>10</xdr:col>
      <xdr:colOff>1190625</xdr:colOff>
      <xdr:row>36</xdr:row>
      <xdr:rowOff>1085850</xdr:rowOff>
    </xdr:to>
    <xdr:pic>
      <xdr:nvPicPr>
        <xdr:cNvPr id="200" name="Изображение 568" descr="resizeПП-001696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934325" y="32689800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37</xdr:row>
      <xdr:rowOff>28575</xdr:rowOff>
    </xdr:from>
    <xdr:to>
      <xdr:col>10</xdr:col>
      <xdr:colOff>1190625</xdr:colOff>
      <xdr:row>37</xdr:row>
      <xdr:rowOff>1209675</xdr:rowOff>
    </xdr:to>
    <xdr:pic>
      <xdr:nvPicPr>
        <xdr:cNvPr id="201" name="Изображение 573" descr="resizeПП-001452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934325" y="339090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38</xdr:row>
      <xdr:rowOff>28575</xdr:rowOff>
    </xdr:from>
    <xdr:to>
      <xdr:col>10</xdr:col>
      <xdr:colOff>1190625</xdr:colOff>
      <xdr:row>38</xdr:row>
      <xdr:rowOff>923925</xdr:rowOff>
    </xdr:to>
    <xdr:pic>
      <xdr:nvPicPr>
        <xdr:cNvPr id="202" name="Изображение 597" descr="resizeПП-0014457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34325" y="35128200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39</xdr:row>
      <xdr:rowOff>28575</xdr:rowOff>
    </xdr:from>
    <xdr:to>
      <xdr:col>10</xdr:col>
      <xdr:colOff>1181100</xdr:colOff>
      <xdr:row>39</xdr:row>
      <xdr:rowOff>1209675</xdr:rowOff>
    </xdr:to>
    <xdr:pic>
      <xdr:nvPicPr>
        <xdr:cNvPr id="203" name="Изображение 600" descr="resizeПП-001445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34325" y="36347400"/>
          <a:ext cx="1171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40</xdr:row>
      <xdr:rowOff>28575</xdr:rowOff>
    </xdr:from>
    <xdr:to>
      <xdr:col>10</xdr:col>
      <xdr:colOff>1190625</xdr:colOff>
      <xdr:row>40</xdr:row>
      <xdr:rowOff>981075</xdr:rowOff>
    </xdr:to>
    <xdr:pic>
      <xdr:nvPicPr>
        <xdr:cNvPr id="204" name="Изображение 625" descr="resizeПП-0009954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934325" y="3756660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41</xdr:row>
      <xdr:rowOff>28575</xdr:rowOff>
    </xdr:from>
    <xdr:to>
      <xdr:col>10</xdr:col>
      <xdr:colOff>1190625</xdr:colOff>
      <xdr:row>41</xdr:row>
      <xdr:rowOff>1209675</xdr:rowOff>
    </xdr:to>
    <xdr:pic>
      <xdr:nvPicPr>
        <xdr:cNvPr id="205" name="Изображение 649" descr="resizeПП-0017126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934325" y="387858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42</xdr:row>
      <xdr:rowOff>28575</xdr:rowOff>
    </xdr:from>
    <xdr:to>
      <xdr:col>10</xdr:col>
      <xdr:colOff>885825</xdr:colOff>
      <xdr:row>42</xdr:row>
      <xdr:rowOff>1209675</xdr:rowOff>
    </xdr:to>
    <xdr:pic>
      <xdr:nvPicPr>
        <xdr:cNvPr id="206" name="Изображение 655" descr="resizeПП-0009955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934325" y="4000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43</xdr:row>
      <xdr:rowOff>28575</xdr:rowOff>
    </xdr:from>
    <xdr:to>
      <xdr:col>10</xdr:col>
      <xdr:colOff>885825</xdr:colOff>
      <xdr:row>43</xdr:row>
      <xdr:rowOff>1209675</xdr:rowOff>
    </xdr:to>
    <xdr:pic>
      <xdr:nvPicPr>
        <xdr:cNvPr id="207" name="Изображение 658" descr="resizeПП-0009955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934325" y="41224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44</xdr:row>
      <xdr:rowOff>28575</xdr:rowOff>
    </xdr:from>
    <xdr:to>
      <xdr:col>10</xdr:col>
      <xdr:colOff>1190625</xdr:colOff>
      <xdr:row>44</xdr:row>
      <xdr:rowOff>981075</xdr:rowOff>
    </xdr:to>
    <xdr:pic>
      <xdr:nvPicPr>
        <xdr:cNvPr id="208" name="Изображение 664" descr="resizeПП-0009958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934325" y="4244340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45</xdr:row>
      <xdr:rowOff>28575</xdr:rowOff>
    </xdr:from>
    <xdr:to>
      <xdr:col>10</xdr:col>
      <xdr:colOff>1190625</xdr:colOff>
      <xdr:row>45</xdr:row>
      <xdr:rowOff>1209675</xdr:rowOff>
    </xdr:to>
    <xdr:pic>
      <xdr:nvPicPr>
        <xdr:cNvPr id="209" name="Изображение 676" descr="resizeПП-0011307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34325" y="436626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46</xdr:row>
      <xdr:rowOff>28575</xdr:rowOff>
    </xdr:from>
    <xdr:to>
      <xdr:col>10</xdr:col>
      <xdr:colOff>885825</xdr:colOff>
      <xdr:row>46</xdr:row>
      <xdr:rowOff>1209675</xdr:rowOff>
    </xdr:to>
    <xdr:pic>
      <xdr:nvPicPr>
        <xdr:cNvPr id="210" name="Изображение 697" descr="resizeПП-0009970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934325" y="44881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47</xdr:row>
      <xdr:rowOff>28575</xdr:rowOff>
    </xdr:from>
    <xdr:to>
      <xdr:col>10</xdr:col>
      <xdr:colOff>1190625</xdr:colOff>
      <xdr:row>47</xdr:row>
      <xdr:rowOff>904875</xdr:rowOff>
    </xdr:to>
    <xdr:pic>
      <xdr:nvPicPr>
        <xdr:cNvPr id="211" name="Изображение 882" descr="resizeПП-001050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934325" y="461010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48</xdr:row>
      <xdr:rowOff>28575</xdr:rowOff>
    </xdr:from>
    <xdr:to>
      <xdr:col>10</xdr:col>
      <xdr:colOff>885825</xdr:colOff>
      <xdr:row>48</xdr:row>
      <xdr:rowOff>1209675</xdr:rowOff>
    </xdr:to>
    <xdr:pic>
      <xdr:nvPicPr>
        <xdr:cNvPr id="212" name="Изображение 945" descr="resizeПП-0011671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934325" y="47320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49</xdr:row>
      <xdr:rowOff>28575</xdr:rowOff>
    </xdr:from>
    <xdr:to>
      <xdr:col>10</xdr:col>
      <xdr:colOff>885825</xdr:colOff>
      <xdr:row>49</xdr:row>
      <xdr:rowOff>1209675</xdr:rowOff>
    </xdr:to>
    <xdr:pic>
      <xdr:nvPicPr>
        <xdr:cNvPr id="213" name="Изображение 971" descr="resizeПП-0018167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934325" y="4853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50</xdr:row>
      <xdr:rowOff>28575</xdr:rowOff>
    </xdr:from>
    <xdr:to>
      <xdr:col>10</xdr:col>
      <xdr:colOff>885825</xdr:colOff>
      <xdr:row>50</xdr:row>
      <xdr:rowOff>1209675</xdr:rowOff>
    </xdr:to>
    <xdr:pic>
      <xdr:nvPicPr>
        <xdr:cNvPr id="214" name="Изображение 978" descr="resizeПП-0015232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934325" y="4975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51</xdr:row>
      <xdr:rowOff>28575</xdr:rowOff>
    </xdr:from>
    <xdr:to>
      <xdr:col>10</xdr:col>
      <xdr:colOff>885825</xdr:colOff>
      <xdr:row>51</xdr:row>
      <xdr:rowOff>1209675</xdr:rowOff>
    </xdr:to>
    <xdr:pic>
      <xdr:nvPicPr>
        <xdr:cNvPr id="215" name="Изображение 979" descr="resizeПП-0015232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934325" y="5097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52</xdr:row>
      <xdr:rowOff>28575</xdr:rowOff>
    </xdr:from>
    <xdr:to>
      <xdr:col>10</xdr:col>
      <xdr:colOff>885825</xdr:colOff>
      <xdr:row>52</xdr:row>
      <xdr:rowOff>1209675</xdr:rowOff>
    </xdr:to>
    <xdr:pic>
      <xdr:nvPicPr>
        <xdr:cNvPr id="216" name="Изображение 984" descr="resizeПП-0014531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934325" y="52197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53</xdr:row>
      <xdr:rowOff>28575</xdr:rowOff>
    </xdr:from>
    <xdr:to>
      <xdr:col>10</xdr:col>
      <xdr:colOff>885825</xdr:colOff>
      <xdr:row>53</xdr:row>
      <xdr:rowOff>1209675</xdr:rowOff>
    </xdr:to>
    <xdr:pic>
      <xdr:nvPicPr>
        <xdr:cNvPr id="217" name="Изображение 989" descr="resizeПП-0012695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934325" y="53416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54</xdr:row>
      <xdr:rowOff>28575</xdr:rowOff>
    </xdr:from>
    <xdr:to>
      <xdr:col>10</xdr:col>
      <xdr:colOff>885825</xdr:colOff>
      <xdr:row>54</xdr:row>
      <xdr:rowOff>1209675</xdr:rowOff>
    </xdr:to>
    <xdr:pic>
      <xdr:nvPicPr>
        <xdr:cNvPr id="218" name="Изображение 6875" descr="resizeПП-0018302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934325" y="54635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55</xdr:row>
      <xdr:rowOff>28575</xdr:rowOff>
    </xdr:from>
    <xdr:to>
      <xdr:col>10</xdr:col>
      <xdr:colOff>885825</xdr:colOff>
      <xdr:row>55</xdr:row>
      <xdr:rowOff>1209675</xdr:rowOff>
    </xdr:to>
    <xdr:pic>
      <xdr:nvPicPr>
        <xdr:cNvPr id="219" name="Изображение 6876" descr="resizeПП-0018302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934325" y="55854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56</xdr:row>
      <xdr:rowOff>28575</xdr:rowOff>
    </xdr:from>
    <xdr:to>
      <xdr:col>10</xdr:col>
      <xdr:colOff>885825</xdr:colOff>
      <xdr:row>56</xdr:row>
      <xdr:rowOff>1209675</xdr:rowOff>
    </xdr:to>
    <xdr:pic>
      <xdr:nvPicPr>
        <xdr:cNvPr id="220" name="Изображение 6883" descr="resizeПП-0015858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934325" y="57073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57</xdr:row>
      <xdr:rowOff>28575</xdr:rowOff>
    </xdr:from>
    <xdr:to>
      <xdr:col>10</xdr:col>
      <xdr:colOff>885825</xdr:colOff>
      <xdr:row>57</xdr:row>
      <xdr:rowOff>1209675</xdr:rowOff>
    </xdr:to>
    <xdr:pic>
      <xdr:nvPicPr>
        <xdr:cNvPr id="221" name="Изображение 6892" descr="resizeПП-000307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934325" y="5829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58</xdr:row>
      <xdr:rowOff>28575</xdr:rowOff>
    </xdr:from>
    <xdr:to>
      <xdr:col>10</xdr:col>
      <xdr:colOff>885825</xdr:colOff>
      <xdr:row>58</xdr:row>
      <xdr:rowOff>1209675</xdr:rowOff>
    </xdr:to>
    <xdr:pic>
      <xdr:nvPicPr>
        <xdr:cNvPr id="222" name="Изображение 6917" descr="resizeПП-0016849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934325" y="59512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59</xdr:row>
      <xdr:rowOff>28575</xdr:rowOff>
    </xdr:from>
    <xdr:to>
      <xdr:col>10</xdr:col>
      <xdr:colOff>885825</xdr:colOff>
      <xdr:row>59</xdr:row>
      <xdr:rowOff>1209675</xdr:rowOff>
    </xdr:to>
    <xdr:pic>
      <xdr:nvPicPr>
        <xdr:cNvPr id="223" name="Изображение 6923" descr="resizeПП-0017818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934325" y="60731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60</xdr:row>
      <xdr:rowOff>28575</xdr:rowOff>
    </xdr:from>
    <xdr:to>
      <xdr:col>10</xdr:col>
      <xdr:colOff>885825</xdr:colOff>
      <xdr:row>60</xdr:row>
      <xdr:rowOff>1209675</xdr:rowOff>
    </xdr:to>
    <xdr:pic>
      <xdr:nvPicPr>
        <xdr:cNvPr id="224" name="Изображение 6967" descr="resizeПП-0003963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934325" y="61950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61</xdr:row>
      <xdr:rowOff>28575</xdr:rowOff>
    </xdr:from>
    <xdr:to>
      <xdr:col>10</xdr:col>
      <xdr:colOff>885825</xdr:colOff>
      <xdr:row>61</xdr:row>
      <xdr:rowOff>1209675</xdr:rowOff>
    </xdr:to>
    <xdr:pic>
      <xdr:nvPicPr>
        <xdr:cNvPr id="225" name="Изображение 6968" descr="resizeПП-0019651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934325" y="63169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62</xdr:row>
      <xdr:rowOff>28575</xdr:rowOff>
    </xdr:from>
    <xdr:to>
      <xdr:col>10</xdr:col>
      <xdr:colOff>885825</xdr:colOff>
      <xdr:row>62</xdr:row>
      <xdr:rowOff>1209675</xdr:rowOff>
    </xdr:to>
    <xdr:pic>
      <xdr:nvPicPr>
        <xdr:cNvPr id="226" name="Изображение 6980" descr="resizeПП-0019080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934325" y="64389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63</xdr:row>
      <xdr:rowOff>28575</xdr:rowOff>
    </xdr:from>
    <xdr:to>
      <xdr:col>10</xdr:col>
      <xdr:colOff>885825</xdr:colOff>
      <xdr:row>63</xdr:row>
      <xdr:rowOff>1209675</xdr:rowOff>
    </xdr:to>
    <xdr:pic>
      <xdr:nvPicPr>
        <xdr:cNvPr id="227" name="Изображение 7002" descr="resizeПП-0008063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934325" y="65608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64</xdr:row>
      <xdr:rowOff>28575</xdr:rowOff>
    </xdr:from>
    <xdr:to>
      <xdr:col>10</xdr:col>
      <xdr:colOff>885825</xdr:colOff>
      <xdr:row>64</xdr:row>
      <xdr:rowOff>1209675</xdr:rowOff>
    </xdr:to>
    <xdr:pic>
      <xdr:nvPicPr>
        <xdr:cNvPr id="228" name="Изображение 7007" descr="resizeПП-001369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934325" y="66827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65</xdr:row>
      <xdr:rowOff>28575</xdr:rowOff>
    </xdr:from>
    <xdr:to>
      <xdr:col>10</xdr:col>
      <xdr:colOff>885825</xdr:colOff>
      <xdr:row>65</xdr:row>
      <xdr:rowOff>1209675</xdr:rowOff>
    </xdr:to>
    <xdr:pic>
      <xdr:nvPicPr>
        <xdr:cNvPr id="229" name="Изображение 7020" descr="resizeПП-00102782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934325" y="68046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66</xdr:row>
      <xdr:rowOff>28575</xdr:rowOff>
    </xdr:from>
    <xdr:to>
      <xdr:col>10</xdr:col>
      <xdr:colOff>885825</xdr:colOff>
      <xdr:row>66</xdr:row>
      <xdr:rowOff>1209675</xdr:rowOff>
    </xdr:to>
    <xdr:pic>
      <xdr:nvPicPr>
        <xdr:cNvPr id="230" name="Изображение 7025" descr="resizeПП-0014129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934325" y="6926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67</xdr:row>
      <xdr:rowOff>28575</xdr:rowOff>
    </xdr:from>
    <xdr:to>
      <xdr:col>10</xdr:col>
      <xdr:colOff>885825</xdr:colOff>
      <xdr:row>67</xdr:row>
      <xdr:rowOff>1209675</xdr:rowOff>
    </xdr:to>
    <xdr:pic>
      <xdr:nvPicPr>
        <xdr:cNvPr id="231" name="Изображение 7029" descr="resizeПП-0014130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934325" y="7048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68</xdr:row>
      <xdr:rowOff>28575</xdr:rowOff>
    </xdr:from>
    <xdr:to>
      <xdr:col>10</xdr:col>
      <xdr:colOff>885825</xdr:colOff>
      <xdr:row>68</xdr:row>
      <xdr:rowOff>1209675</xdr:rowOff>
    </xdr:to>
    <xdr:pic>
      <xdr:nvPicPr>
        <xdr:cNvPr id="232" name="Изображение 7052" descr="resizeПП-0016687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934325" y="71704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69</xdr:row>
      <xdr:rowOff>28575</xdr:rowOff>
    </xdr:from>
    <xdr:to>
      <xdr:col>10</xdr:col>
      <xdr:colOff>885825</xdr:colOff>
      <xdr:row>69</xdr:row>
      <xdr:rowOff>1209675</xdr:rowOff>
    </xdr:to>
    <xdr:pic>
      <xdr:nvPicPr>
        <xdr:cNvPr id="233" name="Изображение 7054" descr="resizeПП-0017407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934325" y="72923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70</xdr:row>
      <xdr:rowOff>28575</xdr:rowOff>
    </xdr:from>
    <xdr:to>
      <xdr:col>10</xdr:col>
      <xdr:colOff>885825</xdr:colOff>
      <xdr:row>70</xdr:row>
      <xdr:rowOff>1209675</xdr:rowOff>
    </xdr:to>
    <xdr:pic>
      <xdr:nvPicPr>
        <xdr:cNvPr id="234" name="Изображение 7058" descr="resizeПП-0017401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7934325" y="74142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71</xdr:row>
      <xdr:rowOff>28575</xdr:rowOff>
    </xdr:from>
    <xdr:to>
      <xdr:col>10</xdr:col>
      <xdr:colOff>885825</xdr:colOff>
      <xdr:row>71</xdr:row>
      <xdr:rowOff>1209675</xdr:rowOff>
    </xdr:to>
    <xdr:pic>
      <xdr:nvPicPr>
        <xdr:cNvPr id="235" name="Изображение 7062" descr="resizeПП-0017406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934325" y="75361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72</xdr:row>
      <xdr:rowOff>28575</xdr:rowOff>
    </xdr:from>
    <xdr:to>
      <xdr:col>10</xdr:col>
      <xdr:colOff>885825</xdr:colOff>
      <xdr:row>72</xdr:row>
      <xdr:rowOff>1209675</xdr:rowOff>
    </xdr:to>
    <xdr:pic>
      <xdr:nvPicPr>
        <xdr:cNvPr id="236" name="Изображение 7065" descr="resizeПП-0019676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934325" y="76581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73</xdr:row>
      <xdr:rowOff>28575</xdr:rowOff>
    </xdr:from>
    <xdr:to>
      <xdr:col>10</xdr:col>
      <xdr:colOff>885825</xdr:colOff>
      <xdr:row>73</xdr:row>
      <xdr:rowOff>1209675</xdr:rowOff>
    </xdr:to>
    <xdr:pic>
      <xdr:nvPicPr>
        <xdr:cNvPr id="237" name="Изображение 7068" descr="resizeПП-0017382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934325" y="77800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74</xdr:row>
      <xdr:rowOff>28575</xdr:rowOff>
    </xdr:from>
    <xdr:to>
      <xdr:col>10</xdr:col>
      <xdr:colOff>885825</xdr:colOff>
      <xdr:row>74</xdr:row>
      <xdr:rowOff>1209675</xdr:rowOff>
    </xdr:to>
    <xdr:pic>
      <xdr:nvPicPr>
        <xdr:cNvPr id="238" name="Изображение 7074" descr="resizeПП-0017381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934325" y="7901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75</xdr:row>
      <xdr:rowOff>28575</xdr:rowOff>
    </xdr:from>
    <xdr:to>
      <xdr:col>10</xdr:col>
      <xdr:colOff>885825</xdr:colOff>
      <xdr:row>75</xdr:row>
      <xdr:rowOff>1209675</xdr:rowOff>
    </xdr:to>
    <xdr:pic>
      <xdr:nvPicPr>
        <xdr:cNvPr id="239" name="Изображение 7078" descr="resizeПП-0017380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934325" y="8023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76</xdr:row>
      <xdr:rowOff>28575</xdr:rowOff>
    </xdr:from>
    <xdr:to>
      <xdr:col>10</xdr:col>
      <xdr:colOff>885825</xdr:colOff>
      <xdr:row>76</xdr:row>
      <xdr:rowOff>1209675</xdr:rowOff>
    </xdr:to>
    <xdr:pic>
      <xdr:nvPicPr>
        <xdr:cNvPr id="240" name="Изображение 7082" descr="resizeПП-0017379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934325" y="8145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77</xdr:row>
      <xdr:rowOff>28575</xdr:rowOff>
    </xdr:from>
    <xdr:to>
      <xdr:col>10</xdr:col>
      <xdr:colOff>1190625</xdr:colOff>
      <xdr:row>77</xdr:row>
      <xdr:rowOff>1171575</xdr:rowOff>
    </xdr:to>
    <xdr:pic>
      <xdr:nvPicPr>
        <xdr:cNvPr id="241" name="Изображение 7086" descr="resizeПП-0002814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934325" y="82677000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78</xdr:row>
      <xdr:rowOff>28575</xdr:rowOff>
    </xdr:from>
    <xdr:to>
      <xdr:col>10</xdr:col>
      <xdr:colOff>885825</xdr:colOff>
      <xdr:row>78</xdr:row>
      <xdr:rowOff>1209675</xdr:rowOff>
    </xdr:to>
    <xdr:pic>
      <xdr:nvPicPr>
        <xdr:cNvPr id="242" name="Изображение 7100" descr="resizeПП-0003986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934325" y="83896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79</xdr:row>
      <xdr:rowOff>28575</xdr:rowOff>
    </xdr:from>
    <xdr:to>
      <xdr:col>10</xdr:col>
      <xdr:colOff>885825</xdr:colOff>
      <xdr:row>79</xdr:row>
      <xdr:rowOff>1209675</xdr:rowOff>
    </xdr:to>
    <xdr:pic>
      <xdr:nvPicPr>
        <xdr:cNvPr id="243" name="Изображение 7104" descr="resizeПП-00036273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934325" y="85115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80</xdr:row>
      <xdr:rowOff>28575</xdr:rowOff>
    </xdr:from>
    <xdr:to>
      <xdr:col>10</xdr:col>
      <xdr:colOff>885825</xdr:colOff>
      <xdr:row>80</xdr:row>
      <xdr:rowOff>1209675</xdr:rowOff>
    </xdr:to>
    <xdr:pic>
      <xdr:nvPicPr>
        <xdr:cNvPr id="244" name="Изображение 7107" descr="resizeПП-0003146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934325" y="86334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81</xdr:row>
      <xdr:rowOff>28575</xdr:rowOff>
    </xdr:from>
    <xdr:to>
      <xdr:col>10</xdr:col>
      <xdr:colOff>885825</xdr:colOff>
      <xdr:row>81</xdr:row>
      <xdr:rowOff>1209675</xdr:rowOff>
    </xdr:to>
    <xdr:pic>
      <xdr:nvPicPr>
        <xdr:cNvPr id="245" name="Изображение 7123" descr="resizeПП-0003228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934325" y="87553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82</xdr:row>
      <xdr:rowOff>28575</xdr:rowOff>
    </xdr:from>
    <xdr:to>
      <xdr:col>10</xdr:col>
      <xdr:colOff>885825</xdr:colOff>
      <xdr:row>82</xdr:row>
      <xdr:rowOff>1209675</xdr:rowOff>
    </xdr:to>
    <xdr:pic>
      <xdr:nvPicPr>
        <xdr:cNvPr id="246" name="Изображение 7139" descr="resizeПП-0002758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934325" y="8877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83</xdr:row>
      <xdr:rowOff>28575</xdr:rowOff>
    </xdr:from>
    <xdr:to>
      <xdr:col>10</xdr:col>
      <xdr:colOff>885825</xdr:colOff>
      <xdr:row>83</xdr:row>
      <xdr:rowOff>1209675</xdr:rowOff>
    </xdr:to>
    <xdr:pic>
      <xdr:nvPicPr>
        <xdr:cNvPr id="247" name="Изображение 7144" descr="resizeПП-0017768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934325" y="89992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84</xdr:row>
      <xdr:rowOff>28575</xdr:rowOff>
    </xdr:from>
    <xdr:to>
      <xdr:col>10</xdr:col>
      <xdr:colOff>885825</xdr:colOff>
      <xdr:row>84</xdr:row>
      <xdr:rowOff>1209675</xdr:rowOff>
    </xdr:to>
    <xdr:pic>
      <xdr:nvPicPr>
        <xdr:cNvPr id="248" name="Изображение 7147" descr="resizeПП-0002348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934325" y="91211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85</xdr:row>
      <xdr:rowOff>28575</xdr:rowOff>
    </xdr:from>
    <xdr:to>
      <xdr:col>10</xdr:col>
      <xdr:colOff>885825</xdr:colOff>
      <xdr:row>85</xdr:row>
      <xdr:rowOff>1209675</xdr:rowOff>
    </xdr:to>
    <xdr:pic>
      <xdr:nvPicPr>
        <xdr:cNvPr id="249" name="Изображение 7163" descr="resizeПП-0009731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934325" y="92430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86</xdr:row>
      <xdr:rowOff>28575</xdr:rowOff>
    </xdr:from>
    <xdr:to>
      <xdr:col>10</xdr:col>
      <xdr:colOff>885825</xdr:colOff>
      <xdr:row>86</xdr:row>
      <xdr:rowOff>1209675</xdr:rowOff>
    </xdr:to>
    <xdr:pic>
      <xdr:nvPicPr>
        <xdr:cNvPr id="250" name="Изображение 7168" descr="resizeПП-0002553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934325" y="93649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87</xdr:row>
      <xdr:rowOff>28575</xdr:rowOff>
    </xdr:from>
    <xdr:to>
      <xdr:col>10</xdr:col>
      <xdr:colOff>885825</xdr:colOff>
      <xdr:row>87</xdr:row>
      <xdr:rowOff>1209675</xdr:rowOff>
    </xdr:to>
    <xdr:pic>
      <xdr:nvPicPr>
        <xdr:cNvPr id="251" name="Изображение 7173" descr="resizeПП-0006838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934325" y="94869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88</xdr:row>
      <xdr:rowOff>28575</xdr:rowOff>
    </xdr:from>
    <xdr:to>
      <xdr:col>10</xdr:col>
      <xdr:colOff>885825</xdr:colOff>
      <xdr:row>88</xdr:row>
      <xdr:rowOff>1209675</xdr:rowOff>
    </xdr:to>
    <xdr:pic>
      <xdr:nvPicPr>
        <xdr:cNvPr id="252" name="Изображение 7174" descr="resizeПП-0017125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934325" y="96088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89</xdr:row>
      <xdr:rowOff>28575</xdr:rowOff>
    </xdr:from>
    <xdr:to>
      <xdr:col>10</xdr:col>
      <xdr:colOff>1190625</xdr:colOff>
      <xdr:row>89</xdr:row>
      <xdr:rowOff>819150</xdr:rowOff>
    </xdr:to>
    <xdr:pic>
      <xdr:nvPicPr>
        <xdr:cNvPr id="253" name="Изображение 7185" descr="resizeПП-0008266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934325" y="97307400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90</xdr:row>
      <xdr:rowOff>28575</xdr:rowOff>
    </xdr:from>
    <xdr:to>
      <xdr:col>10</xdr:col>
      <xdr:colOff>1190625</xdr:colOff>
      <xdr:row>90</xdr:row>
      <xdr:rowOff>904875</xdr:rowOff>
    </xdr:to>
    <xdr:pic>
      <xdr:nvPicPr>
        <xdr:cNvPr id="254" name="Изображение 7202" descr="resizeПП-0011915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934325" y="985266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91</xdr:row>
      <xdr:rowOff>28575</xdr:rowOff>
    </xdr:from>
    <xdr:to>
      <xdr:col>10</xdr:col>
      <xdr:colOff>885825</xdr:colOff>
      <xdr:row>91</xdr:row>
      <xdr:rowOff>1209675</xdr:rowOff>
    </xdr:to>
    <xdr:pic>
      <xdr:nvPicPr>
        <xdr:cNvPr id="255" name="Изображение 7208" descr="resizeПП-0015475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934325" y="9974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92</xdr:row>
      <xdr:rowOff>28575</xdr:rowOff>
    </xdr:from>
    <xdr:to>
      <xdr:col>10</xdr:col>
      <xdr:colOff>885825</xdr:colOff>
      <xdr:row>92</xdr:row>
      <xdr:rowOff>1209675</xdr:rowOff>
    </xdr:to>
    <xdr:pic>
      <xdr:nvPicPr>
        <xdr:cNvPr id="256" name="Изображение 7211" descr="resizeПП-0017578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934325" y="10096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93</xdr:row>
      <xdr:rowOff>28575</xdr:rowOff>
    </xdr:from>
    <xdr:to>
      <xdr:col>10</xdr:col>
      <xdr:colOff>1190625</xdr:colOff>
      <xdr:row>93</xdr:row>
      <xdr:rowOff>904875</xdr:rowOff>
    </xdr:to>
    <xdr:pic>
      <xdr:nvPicPr>
        <xdr:cNvPr id="257" name="Изображение 7275" descr="resizeПП-0011995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934325" y="102184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94</xdr:row>
      <xdr:rowOff>28575</xdr:rowOff>
    </xdr:from>
    <xdr:to>
      <xdr:col>10</xdr:col>
      <xdr:colOff>1190625</xdr:colOff>
      <xdr:row>94</xdr:row>
      <xdr:rowOff>904875</xdr:rowOff>
    </xdr:to>
    <xdr:pic>
      <xdr:nvPicPr>
        <xdr:cNvPr id="258" name="Изображение 7358" descr="resizeПП-00177103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934325" y="1034034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95</xdr:row>
      <xdr:rowOff>28575</xdr:rowOff>
    </xdr:from>
    <xdr:to>
      <xdr:col>10</xdr:col>
      <xdr:colOff>1190625</xdr:colOff>
      <xdr:row>95</xdr:row>
      <xdr:rowOff>904875</xdr:rowOff>
    </xdr:to>
    <xdr:pic>
      <xdr:nvPicPr>
        <xdr:cNvPr id="259" name="Изображение 7402" descr="resizeПП-0009904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934325" y="1046226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96</xdr:row>
      <xdr:rowOff>28575</xdr:rowOff>
    </xdr:from>
    <xdr:to>
      <xdr:col>10</xdr:col>
      <xdr:colOff>1190625</xdr:colOff>
      <xdr:row>96</xdr:row>
      <xdr:rowOff>904875</xdr:rowOff>
    </xdr:to>
    <xdr:pic>
      <xdr:nvPicPr>
        <xdr:cNvPr id="260" name="Изображение 7406" descr="resizeПП-0019840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7934325" y="1058418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97</xdr:row>
      <xdr:rowOff>28575</xdr:rowOff>
    </xdr:from>
    <xdr:to>
      <xdr:col>10</xdr:col>
      <xdr:colOff>1190625</xdr:colOff>
      <xdr:row>97</xdr:row>
      <xdr:rowOff>904875</xdr:rowOff>
    </xdr:to>
    <xdr:pic>
      <xdr:nvPicPr>
        <xdr:cNvPr id="261" name="Изображение 7415" descr="resizeПП-0014371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934325" y="1070610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98</xdr:row>
      <xdr:rowOff>28575</xdr:rowOff>
    </xdr:from>
    <xdr:to>
      <xdr:col>10</xdr:col>
      <xdr:colOff>1190625</xdr:colOff>
      <xdr:row>98</xdr:row>
      <xdr:rowOff>904875</xdr:rowOff>
    </xdr:to>
    <xdr:pic>
      <xdr:nvPicPr>
        <xdr:cNvPr id="262" name="Изображение 7446" descr="resizeПП-00177566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7934325" y="108280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99</xdr:row>
      <xdr:rowOff>28575</xdr:rowOff>
    </xdr:from>
    <xdr:to>
      <xdr:col>10</xdr:col>
      <xdr:colOff>1190625</xdr:colOff>
      <xdr:row>99</xdr:row>
      <xdr:rowOff>1057275</xdr:rowOff>
    </xdr:to>
    <xdr:pic>
      <xdr:nvPicPr>
        <xdr:cNvPr id="263" name="Изображение 7468" descr="resizeПП-00021176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934325" y="10949940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100</xdr:row>
      <xdr:rowOff>28575</xdr:rowOff>
    </xdr:from>
    <xdr:to>
      <xdr:col>10</xdr:col>
      <xdr:colOff>885825</xdr:colOff>
      <xdr:row>100</xdr:row>
      <xdr:rowOff>1209675</xdr:rowOff>
    </xdr:to>
    <xdr:pic>
      <xdr:nvPicPr>
        <xdr:cNvPr id="264" name="Изображение 7473" descr="resizeПП-00173038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7934325" y="11071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101</xdr:row>
      <xdr:rowOff>28575</xdr:rowOff>
    </xdr:from>
    <xdr:to>
      <xdr:col>10</xdr:col>
      <xdr:colOff>885825</xdr:colOff>
      <xdr:row>101</xdr:row>
      <xdr:rowOff>1209675</xdr:rowOff>
    </xdr:to>
    <xdr:pic>
      <xdr:nvPicPr>
        <xdr:cNvPr id="265" name="Изображение 7474" descr="resizeПП-00173034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934325" y="11193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102</xdr:row>
      <xdr:rowOff>28575</xdr:rowOff>
    </xdr:from>
    <xdr:to>
      <xdr:col>10</xdr:col>
      <xdr:colOff>885825</xdr:colOff>
      <xdr:row>102</xdr:row>
      <xdr:rowOff>1209675</xdr:rowOff>
    </xdr:to>
    <xdr:pic>
      <xdr:nvPicPr>
        <xdr:cNvPr id="266" name="Изображение 7481" descr="resizeПП-0016100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934325" y="113157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103</xdr:row>
      <xdr:rowOff>28575</xdr:rowOff>
    </xdr:from>
    <xdr:to>
      <xdr:col>10</xdr:col>
      <xdr:colOff>885825</xdr:colOff>
      <xdr:row>103</xdr:row>
      <xdr:rowOff>1209675</xdr:rowOff>
    </xdr:to>
    <xdr:pic>
      <xdr:nvPicPr>
        <xdr:cNvPr id="267" name="Изображение 7487" descr="resizeПП-0015767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7934325" y="114376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104</xdr:row>
      <xdr:rowOff>28575</xdr:rowOff>
    </xdr:from>
    <xdr:to>
      <xdr:col>10</xdr:col>
      <xdr:colOff>885825</xdr:colOff>
      <xdr:row>104</xdr:row>
      <xdr:rowOff>1209675</xdr:rowOff>
    </xdr:to>
    <xdr:pic>
      <xdr:nvPicPr>
        <xdr:cNvPr id="268" name="Изображение 7519" descr="resizeПП-0019398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7934325" y="115595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105</xdr:row>
      <xdr:rowOff>28575</xdr:rowOff>
    </xdr:from>
    <xdr:to>
      <xdr:col>10</xdr:col>
      <xdr:colOff>885825</xdr:colOff>
      <xdr:row>105</xdr:row>
      <xdr:rowOff>1209675</xdr:rowOff>
    </xdr:to>
    <xdr:pic>
      <xdr:nvPicPr>
        <xdr:cNvPr id="269" name="Изображение 7521" descr="resizeПП-0019398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7934325" y="116814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106</xdr:row>
      <xdr:rowOff>28575</xdr:rowOff>
    </xdr:from>
    <xdr:to>
      <xdr:col>10</xdr:col>
      <xdr:colOff>1190625</xdr:colOff>
      <xdr:row>106</xdr:row>
      <xdr:rowOff>904875</xdr:rowOff>
    </xdr:to>
    <xdr:pic>
      <xdr:nvPicPr>
        <xdr:cNvPr id="270" name="Изображение 7578" descr="resizeПП-00075907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7934325" y="1180338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107</xdr:row>
      <xdr:rowOff>28575</xdr:rowOff>
    </xdr:from>
    <xdr:to>
      <xdr:col>10</xdr:col>
      <xdr:colOff>885825</xdr:colOff>
      <xdr:row>107</xdr:row>
      <xdr:rowOff>1209675</xdr:rowOff>
    </xdr:to>
    <xdr:pic>
      <xdr:nvPicPr>
        <xdr:cNvPr id="271" name="Изображение 7604" descr="resizeПП-00152082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934325" y="11925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108</xdr:row>
      <xdr:rowOff>28575</xdr:rowOff>
    </xdr:from>
    <xdr:to>
      <xdr:col>10</xdr:col>
      <xdr:colOff>1190625</xdr:colOff>
      <xdr:row>108</xdr:row>
      <xdr:rowOff>904875</xdr:rowOff>
    </xdr:to>
    <xdr:pic>
      <xdr:nvPicPr>
        <xdr:cNvPr id="272" name="Изображение 7734" descr="resizeПП-0004729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934325" y="120472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109</xdr:row>
      <xdr:rowOff>28575</xdr:rowOff>
    </xdr:from>
    <xdr:to>
      <xdr:col>10</xdr:col>
      <xdr:colOff>1190625</xdr:colOff>
      <xdr:row>109</xdr:row>
      <xdr:rowOff>904875</xdr:rowOff>
    </xdr:to>
    <xdr:pic>
      <xdr:nvPicPr>
        <xdr:cNvPr id="273" name="Изображение 7748" descr="resizeПП-00047314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7934325" y="1216914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110</xdr:row>
      <xdr:rowOff>28575</xdr:rowOff>
    </xdr:from>
    <xdr:to>
      <xdr:col>10</xdr:col>
      <xdr:colOff>885825</xdr:colOff>
      <xdr:row>110</xdr:row>
      <xdr:rowOff>1209675</xdr:rowOff>
    </xdr:to>
    <xdr:pic>
      <xdr:nvPicPr>
        <xdr:cNvPr id="274" name="Изображение 7771" descr="resizeПП-0004724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7934325" y="122910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111</xdr:row>
      <xdr:rowOff>28575</xdr:rowOff>
    </xdr:from>
    <xdr:to>
      <xdr:col>10</xdr:col>
      <xdr:colOff>1190625</xdr:colOff>
      <xdr:row>111</xdr:row>
      <xdr:rowOff>904875</xdr:rowOff>
    </xdr:to>
    <xdr:pic>
      <xdr:nvPicPr>
        <xdr:cNvPr id="275" name="Изображение 7784" descr="resizeПП-001595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7934325" y="1241298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112</xdr:row>
      <xdr:rowOff>28575</xdr:rowOff>
    </xdr:from>
    <xdr:to>
      <xdr:col>10</xdr:col>
      <xdr:colOff>1190625</xdr:colOff>
      <xdr:row>112</xdr:row>
      <xdr:rowOff>904875</xdr:rowOff>
    </xdr:to>
    <xdr:pic>
      <xdr:nvPicPr>
        <xdr:cNvPr id="276" name="Изображение 7819" descr="resizeПП-0014288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934325" y="1253490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113</xdr:row>
      <xdr:rowOff>28575</xdr:rowOff>
    </xdr:from>
    <xdr:to>
      <xdr:col>10</xdr:col>
      <xdr:colOff>1190625</xdr:colOff>
      <xdr:row>113</xdr:row>
      <xdr:rowOff>904875</xdr:rowOff>
    </xdr:to>
    <xdr:pic>
      <xdr:nvPicPr>
        <xdr:cNvPr id="277" name="Изображение 7823" descr="resizeПП-00169808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7934325" y="126568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114</xdr:row>
      <xdr:rowOff>28575</xdr:rowOff>
    </xdr:from>
    <xdr:to>
      <xdr:col>10</xdr:col>
      <xdr:colOff>885825</xdr:colOff>
      <xdr:row>114</xdr:row>
      <xdr:rowOff>1209675</xdr:rowOff>
    </xdr:to>
    <xdr:pic>
      <xdr:nvPicPr>
        <xdr:cNvPr id="278" name="Изображение 7860" descr="resizeПП-0020068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7934325" y="127787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115</xdr:row>
      <xdr:rowOff>28575</xdr:rowOff>
    </xdr:from>
    <xdr:to>
      <xdr:col>10</xdr:col>
      <xdr:colOff>885825</xdr:colOff>
      <xdr:row>115</xdr:row>
      <xdr:rowOff>1209675</xdr:rowOff>
    </xdr:to>
    <xdr:pic>
      <xdr:nvPicPr>
        <xdr:cNvPr id="279" name="Изображение 7861" descr="resizeПП-00203200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934325" y="129006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116</xdr:row>
      <xdr:rowOff>28575</xdr:rowOff>
    </xdr:from>
    <xdr:to>
      <xdr:col>10</xdr:col>
      <xdr:colOff>885825</xdr:colOff>
      <xdr:row>116</xdr:row>
      <xdr:rowOff>1209675</xdr:rowOff>
    </xdr:to>
    <xdr:pic>
      <xdr:nvPicPr>
        <xdr:cNvPr id="280" name="Изображение 7869" descr="resizeПП-00203205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7934325" y="13022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117</xdr:row>
      <xdr:rowOff>28575</xdr:rowOff>
    </xdr:from>
    <xdr:to>
      <xdr:col>10</xdr:col>
      <xdr:colOff>885825</xdr:colOff>
      <xdr:row>117</xdr:row>
      <xdr:rowOff>1209675</xdr:rowOff>
    </xdr:to>
    <xdr:pic>
      <xdr:nvPicPr>
        <xdr:cNvPr id="281" name="Изображение 7886" descr="resizeПП-0020219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7934325" y="13144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118</xdr:row>
      <xdr:rowOff>28575</xdr:rowOff>
    </xdr:from>
    <xdr:to>
      <xdr:col>10</xdr:col>
      <xdr:colOff>885825</xdr:colOff>
      <xdr:row>118</xdr:row>
      <xdr:rowOff>1209675</xdr:rowOff>
    </xdr:to>
    <xdr:pic>
      <xdr:nvPicPr>
        <xdr:cNvPr id="282" name="Изображение 7903" descr="resizeПП-00203180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934325" y="132664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119</xdr:row>
      <xdr:rowOff>28575</xdr:rowOff>
    </xdr:from>
    <xdr:to>
      <xdr:col>10</xdr:col>
      <xdr:colOff>885825</xdr:colOff>
      <xdr:row>119</xdr:row>
      <xdr:rowOff>1209675</xdr:rowOff>
    </xdr:to>
    <xdr:pic>
      <xdr:nvPicPr>
        <xdr:cNvPr id="283" name="Изображение 7914" descr="resizeПП-00200698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7934325" y="133883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120</xdr:row>
      <xdr:rowOff>28575</xdr:rowOff>
    </xdr:from>
    <xdr:to>
      <xdr:col>10</xdr:col>
      <xdr:colOff>885825</xdr:colOff>
      <xdr:row>120</xdr:row>
      <xdr:rowOff>1209675</xdr:rowOff>
    </xdr:to>
    <xdr:pic>
      <xdr:nvPicPr>
        <xdr:cNvPr id="284" name="Изображение 7918" descr="resizeПП-0020069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7934325" y="135102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121</xdr:row>
      <xdr:rowOff>28575</xdr:rowOff>
    </xdr:from>
    <xdr:to>
      <xdr:col>10</xdr:col>
      <xdr:colOff>885825</xdr:colOff>
      <xdr:row>121</xdr:row>
      <xdr:rowOff>1209675</xdr:rowOff>
    </xdr:to>
    <xdr:pic>
      <xdr:nvPicPr>
        <xdr:cNvPr id="285" name="Изображение 7970" descr="resizeПП-00020356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7934325" y="136321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122</xdr:row>
      <xdr:rowOff>28575</xdr:rowOff>
    </xdr:from>
    <xdr:to>
      <xdr:col>10</xdr:col>
      <xdr:colOff>1190625</xdr:colOff>
      <xdr:row>122</xdr:row>
      <xdr:rowOff>809625</xdr:rowOff>
    </xdr:to>
    <xdr:pic>
      <xdr:nvPicPr>
        <xdr:cNvPr id="286" name="Изображение 7982" descr="resizeПП-00084383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934325" y="13754100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123</xdr:row>
      <xdr:rowOff>28575</xdr:rowOff>
    </xdr:from>
    <xdr:to>
      <xdr:col>10</xdr:col>
      <xdr:colOff>885825</xdr:colOff>
      <xdr:row>123</xdr:row>
      <xdr:rowOff>1209675</xdr:rowOff>
    </xdr:to>
    <xdr:pic>
      <xdr:nvPicPr>
        <xdr:cNvPr id="287" name="Изображение 7992" descr="resizeПП-00120074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7934325" y="138760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124</xdr:row>
      <xdr:rowOff>28575</xdr:rowOff>
    </xdr:from>
    <xdr:to>
      <xdr:col>10</xdr:col>
      <xdr:colOff>885825</xdr:colOff>
      <xdr:row>124</xdr:row>
      <xdr:rowOff>1209675</xdr:rowOff>
    </xdr:to>
    <xdr:pic>
      <xdr:nvPicPr>
        <xdr:cNvPr id="288" name="Изображение 7997" descr="resizeПП-0007188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7934325" y="13997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125</xdr:row>
      <xdr:rowOff>28575</xdr:rowOff>
    </xdr:from>
    <xdr:to>
      <xdr:col>10</xdr:col>
      <xdr:colOff>885825</xdr:colOff>
      <xdr:row>125</xdr:row>
      <xdr:rowOff>1209675</xdr:rowOff>
    </xdr:to>
    <xdr:pic>
      <xdr:nvPicPr>
        <xdr:cNvPr id="289" name="Изображение 8003" descr="resizeПП-00073583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7934325" y="14119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126</xdr:row>
      <xdr:rowOff>28575</xdr:rowOff>
    </xdr:from>
    <xdr:to>
      <xdr:col>10</xdr:col>
      <xdr:colOff>885825</xdr:colOff>
      <xdr:row>126</xdr:row>
      <xdr:rowOff>1209675</xdr:rowOff>
    </xdr:to>
    <xdr:pic>
      <xdr:nvPicPr>
        <xdr:cNvPr id="290" name="Изображение 8015" descr="resizeПП-00157392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934325" y="14241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127</xdr:row>
      <xdr:rowOff>28575</xdr:rowOff>
    </xdr:from>
    <xdr:to>
      <xdr:col>10</xdr:col>
      <xdr:colOff>885825</xdr:colOff>
      <xdr:row>127</xdr:row>
      <xdr:rowOff>1209675</xdr:rowOff>
    </xdr:to>
    <xdr:pic>
      <xdr:nvPicPr>
        <xdr:cNvPr id="291" name="Изображение 8016" descr="resizeПП-00157390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934325" y="143637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128</xdr:row>
      <xdr:rowOff>28575</xdr:rowOff>
    </xdr:from>
    <xdr:to>
      <xdr:col>10</xdr:col>
      <xdr:colOff>885825</xdr:colOff>
      <xdr:row>128</xdr:row>
      <xdr:rowOff>1209675</xdr:rowOff>
    </xdr:to>
    <xdr:pic>
      <xdr:nvPicPr>
        <xdr:cNvPr id="292" name="Изображение 8041" descr="resizeПП-00193229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7934325" y="144856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129</xdr:row>
      <xdr:rowOff>28575</xdr:rowOff>
    </xdr:from>
    <xdr:to>
      <xdr:col>10</xdr:col>
      <xdr:colOff>885825</xdr:colOff>
      <xdr:row>129</xdr:row>
      <xdr:rowOff>1209675</xdr:rowOff>
    </xdr:to>
    <xdr:pic>
      <xdr:nvPicPr>
        <xdr:cNvPr id="293" name="Изображение 8056" descr="resizeПП-00157660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934325" y="146075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130</xdr:row>
      <xdr:rowOff>28575</xdr:rowOff>
    </xdr:from>
    <xdr:to>
      <xdr:col>10</xdr:col>
      <xdr:colOff>1190625</xdr:colOff>
      <xdr:row>130</xdr:row>
      <xdr:rowOff>1076325</xdr:rowOff>
    </xdr:to>
    <xdr:pic>
      <xdr:nvPicPr>
        <xdr:cNvPr id="294" name="Изображение 8087" descr="resizeПП-00076778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7934325" y="14729460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131</xdr:row>
      <xdr:rowOff>28575</xdr:rowOff>
    </xdr:from>
    <xdr:to>
      <xdr:col>10</xdr:col>
      <xdr:colOff>885825</xdr:colOff>
      <xdr:row>131</xdr:row>
      <xdr:rowOff>1209675</xdr:rowOff>
    </xdr:to>
    <xdr:pic>
      <xdr:nvPicPr>
        <xdr:cNvPr id="295" name="Изображение 8107" descr="resizeПП-00158768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934325" y="148513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132</xdr:row>
      <xdr:rowOff>28575</xdr:rowOff>
    </xdr:from>
    <xdr:to>
      <xdr:col>10</xdr:col>
      <xdr:colOff>885825</xdr:colOff>
      <xdr:row>132</xdr:row>
      <xdr:rowOff>1209675</xdr:rowOff>
    </xdr:to>
    <xdr:pic>
      <xdr:nvPicPr>
        <xdr:cNvPr id="296" name="Изображение 8125" descr="resizeПП-00181398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7934325" y="14973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133</xdr:row>
      <xdr:rowOff>28575</xdr:rowOff>
    </xdr:from>
    <xdr:to>
      <xdr:col>10</xdr:col>
      <xdr:colOff>885825</xdr:colOff>
      <xdr:row>133</xdr:row>
      <xdr:rowOff>1209675</xdr:rowOff>
    </xdr:to>
    <xdr:pic>
      <xdr:nvPicPr>
        <xdr:cNvPr id="297" name="Изображение 8135" descr="resizeПП-0017311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7934325" y="150952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134</xdr:row>
      <xdr:rowOff>28575</xdr:rowOff>
    </xdr:from>
    <xdr:to>
      <xdr:col>10</xdr:col>
      <xdr:colOff>885825</xdr:colOff>
      <xdr:row>134</xdr:row>
      <xdr:rowOff>1209675</xdr:rowOff>
    </xdr:to>
    <xdr:pic>
      <xdr:nvPicPr>
        <xdr:cNvPr id="298" name="Изображение 8140" descr="resizeПП-00173116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7934325" y="152171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135</xdr:row>
      <xdr:rowOff>28575</xdr:rowOff>
    </xdr:from>
    <xdr:to>
      <xdr:col>10</xdr:col>
      <xdr:colOff>885825</xdr:colOff>
      <xdr:row>135</xdr:row>
      <xdr:rowOff>1209675</xdr:rowOff>
    </xdr:to>
    <xdr:pic>
      <xdr:nvPicPr>
        <xdr:cNvPr id="299" name="Изображение 8166" descr="resizeПП-0006151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7934325" y="153390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136</xdr:row>
      <xdr:rowOff>28575</xdr:rowOff>
    </xdr:from>
    <xdr:to>
      <xdr:col>10</xdr:col>
      <xdr:colOff>885825</xdr:colOff>
      <xdr:row>136</xdr:row>
      <xdr:rowOff>1209675</xdr:rowOff>
    </xdr:to>
    <xdr:pic>
      <xdr:nvPicPr>
        <xdr:cNvPr id="300" name="Изображение 8174" descr="resizeПП-00153220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934325" y="154609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137</xdr:row>
      <xdr:rowOff>28575</xdr:rowOff>
    </xdr:from>
    <xdr:to>
      <xdr:col>10</xdr:col>
      <xdr:colOff>885825</xdr:colOff>
      <xdr:row>137</xdr:row>
      <xdr:rowOff>1209675</xdr:rowOff>
    </xdr:to>
    <xdr:pic>
      <xdr:nvPicPr>
        <xdr:cNvPr id="301" name="Изображение 8178" descr="resizeПП-0007803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7934325" y="155829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138</xdr:row>
      <xdr:rowOff>28575</xdr:rowOff>
    </xdr:from>
    <xdr:to>
      <xdr:col>10</xdr:col>
      <xdr:colOff>885825</xdr:colOff>
      <xdr:row>138</xdr:row>
      <xdr:rowOff>1209675</xdr:rowOff>
    </xdr:to>
    <xdr:pic>
      <xdr:nvPicPr>
        <xdr:cNvPr id="302" name="Изображение 8184" descr="resizeПП-00183274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7934325" y="157048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139</xdr:row>
      <xdr:rowOff>28575</xdr:rowOff>
    </xdr:from>
    <xdr:to>
      <xdr:col>10</xdr:col>
      <xdr:colOff>885825</xdr:colOff>
      <xdr:row>139</xdr:row>
      <xdr:rowOff>1209675</xdr:rowOff>
    </xdr:to>
    <xdr:pic>
      <xdr:nvPicPr>
        <xdr:cNvPr id="303" name="Изображение 8188" descr="resizeПП-00025083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7934325" y="158267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140</xdr:row>
      <xdr:rowOff>28575</xdr:rowOff>
    </xdr:from>
    <xdr:to>
      <xdr:col>10</xdr:col>
      <xdr:colOff>885825</xdr:colOff>
      <xdr:row>140</xdr:row>
      <xdr:rowOff>1209675</xdr:rowOff>
    </xdr:to>
    <xdr:pic>
      <xdr:nvPicPr>
        <xdr:cNvPr id="304" name="Изображение 8201" descr="resizeПП-00181447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7934325" y="159486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141</xdr:row>
      <xdr:rowOff>28575</xdr:rowOff>
    </xdr:from>
    <xdr:to>
      <xdr:col>10</xdr:col>
      <xdr:colOff>885825</xdr:colOff>
      <xdr:row>141</xdr:row>
      <xdr:rowOff>1209675</xdr:rowOff>
    </xdr:to>
    <xdr:pic>
      <xdr:nvPicPr>
        <xdr:cNvPr id="305" name="Изображение 8207" descr="resizeПП-00024127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7934325" y="16070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142</xdr:row>
      <xdr:rowOff>28575</xdr:rowOff>
    </xdr:from>
    <xdr:to>
      <xdr:col>10</xdr:col>
      <xdr:colOff>885825</xdr:colOff>
      <xdr:row>142</xdr:row>
      <xdr:rowOff>1209675</xdr:rowOff>
    </xdr:to>
    <xdr:pic>
      <xdr:nvPicPr>
        <xdr:cNvPr id="306" name="Изображение 8235" descr="resizeПП-00037807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7934325" y="16192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143</xdr:row>
      <xdr:rowOff>28575</xdr:rowOff>
    </xdr:from>
    <xdr:to>
      <xdr:col>10</xdr:col>
      <xdr:colOff>885825</xdr:colOff>
      <xdr:row>143</xdr:row>
      <xdr:rowOff>1209675</xdr:rowOff>
    </xdr:to>
    <xdr:pic>
      <xdr:nvPicPr>
        <xdr:cNvPr id="307" name="Изображение 8236" descr="resizeПП-0008688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7934325" y="163144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144</xdr:row>
      <xdr:rowOff>28575</xdr:rowOff>
    </xdr:from>
    <xdr:to>
      <xdr:col>10</xdr:col>
      <xdr:colOff>1190625</xdr:colOff>
      <xdr:row>144</xdr:row>
      <xdr:rowOff>1200150</xdr:rowOff>
    </xdr:to>
    <xdr:pic>
      <xdr:nvPicPr>
        <xdr:cNvPr id="308" name="Изображение 8292" descr="resizeПП-00171322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7934325" y="16436340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145</xdr:row>
      <xdr:rowOff>28575</xdr:rowOff>
    </xdr:from>
    <xdr:to>
      <xdr:col>10</xdr:col>
      <xdr:colOff>1190625</xdr:colOff>
      <xdr:row>145</xdr:row>
      <xdr:rowOff>847725</xdr:rowOff>
    </xdr:to>
    <xdr:pic>
      <xdr:nvPicPr>
        <xdr:cNvPr id="309" name="Изображение 8365" descr="resizeПП-00171364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934325" y="1655826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146</xdr:row>
      <xdr:rowOff>28575</xdr:rowOff>
    </xdr:from>
    <xdr:to>
      <xdr:col>10</xdr:col>
      <xdr:colOff>1190625</xdr:colOff>
      <xdr:row>146</xdr:row>
      <xdr:rowOff>904875</xdr:rowOff>
    </xdr:to>
    <xdr:pic>
      <xdr:nvPicPr>
        <xdr:cNvPr id="310" name="Изображение 8411" descr="resizeПП-0013999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934325" y="1668018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147</xdr:row>
      <xdr:rowOff>28575</xdr:rowOff>
    </xdr:from>
    <xdr:to>
      <xdr:col>10</xdr:col>
      <xdr:colOff>838200</xdr:colOff>
      <xdr:row>147</xdr:row>
      <xdr:rowOff>1209675</xdr:rowOff>
    </xdr:to>
    <xdr:pic>
      <xdr:nvPicPr>
        <xdr:cNvPr id="311" name="Изображение 8425" descr="resizeПП-0011988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7934325" y="168021000"/>
          <a:ext cx="828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148</xdr:row>
      <xdr:rowOff>28575</xdr:rowOff>
    </xdr:from>
    <xdr:to>
      <xdr:col>10</xdr:col>
      <xdr:colOff>1190625</xdr:colOff>
      <xdr:row>148</xdr:row>
      <xdr:rowOff>857250</xdr:rowOff>
    </xdr:to>
    <xdr:pic>
      <xdr:nvPicPr>
        <xdr:cNvPr id="312" name="Изображение 8454" descr="resizeПП-00193423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7934325" y="1692402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149</xdr:row>
      <xdr:rowOff>28575</xdr:rowOff>
    </xdr:from>
    <xdr:to>
      <xdr:col>10</xdr:col>
      <xdr:colOff>885825</xdr:colOff>
      <xdr:row>149</xdr:row>
      <xdr:rowOff>1209675</xdr:rowOff>
    </xdr:to>
    <xdr:pic>
      <xdr:nvPicPr>
        <xdr:cNvPr id="313" name="Изображение 8459" descr="resizeПП-0019322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934325" y="17045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150</xdr:row>
      <xdr:rowOff>28575</xdr:rowOff>
    </xdr:from>
    <xdr:to>
      <xdr:col>10</xdr:col>
      <xdr:colOff>885825</xdr:colOff>
      <xdr:row>150</xdr:row>
      <xdr:rowOff>1209675</xdr:rowOff>
    </xdr:to>
    <xdr:pic>
      <xdr:nvPicPr>
        <xdr:cNvPr id="314" name="Изображение 9335" descr="resizeПП-0017123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7934325" y="17167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151</xdr:row>
      <xdr:rowOff>28575</xdr:rowOff>
    </xdr:from>
    <xdr:to>
      <xdr:col>10</xdr:col>
      <xdr:colOff>885825</xdr:colOff>
      <xdr:row>151</xdr:row>
      <xdr:rowOff>1209675</xdr:rowOff>
    </xdr:to>
    <xdr:pic>
      <xdr:nvPicPr>
        <xdr:cNvPr id="315" name="Изображение 9385" descr="resizeПП-0016742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7934325" y="17289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152</xdr:row>
      <xdr:rowOff>28575</xdr:rowOff>
    </xdr:from>
    <xdr:to>
      <xdr:col>10</xdr:col>
      <xdr:colOff>885825</xdr:colOff>
      <xdr:row>152</xdr:row>
      <xdr:rowOff>1209675</xdr:rowOff>
    </xdr:to>
    <xdr:pic>
      <xdr:nvPicPr>
        <xdr:cNvPr id="316" name="Изображение 9530" descr="resizeПП-00177399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7934325" y="174117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153</xdr:row>
      <xdr:rowOff>28575</xdr:rowOff>
    </xdr:from>
    <xdr:to>
      <xdr:col>10</xdr:col>
      <xdr:colOff>885825</xdr:colOff>
      <xdr:row>153</xdr:row>
      <xdr:rowOff>1209675</xdr:rowOff>
    </xdr:to>
    <xdr:pic>
      <xdr:nvPicPr>
        <xdr:cNvPr id="317" name="Изображение 9579" descr="resizeПП-00165610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7934325" y="175336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154</xdr:row>
      <xdr:rowOff>28575</xdr:rowOff>
    </xdr:from>
    <xdr:to>
      <xdr:col>10</xdr:col>
      <xdr:colOff>885825</xdr:colOff>
      <xdr:row>154</xdr:row>
      <xdr:rowOff>1209675</xdr:rowOff>
    </xdr:to>
    <xdr:pic>
      <xdr:nvPicPr>
        <xdr:cNvPr id="318" name="Изображение 9657" descr="resizeПП-00169280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7934325" y="176555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155</xdr:row>
      <xdr:rowOff>28575</xdr:rowOff>
    </xdr:from>
    <xdr:to>
      <xdr:col>10</xdr:col>
      <xdr:colOff>1190625</xdr:colOff>
      <xdr:row>155</xdr:row>
      <xdr:rowOff>904875</xdr:rowOff>
    </xdr:to>
    <xdr:pic>
      <xdr:nvPicPr>
        <xdr:cNvPr id="319" name="Изображение 9765" descr="resizeПП-0019871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7934325" y="1777746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156</xdr:row>
      <xdr:rowOff>28575</xdr:rowOff>
    </xdr:from>
    <xdr:to>
      <xdr:col>10</xdr:col>
      <xdr:colOff>885825</xdr:colOff>
      <xdr:row>156</xdr:row>
      <xdr:rowOff>1209675</xdr:rowOff>
    </xdr:to>
    <xdr:pic>
      <xdr:nvPicPr>
        <xdr:cNvPr id="320" name="Изображение 9801" descr="resizeПП-00154025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7934325" y="178993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157</xdr:row>
      <xdr:rowOff>28575</xdr:rowOff>
    </xdr:from>
    <xdr:to>
      <xdr:col>10</xdr:col>
      <xdr:colOff>885825</xdr:colOff>
      <xdr:row>157</xdr:row>
      <xdr:rowOff>1209675</xdr:rowOff>
    </xdr:to>
    <xdr:pic>
      <xdr:nvPicPr>
        <xdr:cNvPr id="321" name="Изображение 9810" descr="resizeПП-00141136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7934325" y="18021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158</xdr:row>
      <xdr:rowOff>28575</xdr:rowOff>
    </xdr:from>
    <xdr:to>
      <xdr:col>10</xdr:col>
      <xdr:colOff>885825</xdr:colOff>
      <xdr:row>158</xdr:row>
      <xdr:rowOff>1209675</xdr:rowOff>
    </xdr:to>
    <xdr:pic>
      <xdr:nvPicPr>
        <xdr:cNvPr id="322" name="Изображение 9813" descr="resizeПП-0014117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7934325" y="181432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159</xdr:row>
      <xdr:rowOff>28575</xdr:rowOff>
    </xdr:from>
    <xdr:to>
      <xdr:col>10</xdr:col>
      <xdr:colOff>1190625</xdr:colOff>
      <xdr:row>159</xdr:row>
      <xdr:rowOff>1209675</xdr:rowOff>
    </xdr:to>
    <xdr:pic>
      <xdr:nvPicPr>
        <xdr:cNvPr id="323" name="Изображение 9819" descr="resizeПП-00194896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7934325" y="1826514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160</xdr:row>
      <xdr:rowOff>28575</xdr:rowOff>
    </xdr:from>
    <xdr:to>
      <xdr:col>10</xdr:col>
      <xdr:colOff>1190625</xdr:colOff>
      <xdr:row>160</xdr:row>
      <xdr:rowOff>1209675</xdr:rowOff>
    </xdr:to>
    <xdr:pic>
      <xdr:nvPicPr>
        <xdr:cNvPr id="324" name="Изображение 9823" descr="resizeПП-00194905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7934325" y="18387060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161</xdr:row>
      <xdr:rowOff>28575</xdr:rowOff>
    </xdr:from>
    <xdr:to>
      <xdr:col>10</xdr:col>
      <xdr:colOff>885825</xdr:colOff>
      <xdr:row>161</xdr:row>
      <xdr:rowOff>1209675</xdr:rowOff>
    </xdr:to>
    <xdr:pic>
      <xdr:nvPicPr>
        <xdr:cNvPr id="325" name="Изображение 9913" descr="resizeПП-00197266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7934325" y="185089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162</xdr:row>
      <xdr:rowOff>28575</xdr:rowOff>
    </xdr:from>
    <xdr:to>
      <xdr:col>10</xdr:col>
      <xdr:colOff>1190625</xdr:colOff>
      <xdr:row>162</xdr:row>
      <xdr:rowOff>857250</xdr:rowOff>
    </xdr:to>
    <xdr:pic>
      <xdr:nvPicPr>
        <xdr:cNvPr id="326" name="Изображение 9985" descr="resizeПП-00164658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7934325" y="1863090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163</xdr:row>
      <xdr:rowOff>28575</xdr:rowOff>
    </xdr:from>
    <xdr:to>
      <xdr:col>10</xdr:col>
      <xdr:colOff>1190625</xdr:colOff>
      <xdr:row>163</xdr:row>
      <xdr:rowOff>904875</xdr:rowOff>
    </xdr:to>
    <xdr:pic>
      <xdr:nvPicPr>
        <xdr:cNvPr id="327" name="Изображение 10137" descr="resizeПП-00145990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7934325" y="187528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164</xdr:row>
      <xdr:rowOff>28575</xdr:rowOff>
    </xdr:from>
    <xdr:to>
      <xdr:col>10</xdr:col>
      <xdr:colOff>1190625</xdr:colOff>
      <xdr:row>164</xdr:row>
      <xdr:rowOff>857250</xdr:rowOff>
    </xdr:to>
    <xdr:pic>
      <xdr:nvPicPr>
        <xdr:cNvPr id="328" name="Изображение 10160" descr="resizeПП-00162947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7934325" y="1887474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165</xdr:row>
      <xdr:rowOff>28575</xdr:rowOff>
    </xdr:from>
    <xdr:to>
      <xdr:col>10</xdr:col>
      <xdr:colOff>885825</xdr:colOff>
      <xdr:row>165</xdr:row>
      <xdr:rowOff>1209675</xdr:rowOff>
    </xdr:to>
    <xdr:pic>
      <xdr:nvPicPr>
        <xdr:cNvPr id="329" name="Изображение 10196" descr="resizeПП-00166610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7934325" y="189966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166</xdr:row>
      <xdr:rowOff>28575</xdr:rowOff>
    </xdr:from>
    <xdr:to>
      <xdr:col>10</xdr:col>
      <xdr:colOff>885825</xdr:colOff>
      <xdr:row>166</xdr:row>
      <xdr:rowOff>1209675</xdr:rowOff>
    </xdr:to>
    <xdr:pic>
      <xdr:nvPicPr>
        <xdr:cNvPr id="330" name="Изображение 10209" descr="resizeПП-0019397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7934325" y="191185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167</xdr:row>
      <xdr:rowOff>28575</xdr:rowOff>
    </xdr:from>
    <xdr:to>
      <xdr:col>10</xdr:col>
      <xdr:colOff>885825</xdr:colOff>
      <xdr:row>167</xdr:row>
      <xdr:rowOff>1209675</xdr:rowOff>
    </xdr:to>
    <xdr:pic>
      <xdr:nvPicPr>
        <xdr:cNvPr id="331" name="Изображение 10302" descr="resizeПП-00196883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7934325" y="192405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168</xdr:row>
      <xdr:rowOff>28575</xdr:rowOff>
    </xdr:from>
    <xdr:to>
      <xdr:col>10</xdr:col>
      <xdr:colOff>885825</xdr:colOff>
      <xdr:row>168</xdr:row>
      <xdr:rowOff>1209675</xdr:rowOff>
    </xdr:to>
    <xdr:pic>
      <xdr:nvPicPr>
        <xdr:cNvPr id="332" name="Изображение 10452" descr="resizeПП-0016625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7934325" y="193624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169</xdr:row>
      <xdr:rowOff>28575</xdr:rowOff>
    </xdr:from>
    <xdr:to>
      <xdr:col>10</xdr:col>
      <xdr:colOff>1190625</xdr:colOff>
      <xdr:row>169</xdr:row>
      <xdr:rowOff>790575</xdr:rowOff>
    </xdr:to>
    <xdr:pic>
      <xdr:nvPicPr>
        <xdr:cNvPr id="333" name="Изображение 10551" descr="resizeПП-0016630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7934325" y="194843400"/>
          <a:ext cx="1181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170</xdr:row>
      <xdr:rowOff>28575</xdr:rowOff>
    </xdr:from>
    <xdr:to>
      <xdr:col>10</xdr:col>
      <xdr:colOff>1190625</xdr:colOff>
      <xdr:row>170</xdr:row>
      <xdr:rowOff>847725</xdr:rowOff>
    </xdr:to>
    <xdr:pic>
      <xdr:nvPicPr>
        <xdr:cNvPr id="334" name="Изображение 10571" descr="resizeПП-00196368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7934325" y="1960626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171</xdr:row>
      <xdr:rowOff>28575</xdr:rowOff>
    </xdr:from>
    <xdr:to>
      <xdr:col>10</xdr:col>
      <xdr:colOff>1190625</xdr:colOff>
      <xdr:row>171</xdr:row>
      <xdr:rowOff>847725</xdr:rowOff>
    </xdr:to>
    <xdr:pic>
      <xdr:nvPicPr>
        <xdr:cNvPr id="335" name="Изображение 10572" descr="resizeПП-00196372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7934325" y="1972818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172</xdr:row>
      <xdr:rowOff>28575</xdr:rowOff>
    </xdr:from>
    <xdr:to>
      <xdr:col>10</xdr:col>
      <xdr:colOff>885825</xdr:colOff>
      <xdr:row>172</xdr:row>
      <xdr:rowOff>1209675</xdr:rowOff>
    </xdr:to>
    <xdr:pic>
      <xdr:nvPicPr>
        <xdr:cNvPr id="336" name="Изображение 10611" descr="resizeПП-00193856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7934325" y="198501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173</xdr:row>
      <xdr:rowOff>28575</xdr:rowOff>
    </xdr:from>
    <xdr:to>
      <xdr:col>10</xdr:col>
      <xdr:colOff>885825</xdr:colOff>
      <xdr:row>173</xdr:row>
      <xdr:rowOff>1209675</xdr:rowOff>
    </xdr:to>
    <xdr:pic>
      <xdr:nvPicPr>
        <xdr:cNvPr id="337" name="Изображение 10614" descr="resizeПП-0019385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7934325" y="199720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174</xdr:row>
      <xdr:rowOff>28575</xdr:rowOff>
    </xdr:from>
    <xdr:to>
      <xdr:col>10</xdr:col>
      <xdr:colOff>885825</xdr:colOff>
      <xdr:row>174</xdr:row>
      <xdr:rowOff>1209675</xdr:rowOff>
    </xdr:to>
    <xdr:pic>
      <xdr:nvPicPr>
        <xdr:cNvPr id="338" name="Изображение 10629" descr="resizeПП-00193913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7934325" y="200939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175</xdr:row>
      <xdr:rowOff>28575</xdr:rowOff>
    </xdr:from>
    <xdr:to>
      <xdr:col>10</xdr:col>
      <xdr:colOff>885825</xdr:colOff>
      <xdr:row>175</xdr:row>
      <xdr:rowOff>1209675</xdr:rowOff>
    </xdr:to>
    <xdr:pic>
      <xdr:nvPicPr>
        <xdr:cNvPr id="339" name="Изображение 10653" descr="resizeПП-00176611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7934325" y="202158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176</xdr:row>
      <xdr:rowOff>28575</xdr:rowOff>
    </xdr:from>
    <xdr:to>
      <xdr:col>10</xdr:col>
      <xdr:colOff>885825</xdr:colOff>
      <xdr:row>176</xdr:row>
      <xdr:rowOff>1209675</xdr:rowOff>
    </xdr:to>
    <xdr:pic>
      <xdr:nvPicPr>
        <xdr:cNvPr id="340" name="Изображение 10773" descr="resizeПП-00194262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7934325" y="203377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177</xdr:row>
      <xdr:rowOff>28575</xdr:rowOff>
    </xdr:from>
    <xdr:to>
      <xdr:col>10</xdr:col>
      <xdr:colOff>885825</xdr:colOff>
      <xdr:row>177</xdr:row>
      <xdr:rowOff>1209675</xdr:rowOff>
    </xdr:to>
    <xdr:pic>
      <xdr:nvPicPr>
        <xdr:cNvPr id="341" name="Изображение 10814" descr="resizeПП-0013356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7934325" y="204597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178</xdr:row>
      <xdr:rowOff>28575</xdr:rowOff>
    </xdr:from>
    <xdr:to>
      <xdr:col>10</xdr:col>
      <xdr:colOff>1190625</xdr:colOff>
      <xdr:row>178</xdr:row>
      <xdr:rowOff>904875</xdr:rowOff>
    </xdr:to>
    <xdr:pic>
      <xdr:nvPicPr>
        <xdr:cNvPr id="342" name="Изображение 10838" descr="resizeПП-0014059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7934325" y="20581620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179</xdr:row>
      <xdr:rowOff>28575</xdr:rowOff>
    </xdr:from>
    <xdr:to>
      <xdr:col>10</xdr:col>
      <xdr:colOff>1190625</xdr:colOff>
      <xdr:row>179</xdr:row>
      <xdr:rowOff>771525</xdr:rowOff>
    </xdr:to>
    <xdr:pic>
      <xdr:nvPicPr>
        <xdr:cNvPr id="343" name="Изображение 10880" descr="resizeПП-0011623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7934325" y="207035400"/>
          <a:ext cx="118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180</xdr:row>
      <xdr:rowOff>28575</xdr:rowOff>
    </xdr:from>
    <xdr:to>
      <xdr:col>10</xdr:col>
      <xdr:colOff>885825</xdr:colOff>
      <xdr:row>180</xdr:row>
      <xdr:rowOff>1209675</xdr:rowOff>
    </xdr:to>
    <xdr:pic>
      <xdr:nvPicPr>
        <xdr:cNvPr id="344" name="Изображение 11032" descr="resizeПП-00181336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7934325" y="2082546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181</xdr:row>
      <xdr:rowOff>28575</xdr:rowOff>
    </xdr:from>
    <xdr:to>
      <xdr:col>10</xdr:col>
      <xdr:colOff>885825</xdr:colOff>
      <xdr:row>181</xdr:row>
      <xdr:rowOff>1209675</xdr:rowOff>
    </xdr:to>
    <xdr:pic>
      <xdr:nvPicPr>
        <xdr:cNvPr id="345" name="Изображение 11078" descr="resizeПП-00188767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7934325" y="2094738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182</xdr:row>
      <xdr:rowOff>28575</xdr:rowOff>
    </xdr:from>
    <xdr:to>
      <xdr:col>10</xdr:col>
      <xdr:colOff>885825</xdr:colOff>
      <xdr:row>182</xdr:row>
      <xdr:rowOff>1209675</xdr:rowOff>
    </xdr:to>
    <xdr:pic>
      <xdr:nvPicPr>
        <xdr:cNvPr id="346" name="Изображение 11088" descr="resizeПП-00194711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7934325" y="2106930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183</xdr:row>
      <xdr:rowOff>28575</xdr:rowOff>
    </xdr:from>
    <xdr:to>
      <xdr:col>10</xdr:col>
      <xdr:colOff>885825</xdr:colOff>
      <xdr:row>183</xdr:row>
      <xdr:rowOff>1209675</xdr:rowOff>
    </xdr:to>
    <xdr:pic>
      <xdr:nvPicPr>
        <xdr:cNvPr id="347" name="Изображение 11160" descr="resizeПП-00192567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7934325" y="2119122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184</xdr:row>
      <xdr:rowOff>28575</xdr:rowOff>
    </xdr:from>
    <xdr:to>
      <xdr:col>10</xdr:col>
      <xdr:colOff>885825</xdr:colOff>
      <xdr:row>184</xdr:row>
      <xdr:rowOff>1209675</xdr:rowOff>
    </xdr:to>
    <xdr:pic>
      <xdr:nvPicPr>
        <xdr:cNvPr id="348" name="Изображение 11194" descr="resizeПП-00170846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7934325" y="21313140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U202"/>
  <sheetViews>
    <sheetView tabSelected="1" zoomScalePageLayoutView="0" workbookViewId="0" topLeftCell="A1">
      <selection activeCell="C12" sqref="C12:C202"/>
    </sheetView>
  </sheetViews>
  <sheetFormatPr defaultColWidth="10.5" defaultRowHeight="11.25" outlineLevelRow="7"/>
  <cols>
    <col min="1" max="1" width="5.5" style="0" bestFit="1" customWidth="1"/>
    <col min="2" max="2" width="7.83203125" style="0" bestFit="1" customWidth="1"/>
    <col min="3" max="3" width="12.16015625" style="0" bestFit="1" customWidth="1"/>
    <col min="4" max="7" width="17.5" style="0" bestFit="1" customWidth="1"/>
    <col min="8" max="8" width="15.16015625" style="0" bestFit="1" customWidth="1"/>
    <col min="9" max="9" width="11.66015625" style="0" bestFit="1" customWidth="1"/>
    <col min="10" max="10" width="16.33203125" style="0" bestFit="1" customWidth="1"/>
    <col min="11" max="11" width="21.33203125" style="1" bestFit="1" customWidth="1"/>
    <col min="12" max="12" width="16.5" style="0" bestFit="1" customWidth="1"/>
    <col min="13" max="14" width="11.66015625" style="0" bestFit="1" customWidth="1"/>
    <col min="15" max="15" width="13.66015625" style="0" bestFit="1" customWidth="1"/>
    <col min="16" max="18" width="10.5" style="0" customWidth="1"/>
    <col min="19" max="20" width="13.5" style="0" bestFit="1" customWidth="1"/>
    <col min="21" max="21" width="22.33203125" style="0" bestFit="1" customWidth="1"/>
  </cols>
  <sheetData>
    <row r="1" ht="11.25" customHeight="1"/>
    <row r="2" ht="24" customHeight="1">
      <c r="F2" s="2" t="s">
        <v>0</v>
      </c>
    </row>
    <row r="3" spans="2:16" ht="15.75" customHeight="1">
      <c r="B3" s="36"/>
      <c r="C3" s="36"/>
      <c r="D3" s="37" t="s">
        <v>1</v>
      </c>
      <c r="E3" s="37"/>
      <c r="F3" s="37"/>
      <c r="G3" s="37"/>
      <c r="N3" s="38" t="s">
        <v>2</v>
      </c>
      <c r="O3" s="38"/>
      <c r="P3" s="11"/>
    </row>
    <row r="4" spans="3:7" ht="15" customHeight="1">
      <c r="C4" s="39" t="s">
        <v>3</v>
      </c>
      <c r="D4" s="39"/>
      <c r="E4" s="39"/>
      <c r="F4" s="39"/>
      <c r="G4" s="39"/>
    </row>
    <row r="5" spans="15:17" ht="11.25" customHeight="1">
      <c r="O5">
        <f>SUM(O8:O185)</f>
        <v>0</v>
      </c>
      <c r="P5">
        <f>SUM(P8:P185)</f>
        <v>0</v>
      </c>
      <c r="Q5">
        <f>SUM(Q8:Q185)</f>
        <v>0</v>
      </c>
    </row>
    <row r="6" spans="2:20" ht="19.5" customHeight="1">
      <c r="B6" s="46" t="s">
        <v>4</v>
      </c>
      <c r="C6" s="48" t="s">
        <v>5</v>
      </c>
      <c r="D6" s="48" t="s">
        <v>6</v>
      </c>
      <c r="E6" s="48"/>
      <c r="F6" s="48"/>
      <c r="G6" s="48"/>
      <c r="H6" s="48" t="s">
        <v>7</v>
      </c>
      <c r="I6" s="50" t="s">
        <v>8</v>
      </c>
      <c r="J6" s="52" t="s">
        <v>9</v>
      </c>
      <c r="K6" s="48" t="s">
        <v>10</v>
      </c>
      <c r="L6" s="52" t="s">
        <v>11</v>
      </c>
      <c r="M6" s="48" t="s">
        <v>12</v>
      </c>
      <c r="N6" s="48" t="s">
        <v>13</v>
      </c>
      <c r="O6" s="48" t="s">
        <v>14</v>
      </c>
      <c r="P6" s="48" t="s">
        <v>15</v>
      </c>
      <c r="Q6" s="48" t="s">
        <v>16</v>
      </c>
      <c r="R6" s="48" t="s">
        <v>17</v>
      </c>
      <c r="S6" s="50" t="s">
        <v>18</v>
      </c>
      <c r="T6" s="50" t="s">
        <v>19</v>
      </c>
    </row>
    <row r="7" spans="2:20" ht="19.5" customHeight="1">
      <c r="B7" s="47"/>
      <c r="C7" s="49"/>
      <c r="D7" s="54"/>
      <c r="E7" s="54"/>
      <c r="F7" s="54"/>
      <c r="G7" s="49"/>
      <c r="H7" s="49"/>
      <c r="I7" s="51"/>
      <c r="J7" s="53"/>
      <c r="K7" s="49"/>
      <c r="L7" s="53"/>
      <c r="M7" s="49"/>
      <c r="N7" s="49"/>
      <c r="O7" s="49"/>
      <c r="P7" s="49"/>
      <c r="Q7" s="49"/>
      <c r="R7" s="49"/>
      <c r="S7" s="51"/>
      <c r="T7" s="51"/>
    </row>
    <row r="8" spans="2:7" ht="15.75" customHeight="1">
      <c r="B8" s="40" t="s">
        <v>20</v>
      </c>
      <c r="C8" s="40"/>
      <c r="D8" s="40"/>
      <c r="E8" s="40"/>
      <c r="F8" s="40"/>
      <c r="G8" s="40"/>
    </row>
    <row r="9" spans="2:7" ht="15.75" customHeight="1" outlineLevel="1">
      <c r="B9" s="41" t="s">
        <v>21</v>
      </c>
      <c r="C9" s="41"/>
      <c r="D9" s="41"/>
      <c r="E9" s="41"/>
      <c r="F9" s="41"/>
      <c r="G9" s="41"/>
    </row>
    <row r="10" spans="2:7" ht="12" customHeight="1" outlineLevel="2">
      <c r="B10" s="42" t="s">
        <v>22</v>
      </c>
      <c r="C10" s="42"/>
      <c r="D10" s="42"/>
      <c r="E10" s="42"/>
      <c r="F10" s="42"/>
      <c r="G10" s="42"/>
    </row>
    <row r="11" spans="2:7" ht="12" customHeight="1" outlineLevel="3">
      <c r="B11" s="43" t="s">
        <v>23</v>
      </c>
      <c r="C11" s="43"/>
      <c r="D11" s="43"/>
      <c r="E11" s="43"/>
      <c r="F11" s="43"/>
      <c r="G11" s="43"/>
    </row>
    <row r="12" spans="2:20" ht="96" customHeight="1" outlineLevel="4">
      <c r="B12" s="3">
        <v>1</v>
      </c>
      <c r="C12" s="4" t="s">
        <v>24</v>
      </c>
      <c r="D12" s="44" t="s">
        <v>25</v>
      </c>
      <c r="E12" s="44"/>
      <c r="F12" s="44"/>
      <c r="G12" s="44"/>
      <c r="H12" s="5" t="s">
        <v>26</v>
      </c>
      <c r="I12" s="12">
        <v>24</v>
      </c>
      <c r="J12" s="12">
        <v>22</v>
      </c>
      <c r="K12" s="13"/>
      <c r="L12" s="3">
        <v>1</v>
      </c>
      <c r="M12" s="14">
        <f>319.29*(1-P3/100)</f>
        <v>319.29</v>
      </c>
      <c r="N12" s="15"/>
      <c r="O12" s="16">
        <f>M12*N12</f>
        <v>0</v>
      </c>
      <c r="P12" s="17">
        <f>0.345*N12</f>
        <v>0</v>
      </c>
      <c r="Q12" s="28">
        <f>0.00563*N12</f>
        <v>0</v>
      </c>
      <c r="R12" s="29"/>
      <c r="S12" s="4"/>
      <c r="T12" s="4" t="str">
        <f>HYPERLINK("https://redcat-toys.ru/api/getInfo/item/a1c05fa8-a8da-11eb-a201-ac1f6b442185")</f>
        <v>https://redcat-toys.ru/api/getInfo/item/a1c05fa8-a8da-11eb-a201-ac1f6b442185</v>
      </c>
    </row>
    <row r="13" spans="2:20" ht="96" customHeight="1" outlineLevel="4">
      <c r="B13" s="3">
        <v>2</v>
      </c>
      <c r="C13" s="4" t="s">
        <v>27</v>
      </c>
      <c r="D13" s="44" t="s">
        <v>28</v>
      </c>
      <c r="E13" s="44"/>
      <c r="F13" s="44"/>
      <c r="G13" s="44"/>
      <c r="H13" s="5" t="s">
        <v>29</v>
      </c>
      <c r="I13" s="12">
        <v>96</v>
      </c>
      <c r="J13" s="12">
        <v>326</v>
      </c>
      <c r="K13" s="13"/>
      <c r="L13" s="3">
        <v>2</v>
      </c>
      <c r="M13" s="14">
        <f>115*(1-P3/100)</f>
        <v>115</v>
      </c>
      <c r="N13" s="15"/>
      <c r="O13" s="16">
        <f>M13*N13</f>
        <v>0</v>
      </c>
      <c r="P13" s="17">
        <f>0.128*N13</f>
        <v>0</v>
      </c>
      <c r="Q13" s="30">
        <f>0.0008*N13</f>
        <v>0</v>
      </c>
      <c r="R13" s="29"/>
      <c r="S13" s="4"/>
      <c r="T13" s="4" t="str">
        <f>HYPERLINK("https://redcat-toys.ru/api/getInfo/item/9a5d0fee-9e58-11ea-a248-ac1f6b442184")</f>
        <v>https://redcat-toys.ru/api/getInfo/item/9a5d0fee-9e58-11ea-a248-ac1f6b442184</v>
      </c>
    </row>
    <row r="14" spans="2:20" ht="96" customHeight="1" outlineLevel="4">
      <c r="B14" s="6">
        <v>12</v>
      </c>
      <c r="C14" s="7" t="s">
        <v>30</v>
      </c>
      <c r="D14" s="45" t="s">
        <v>31</v>
      </c>
      <c r="E14" s="45"/>
      <c r="F14" s="45"/>
      <c r="G14" s="45"/>
      <c r="H14" s="8" t="s">
        <v>32</v>
      </c>
      <c r="I14" s="18">
        <v>36</v>
      </c>
      <c r="J14" s="19" t="s">
        <v>33</v>
      </c>
      <c r="K14" s="20"/>
      <c r="L14" s="6">
        <v>1</v>
      </c>
      <c r="M14" s="21">
        <f>265.07*(1-P3/100)</f>
        <v>265.07</v>
      </c>
      <c r="N14" s="15"/>
      <c r="O14" s="19">
        <f>M14*N14</f>
        <v>0</v>
      </c>
      <c r="P14" s="22">
        <f>0.277*N14</f>
        <v>0</v>
      </c>
      <c r="Q14" s="31">
        <f>0.00469*N14</f>
        <v>0</v>
      </c>
      <c r="R14" s="32" t="s">
        <v>34</v>
      </c>
      <c r="S14" s="7"/>
      <c r="T14" s="7" t="str">
        <f>HYPERLINK("https://redcat-toys.ru/api/getInfo/item/e7527bec-b0d4-11ec-a211-ac1f6b442185")</f>
        <v>https://redcat-toys.ru/api/getInfo/item/e7527bec-b0d4-11ec-a211-ac1f6b442185</v>
      </c>
    </row>
    <row r="15" spans="2:21" ht="96" customHeight="1" outlineLevel="4">
      <c r="B15" s="6">
        <v>50</v>
      </c>
      <c r="C15" s="7" t="s">
        <v>35</v>
      </c>
      <c r="D15" s="45" t="s">
        <v>36</v>
      </c>
      <c r="E15" s="45"/>
      <c r="F15" s="45"/>
      <c r="G15" s="45"/>
      <c r="H15" s="8" t="s">
        <v>37</v>
      </c>
      <c r="I15" s="18">
        <v>96</v>
      </c>
      <c r="J15" s="18">
        <v>77</v>
      </c>
      <c r="K15" s="20"/>
      <c r="L15" s="6">
        <v>1</v>
      </c>
      <c r="M15" s="21">
        <f>328.57*(1-P3/100)</f>
        <v>328.57</v>
      </c>
      <c r="N15" s="15"/>
      <c r="O15" s="19">
        <f>M15*N15</f>
        <v>0</v>
      </c>
      <c r="P15" s="23">
        <f>0.26*N15</f>
        <v>0</v>
      </c>
      <c r="Q15" s="31">
        <f>0.00205*N15</f>
        <v>0</v>
      </c>
      <c r="R15" s="32" t="s">
        <v>34</v>
      </c>
      <c r="S15" s="7"/>
      <c r="T15" s="7" t="str">
        <f>HYPERLINK("https://redcat-toys.ru/api/getInfo/item/54315354-b0cc-11ec-a211-ac1f6b442185")</f>
        <v>https://redcat-toys.ru/api/getInfo/item/54315354-b0cc-11ec-a211-ac1f6b442185</v>
      </c>
      <c r="U15" s="33"/>
    </row>
    <row r="16" spans="2:20" ht="96" customHeight="1" outlineLevel="4">
      <c r="B16" s="3">
        <v>109</v>
      </c>
      <c r="C16" s="4" t="s">
        <v>38</v>
      </c>
      <c r="D16" s="44" t="s">
        <v>39</v>
      </c>
      <c r="E16" s="44"/>
      <c r="F16" s="44"/>
      <c r="G16" s="44"/>
      <c r="H16" s="5" t="s">
        <v>40</v>
      </c>
      <c r="I16" s="12">
        <v>36</v>
      </c>
      <c r="J16" s="12">
        <v>57</v>
      </c>
      <c r="K16" s="13"/>
      <c r="L16" s="3">
        <v>1</v>
      </c>
      <c r="M16" s="14">
        <f>342*(1-P3/100)</f>
        <v>342</v>
      </c>
      <c r="N16" s="15"/>
      <c r="O16" s="16">
        <f>M16*N16</f>
        <v>0</v>
      </c>
      <c r="P16" s="24">
        <f>0.29*N16</f>
        <v>0</v>
      </c>
      <c r="Q16" s="28">
        <f>0.00583*N16</f>
        <v>0</v>
      </c>
      <c r="R16" s="29"/>
      <c r="S16" s="4"/>
      <c r="T16" s="4" t="str">
        <f>HYPERLINK("https://redcat-toys.ru/api/getInfo/item/4703f236-1527-11eb-a25d-ac1f6b442184")</f>
        <v>https://redcat-toys.ru/api/getInfo/item/4703f236-1527-11eb-a25d-ac1f6b442184</v>
      </c>
    </row>
    <row r="17" spans="2:20" ht="96" customHeight="1" outlineLevel="4">
      <c r="B17" s="3">
        <v>117</v>
      </c>
      <c r="C17" s="4" t="s">
        <v>41</v>
      </c>
      <c r="D17" s="44" t="s">
        <v>42</v>
      </c>
      <c r="E17" s="44"/>
      <c r="F17" s="44"/>
      <c r="G17" s="44"/>
      <c r="H17" s="5" t="s">
        <v>43</v>
      </c>
      <c r="I17" s="12">
        <v>18</v>
      </c>
      <c r="J17" s="12">
        <v>48</v>
      </c>
      <c r="K17" s="13"/>
      <c r="L17" s="3">
        <v>1</v>
      </c>
      <c r="M17" s="25">
        <f>1219.73*(1-P3/100)</f>
        <v>1219.73</v>
      </c>
      <c r="N17" s="15"/>
      <c r="O17" s="16">
        <f>M17*N17</f>
        <v>0</v>
      </c>
      <c r="P17" s="17">
        <f>0.968*N17</f>
        <v>0</v>
      </c>
      <c r="Q17" s="30">
        <f>0.0185*N17</f>
        <v>0</v>
      </c>
      <c r="R17" s="29"/>
      <c r="S17" s="4"/>
      <c r="T17" s="4" t="str">
        <f>HYPERLINK("https://redcat-toys.ru/api/getInfo/item/c526f167-178c-11eb-a25d-ac1f6b442184")</f>
        <v>https://redcat-toys.ru/api/getInfo/item/c526f167-178c-11eb-a25d-ac1f6b442184</v>
      </c>
    </row>
    <row r="18" spans="2:21" ht="96" customHeight="1" outlineLevel="5">
      <c r="B18" s="6">
        <v>168</v>
      </c>
      <c r="C18" s="7" t="s">
        <v>44</v>
      </c>
      <c r="D18" s="45" t="s">
        <v>45</v>
      </c>
      <c r="E18" s="45"/>
      <c r="F18" s="45"/>
      <c r="G18" s="45"/>
      <c r="H18" s="8" t="s">
        <v>46</v>
      </c>
      <c r="I18" s="18">
        <v>4</v>
      </c>
      <c r="J18" s="18">
        <v>69</v>
      </c>
      <c r="K18" s="20"/>
      <c r="L18" s="6">
        <v>4</v>
      </c>
      <c r="M18" s="26">
        <f>3573.52*(1-P3/100)</f>
        <v>3573.52</v>
      </c>
      <c r="N18" s="15"/>
      <c r="O18" s="19">
        <f>M18*N18</f>
        <v>0</v>
      </c>
      <c r="P18" s="22">
        <f>4.025*N18</f>
        <v>0</v>
      </c>
      <c r="Q18" s="31">
        <f>0.03575*N18</f>
        <v>0</v>
      </c>
      <c r="R18" s="32" t="s">
        <v>34</v>
      </c>
      <c r="S18" s="7"/>
      <c r="T18" s="7" t="str">
        <f>HYPERLINK("https://redcat-toys.ru/api/getInfo/item/e9a68884-25aa-11ec-a20f-ac1f6b442185")</f>
        <v>https://redcat-toys.ru/api/getInfo/item/e9a68884-25aa-11ec-a20f-ac1f6b442185</v>
      </c>
      <c r="U18" s="33"/>
    </row>
    <row r="19" spans="2:21" ht="96" customHeight="1" outlineLevel="5">
      <c r="B19" s="6">
        <v>176</v>
      </c>
      <c r="C19" s="7" t="s">
        <v>47</v>
      </c>
      <c r="D19" s="45" t="s">
        <v>48</v>
      </c>
      <c r="E19" s="45"/>
      <c r="F19" s="45"/>
      <c r="G19" s="45"/>
      <c r="H19" s="8" t="s">
        <v>49</v>
      </c>
      <c r="I19" s="18">
        <v>6</v>
      </c>
      <c r="J19" s="18">
        <v>16</v>
      </c>
      <c r="K19" s="20"/>
      <c r="L19" s="6">
        <v>6</v>
      </c>
      <c r="M19" s="26">
        <f>2006.19*(1-P3/100)</f>
        <v>2006.19</v>
      </c>
      <c r="N19" s="15"/>
      <c r="O19" s="19">
        <f>M19*N19</f>
        <v>0</v>
      </c>
      <c r="P19" s="22">
        <f>2.481*N19</f>
        <v>0</v>
      </c>
      <c r="Q19" s="22">
        <f>0.025*N19</f>
        <v>0</v>
      </c>
      <c r="R19" s="32" t="s">
        <v>34</v>
      </c>
      <c r="S19" s="7"/>
      <c r="T19" s="7" t="str">
        <f>HYPERLINK("https://redcat-toys.ru/api/getInfo/item/c58474ce-25ae-11ec-a20f-ac1f6b442185")</f>
        <v>https://redcat-toys.ru/api/getInfo/item/c58474ce-25ae-11ec-a20f-ac1f6b442185</v>
      </c>
      <c r="U19" s="33"/>
    </row>
    <row r="20" spans="2:21" ht="96" customHeight="1" outlineLevel="5">
      <c r="B20" s="6">
        <v>211</v>
      </c>
      <c r="C20" s="7" t="s">
        <v>50</v>
      </c>
      <c r="D20" s="45" t="s">
        <v>51</v>
      </c>
      <c r="E20" s="45"/>
      <c r="F20" s="45"/>
      <c r="G20" s="45"/>
      <c r="H20" s="8" t="s">
        <v>52</v>
      </c>
      <c r="I20" s="18">
        <v>6</v>
      </c>
      <c r="J20" s="18">
        <v>21</v>
      </c>
      <c r="K20" s="20"/>
      <c r="L20" s="6">
        <v>1</v>
      </c>
      <c r="M20" s="26">
        <f>5051.22*(1-P3/100)</f>
        <v>5051.22</v>
      </c>
      <c r="N20" s="15"/>
      <c r="O20" s="19">
        <f>M20*N20</f>
        <v>0</v>
      </c>
      <c r="P20" s="22">
        <f>3.523*N20</f>
        <v>0</v>
      </c>
      <c r="Q20" s="31">
        <f>0.03017*N20</f>
        <v>0</v>
      </c>
      <c r="R20" s="32" t="s">
        <v>34</v>
      </c>
      <c r="S20" s="7"/>
      <c r="T20" s="7" t="str">
        <f>HYPERLINK("https://redcat-toys.ru/api/getInfo/item/a1fc6053-fbfb-11eb-a20e-ac1f6b442185")</f>
        <v>https://redcat-toys.ru/api/getInfo/item/a1fc6053-fbfb-11eb-a20e-ac1f6b442185</v>
      </c>
      <c r="U20" s="33"/>
    </row>
    <row r="21" spans="2:21" ht="96" customHeight="1" outlineLevel="5">
      <c r="B21" s="6">
        <v>214</v>
      </c>
      <c r="C21" s="7" t="s">
        <v>53</v>
      </c>
      <c r="D21" s="45" t="s">
        <v>54</v>
      </c>
      <c r="E21" s="45"/>
      <c r="F21" s="45"/>
      <c r="G21" s="45"/>
      <c r="H21" s="8" t="s">
        <v>55</v>
      </c>
      <c r="I21" s="18">
        <v>4</v>
      </c>
      <c r="J21" s="18">
        <v>229</v>
      </c>
      <c r="K21" s="20"/>
      <c r="L21" s="6">
        <v>1</v>
      </c>
      <c r="M21" s="26">
        <f>3940.22*(1-P3/100)</f>
        <v>3940.22</v>
      </c>
      <c r="N21" s="15"/>
      <c r="O21" s="19">
        <f>M21*N21</f>
        <v>0</v>
      </c>
      <c r="P21" s="22">
        <f>4.042*N21</f>
        <v>0</v>
      </c>
      <c r="Q21" s="22">
        <f>0.034*N21</f>
        <v>0</v>
      </c>
      <c r="R21" s="32" t="s">
        <v>34</v>
      </c>
      <c r="S21" s="7"/>
      <c r="T21" s="7" t="str">
        <f>HYPERLINK("https://redcat-toys.ru/api/getInfo/item/58084365-35b4-11ed-a216-ac1f6b442185")</f>
        <v>https://redcat-toys.ru/api/getInfo/item/58084365-35b4-11ed-a216-ac1f6b442185</v>
      </c>
      <c r="U21" s="33"/>
    </row>
    <row r="22" spans="2:21" ht="96" customHeight="1" outlineLevel="4">
      <c r="B22" s="6">
        <v>223</v>
      </c>
      <c r="C22" s="7" t="s">
        <v>56</v>
      </c>
      <c r="D22" s="45" t="s">
        <v>57</v>
      </c>
      <c r="E22" s="45"/>
      <c r="F22" s="45"/>
      <c r="G22" s="45"/>
      <c r="H22" s="8" t="s">
        <v>58</v>
      </c>
      <c r="I22" s="18">
        <v>1</v>
      </c>
      <c r="J22" s="18">
        <v>14</v>
      </c>
      <c r="K22" s="20"/>
      <c r="L22" s="6">
        <v>1</v>
      </c>
      <c r="M22" s="26">
        <f>9357.09*(1-P3/100)</f>
        <v>9357.09</v>
      </c>
      <c r="N22" s="15"/>
      <c r="O22" s="19">
        <f>M22*N22</f>
        <v>0</v>
      </c>
      <c r="P22" s="18">
        <f>13*N22</f>
        <v>0</v>
      </c>
      <c r="Q22" s="22">
        <f>0.052*N22</f>
        <v>0</v>
      </c>
      <c r="R22" s="32" t="s">
        <v>34</v>
      </c>
      <c r="S22" s="7"/>
      <c r="T22" s="7" t="str">
        <f>HYPERLINK("https://redcat-toys.ru/api/getInfo/item/afd8fe76-fb4c-11eb-a20e-ac1f6b442185")</f>
        <v>https://redcat-toys.ru/api/getInfo/item/afd8fe76-fb4c-11eb-a20e-ac1f6b442185</v>
      </c>
      <c r="U22" s="33"/>
    </row>
    <row r="23" spans="2:21" ht="96" customHeight="1" outlineLevel="4">
      <c r="B23" s="6">
        <v>230</v>
      </c>
      <c r="C23" s="7" t="s">
        <v>59</v>
      </c>
      <c r="D23" s="45" t="s">
        <v>60</v>
      </c>
      <c r="E23" s="45"/>
      <c r="F23" s="45"/>
      <c r="G23" s="45"/>
      <c r="H23" s="8" t="s">
        <v>61</v>
      </c>
      <c r="I23" s="18">
        <v>1</v>
      </c>
      <c r="J23" s="18">
        <v>88</v>
      </c>
      <c r="K23" s="20"/>
      <c r="L23" s="6">
        <v>1</v>
      </c>
      <c r="M23" s="26">
        <f>12028.31*(1-P3/100)</f>
        <v>12028.31</v>
      </c>
      <c r="N23" s="15"/>
      <c r="O23" s="19">
        <f>M23*N23</f>
        <v>0</v>
      </c>
      <c r="P23" s="18">
        <f>29*N23</f>
        <v>0</v>
      </c>
      <c r="Q23" s="22">
        <f>0.096*N23</f>
        <v>0</v>
      </c>
      <c r="R23" s="32" t="s">
        <v>34</v>
      </c>
      <c r="S23" s="7"/>
      <c r="T23" s="7" t="str">
        <f>HYPERLINK("https://redcat-toys.ru/api/getInfo/item/8892f9b8-fb50-11eb-a20e-ac1f6b442185")</f>
        <v>https://redcat-toys.ru/api/getInfo/item/8892f9b8-fb50-11eb-a20e-ac1f6b442185</v>
      </c>
      <c r="U23" s="33"/>
    </row>
    <row r="24" spans="2:21" ht="96" customHeight="1" outlineLevel="4">
      <c r="B24" s="6">
        <v>232</v>
      </c>
      <c r="C24" s="7" t="s">
        <v>62</v>
      </c>
      <c r="D24" s="45" t="s">
        <v>63</v>
      </c>
      <c r="E24" s="45"/>
      <c r="F24" s="45"/>
      <c r="G24" s="45"/>
      <c r="H24" s="8" t="s">
        <v>64</v>
      </c>
      <c r="I24" s="18">
        <v>1</v>
      </c>
      <c r="J24" s="18">
        <v>36</v>
      </c>
      <c r="K24" s="20"/>
      <c r="L24" s="6">
        <v>1</v>
      </c>
      <c r="M24" s="26">
        <f>20647.35*(1-P3/100)</f>
        <v>20647.35</v>
      </c>
      <c r="N24" s="15"/>
      <c r="O24" s="19">
        <f>M24*N24</f>
        <v>0</v>
      </c>
      <c r="P24" s="18">
        <f>37*N24</f>
        <v>0</v>
      </c>
      <c r="Q24" s="22">
        <f>0.138*N24</f>
        <v>0</v>
      </c>
      <c r="R24" s="32" t="s">
        <v>34</v>
      </c>
      <c r="S24" s="7"/>
      <c r="T24" s="7" t="str">
        <f>HYPERLINK("https://redcat-toys.ru/api/getInfo/item/be113af6-fb53-11eb-a20e-ac1f6b442185")</f>
        <v>https://redcat-toys.ru/api/getInfo/item/be113af6-fb53-11eb-a20e-ac1f6b442185</v>
      </c>
      <c r="U24" s="33"/>
    </row>
    <row r="25" spans="2:20" ht="96" customHeight="1" outlineLevel="4">
      <c r="B25" s="3">
        <v>237</v>
      </c>
      <c r="C25" s="4" t="s">
        <v>65</v>
      </c>
      <c r="D25" s="44" t="s">
        <v>66</v>
      </c>
      <c r="E25" s="44"/>
      <c r="F25" s="44"/>
      <c r="G25" s="44"/>
      <c r="H25" s="5" t="s">
        <v>67</v>
      </c>
      <c r="I25" s="12">
        <v>6</v>
      </c>
      <c r="J25" s="12">
        <v>24</v>
      </c>
      <c r="K25" s="13"/>
      <c r="L25" s="3">
        <v>1</v>
      </c>
      <c r="M25" s="25">
        <f>4117.81*(1-P3/100)</f>
        <v>4117.81</v>
      </c>
      <c r="N25" s="15"/>
      <c r="O25" s="16">
        <f>M25*N25</f>
        <v>0</v>
      </c>
      <c r="P25" s="24">
        <f>3.87*N25</f>
        <v>0</v>
      </c>
      <c r="Q25" s="28">
        <f>0.02683*N25</f>
        <v>0</v>
      </c>
      <c r="R25" s="29"/>
      <c r="S25" s="4"/>
      <c r="T25" s="4" t="str">
        <f>HYPERLINK("https://redcat-toys.ru/api/getInfo/item/6dd8f6ed-98fa-11eb-a201-ac1f6b442185")</f>
        <v>https://redcat-toys.ru/api/getInfo/item/6dd8f6ed-98fa-11eb-a201-ac1f6b442185</v>
      </c>
    </row>
    <row r="26" spans="2:20" ht="96" customHeight="1" outlineLevel="3">
      <c r="B26" s="3">
        <v>402</v>
      </c>
      <c r="C26" s="4" t="s">
        <v>68</v>
      </c>
      <c r="D26" s="44" t="s">
        <v>69</v>
      </c>
      <c r="E26" s="44"/>
      <c r="F26" s="44"/>
      <c r="G26" s="44"/>
      <c r="H26" s="5" t="s">
        <v>70</v>
      </c>
      <c r="I26" s="12">
        <v>288</v>
      </c>
      <c r="J26" s="16" t="s">
        <v>33</v>
      </c>
      <c r="K26" s="13"/>
      <c r="L26" s="3">
        <v>48</v>
      </c>
      <c r="M26" s="14">
        <f>72.59*(1-P3/100)</f>
        <v>72.59</v>
      </c>
      <c r="N26" s="15"/>
      <c r="O26" s="16">
        <f>M26*N26</f>
        <v>0</v>
      </c>
      <c r="P26" s="17">
        <f>0.089*N26</f>
        <v>0</v>
      </c>
      <c r="Q26" s="30">
        <f>0.0002*N26</f>
        <v>0</v>
      </c>
      <c r="R26" s="29"/>
      <c r="S26" s="4"/>
      <c r="T26" s="4" t="str">
        <f>HYPERLINK("https://redcat-toys.ru/api/getInfo/item/2acd7fce-e023-11e9-a234-ac1f6b442184")</f>
        <v>https://redcat-toys.ru/api/getInfo/item/2acd7fce-e023-11e9-a234-ac1f6b442184</v>
      </c>
    </row>
    <row r="27" spans="2:20" ht="96" customHeight="1" outlineLevel="5">
      <c r="B27" s="3">
        <v>437</v>
      </c>
      <c r="C27" s="4" t="s">
        <v>71</v>
      </c>
      <c r="D27" s="44" t="s">
        <v>72</v>
      </c>
      <c r="E27" s="44"/>
      <c r="F27" s="44"/>
      <c r="G27" s="44"/>
      <c r="H27" s="5" t="s">
        <v>73</v>
      </c>
      <c r="I27" s="12">
        <v>8</v>
      </c>
      <c r="J27" s="12">
        <v>95</v>
      </c>
      <c r="K27" s="13"/>
      <c r="L27" s="3">
        <v>1</v>
      </c>
      <c r="M27" s="25">
        <f>1285.07*(1-P3/100)</f>
        <v>1285.07</v>
      </c>
      <c r="N27" s="15"/>
      <c r="O27" s="16">
        <f>M27*N27</f>
        <v>0</v>
      </c>
      <c r="P27" s="17">
        <f>1.521*N27</f>
        <v>0</v>
      </c>
      <c r="Q27" s="28">
        <f>0.00375*N27</f>
        <v>0</v>
      </c>
      <c r="R27" s="29"/>
      <c r="S27" s="4"/>
      <c r="T27" s="4" t="str">
        <f>HYPERLINK("https://redcat-toys.ru/api/getInfo/item/a9396815-f1a0-11ea-a254-ac1f6b442184")</f>
        <v>https://redcat-toys.ru/api/getInfo/item/a9396815-f1a0-11ea-a254-ac1f6b442184</v>
      </c>
    </row>
    <row r="28" spans="2:20" ht="96" customHeight="1" outlineLevel="5">
      <c r="B28" s="3">
        <v>452</v>
      </c>
      <c r="C28" s="4" t="s">
        <v>74</v>
      </c>
      <c r="D28" s="44" t="s">
        <v>75</v>
      </c>
      <c r="E28" s="44"/>
      <c r="F28" s="44"/>
      <c r="G28" s="44"/>
      <c r="H28" s="5" t="s">
        <v>76</v>
      </c>
      <c r="I28" s="12">
        <v>12</v>
      </c>
      <c r="J28" s="12">
        <v>69</v>
      </c>
      <c r="K28" s="13"/>
      <c r="L28" s="3">
        <v>1</v>
      </c>
      <c r="M28" s="25">
        <f>1692.14*(1-P3/100)</f>
        <v>1692.14</v>
      </c>
      <c r="N28" s="15"/>
      <c r="O28" s="16">
        <f>M28*N28</f>
        <v>0</v>
      </c>
      <c r="P28" s="27">
        <f>0.7*N28</f>
        <v>0</v>
      </c>
      <c r="Q28" s="28">
        <f>0.00375*N28</f>
        <v>0</v>
      </c>
      <c r="R28" s="29"/>
      <c r="S28" s="4"/>
      <c r="T28" s="4" t="str">
        <f>HYPERLINK("https://redcat-toys.ru/api/getInfo/item/a5bc7fa0-f1ac-11ea-a254-ac1f6b442184")</f>
        <v>https://redcat-toys.ru/api/getInfo/item/a5bc7fa0-f1ac-11ea-a254-ac1f6b442184</v>
      </c>
    </row>
    <row r="29" spans="2:20" ht="96" customHeight="1" outlineLevel="5">
      <c r="B29" s="3">
        <v>516</v>
      </c>
      <c r="C29" s="4" t="s">
        <v>77</v>
      </c>
      <c r="D29" s="44" t="s">
        <v>78</v>
      </c>
      <c r="E29" s="44"/>
      <c r="F29" s="44"/>
      <c r="G29" s="44"/>
      <c r="H29" s="5" t="s">
        <v>79</v>
      </c>
      <c r="I29" s="12">
        <v>1</v>
      </c>
      <c r="J29" s="12">
        <v>14</v>
      </c>
      <c r="K29" s="13"/>
      <c r="L29" s="3">
        <v>1</v>
      </c>
      <c r="M29" s="25">
        <f>14752.51*(1-P3/100)</f>
        <v>14752.51</v>
      </c>
      <c r="N29" s="15"/>
      <c r="O29" s="16">
        <f>M29*N29</f>
        <v>0</v>
      </c>
      <c r="P29" s="24">
        <f>22.74*N29</f>
        <v>0</v>
      </c>
      <c r="Q29" s="17">
        <f>0.085*N29</f>
        <v>0</v>
      </c>
      <c r="R29" s="29"/>
      <c r="S29" s="4"/>
      <c r="T29" s="4" t="str">
        <f>HYPERLINK("https://redcat-toys.ru/api/getInfo/item/079b36b9-f345-11ea-a254-ac1f6b442184")</f>
        <v>https://redcat-toys.ru/api/getInfo/item/079b36b9-f345-11ea-a254-ac1f6b442184</v>
      </c>
    </row>
    <row r="30" spans="2:20" ht="96" customHeight="1" outlineLevel="5">
      <c r="B30" s="3">
        <v>532</v>
      </c>
      <c r="C30" s="4" t="s">
        <v>80</v>
      </c>
      <c r="D30" s="44" t="s">
        <v>81</v>
      </c>
      <c r="E30" s="44"/>
      <c r="F30" s="44"/>
      <c r="G30" s="44"/>
      <c r="H30" s="5" t="s">
        <v>82</v>
      </c>
      <c r="I30" s="12">
        <v>4</v>
      </c>
      <c r="J30" s="12">
        <v>54</v>
      </c>
      <c r="K30" s="13"/>
      <c r="L30" s="3">
        <v>1</v>
      </c>
      <c r="M30" s="25">
        <f>2292.62*(1-P3/100)</f>
        <v>2292.62</v>
      </c>
      <c r="N30" s="15"/>
      <c r="O30" s="16">
        <f>M30*N30</f>
        <v>0</v>
      </c>
      <c r="P30" s="17">
        <f>2.815*N30</f>
        <v>0</v>
      </c>
      <c r="Q30" s="28">
        <f>0.01075*N30</f>
        <v>0</v>
      </c>
      <c r="R30" s="29"/>
      <c r="S30" s="4"/>
      <c r="T30" s="4" t="str">
        <f>HYPERLINK("https://redcat-toys.ru/api/getInfo/item/9908b31c-f28e-11ea-a254-ac1f6b442184")</f>
        <v>https://redcat-toys.ru/api/getInfo/item/9908b31c-f28e-11ea-a254-ac1f6b442184</v>
      </c>
    </row>
    <row r="31" spans="2:20" ht="96" customHeight="1" outlineLevel="5">
      <c r="B31" s="3">
        <v>546</v>
      </c>
      <c r="C31" s="4" t="s">
        <v>83</v>
      </c>
      <c r="D31" s="44" t="s">
        <v>84</v>
      </c>
      <c r="E31" s="44"/>
      <c r="F31" s="44"/>
      <c r="G31" s="44"/>
      <c r="H31" s="5" t="s">
        <v>85</v>
      </c>
      <c r="I31" s="12">
        <v>1</v>
      </c>
      <c r="J31" s="12">
        <v>21</v>
      </c>
      <c r="K31" s="13"/>
      <c r="L31" s="3">
        <v>1</v>
      </c>
      <c r="M31" s="25">
        <f>9672.25*(1-P3/100)</f>
        <v>9672.25</v>
      </c>
      <c r="N31" s="15"/>
      <c r="O31" s="16">
        <f>M31*N31</f>
        <v>0</v>
      </c>
      <c r="P31" s="27">
        <f>16.2*N31</f>
        <v>0</v>
      </c>
      <c r="Q31" s="17">
        <f>0.058*N31</f>
        <v>0</v>
      </c>
      <c r="R31" s="29"/>
      <c r="S31" s="4"/>
      <c r="T31" s="4" t="str">
        <f>HYPERLINK("https://redcat-toys.ru/api/getInfo/item/09719174-f404-11ea-a254-ac1f6b442184")</f>
        <v>https://redcat-toys.ru/api/getInfo/item/09719174-f404-11ea-a254-ac1f6b442184</v>
      </c>
    </row>
    <row r="32" spans="2:20" ht="96" customHeight="1" outlineLevel="5">
      <c r="B32" s="3">
        <v>550</v>
      </c>
      <c r="C32" s="4" t="s">
        <v>86</v>
      </c>
      <c r="D32" s="44" t="s">
        <v>87</v>
      </c>
      <c r="E32" s="44"/>
      <c r="F32" s="44"/>
      <c r="G32" s="44"/>
      <c r="H32" s="5" t="s">
        <v>88</v>
      </c>
      <c r="I32" s="12">
        <v>1</v>
      </c>
      <c r="J32" s="12">
        <v>29</v>
      </c>
      <c r="K32" s="13"/>
      <c r="L32" s="3">
        <v>1</v>
      </c>
      <c r="M32" s="25">
        <f>19783.84*(1-P3/100)</f>
        <v>19783.84</v>
      </c>
      <c r="N32" s="15"/>
      <c r="O32" s="16">
        <f>M32*N32</f>
        <v>0</v>
      </c>
      <c r="P32" s="12">
        <f>285*N32</f>
        <v>0</v>
      </c>
      <c r="Q32" s="17">
        <f>0.126*N32</f>
        <v>0</v>
      </c>
      <c r="R32" s="29"/>
      <c r="S32" s="4"/>
      <c r="T32" s="4" t="str">
        <f>HYPERLINK("https://redcat-toys.ru/api/getInfo/item/a6efc1bc-f403-11ea-a254-ac1f6b442184")</f>
        <v>https://redcat-toys.ru/api/getInfo/item/a6efc1bc-f403-11ea-a254-ac1f6b442184</v>
      </c>
    </row>
    <row r="33" spans="2:20" ht="96" customHeight="1" outlineLevel="5">
      <c r="B33" s="3">
        <v>560</v>
      </c>
      <c r="C33" s="4" t="s">
        <v>89</v>
      </c>
      <c r="D33" s="44" t="s">
        <v>90</v>
      </c>
      <c r="E33" s="44"/>
      <c r="F33" s="44"/>
      <c r="G33" s="44"/>
      <c r="H33" s="5" t="s">
        <v>91</v>
      </c>
      <c r="I33" s="12">
        <v>3</v>
      </c>
      <c r="J33" s="16" t="s">
        <v>33</v>
      </c>
      <c r="K33" s="13"/>
      <c r="L33" s="3">
        <v>1</v>
      </c>
      <c r="M33" s="25">
        <f>1940.73*(1-P3/100)</f>
        <v>1940.73</v>
      </c>
      <c r="N33" s="15"/>
      <c r="O33" s="16">
        <f>M33*N33</f>
        <v>0</v>
      </c>
      <c r="P33" s="12">
        <f>4*N33</f>
        <v>0</v>
      </c>
      <c r="Q33" s="17">
        <f>0.015*N33</f>
        <v>0</v>
      </c>
      <c r="R33" s="29"/>
      <c r="S33" s="4"/>
      <c r="T33" s="4" t="str">
        <f>HYPERLINK("https://redcat-toys.ru/api/getInfo/item/b5a12f4c-f3fb-11ea-a254-ac1f6b442184")</f>
        <v>https://redcat-toys.ru/api/getInfo/item/b5a12f4c-f3fb-11ea-a254-ac1f6b442184</v>
      </c>
    </row>
    <row r="34" spans="2:20" ht="96" customHeight="1" outlineLevel="5">
      <c r="B34" s="3">
        <v>561</v>
      </c>
      <c r="C34" s="4" t="s">
        <v>92</v>
      </c>
      <c r="D34" s="44" t="s">
        <v>93</v>
      </c>
      <c r="E34" s="44"/>
      <c r="F34" s="44"/>
      <c r="G34" s="44"/>
      <c r="H34" s="5" t="s">
        <v>94</v>
      </c>
      <c r="I34" s="12">
        <v>3</v>
      </c>
      <c r="J34" s="12">
        <v>30</v>
      </c>
      <c r="K34" s="13"/>
      <c r="L34" s="3">
        <v>1</v>
      </c>
      <c r="M34" s="25">
        <f>2418.53*(1-P3/100)</f>
        <v>2418.53</v>
      </c>
      <c r="N34" s="15"/>
      <c r="O34" s="16">
        <f>M34*N34</f>
        <v>0</v>
      </c>
      <c r="P34" s="17">
        <f>4.847*N34</f>
        <v>0</v>
      </c>
      <c r="Q34" s="28">
        <f>0.01967*N34</f>
        <v>0</v>
      </c>
      <c r="R34" s="29"/>
      <c r="S34" s="4"/>
      <c r="T34" s="4" t="str">
        <f>HYPERLINK("https://redcat-toys.ru/api/getInfo/item/7d6a7902-f3fc-11ea-a254-ac1f6b442184")</f>
        <v>https://redcat-toys.ru/api/getInfo/item/7d6a7902-f3fc-11ea-a254-ac1f6b442184</v>
      </c>
    </row>
    <row r="35" spans="2:20" ht="96" customHeight="1" outlineLevel="5">
      <c r="B35" s="3">
        <v>565</v>
      </c>
      <c r="C35" s="4" t="s">
        <v>95</v>
      </c>
      <c r="D35" s="44" t="s">
        <v>96</v>
      </c>
      <c r="E35" s="44"/>
      <c r="F35" s="44"/>
      <c r="G35" s="44"/>
      <c r="H35" s="5" t="s">
        <v>97</v>
      </c>
      <c r="I35" s="12">
        <v>36</v>
      </c>
      <c r="J35" s="16" t="s">
        <v>33</v>
      </c>
      <c r="K35" s="13"/>
      <c r="L35" s="3">
        <v>1</v>
      </c>
      <c r="M35" s="14">
        <f>152.7*(1-P3/100)</f>
        <v>152.7</v>
      </c>
      <c r="N35" s="15"/>
      <c r="O35" s="16">
        <f aca="true" t="shared" si="0" ref="O35:O56">M35*N35</f>
        <v>0</v>
      </c>
      <c r="P35" s="17">
        <f>0.161*N35</f>
        <v>0</v>
      </c>
      <c r="Q35" s="28">
        <f>0.00072*N35</f>
        <v>0</v>
      </c>
      <c r="R35" s="29"/>
      <c r="S35" s="4"/>
      <c r="T35" s="4" t="str">
        <f>HYPERLINK("https://redcat-toys.ru/api/getInfo/item/a9db7418-f3fe-11ea-a254-ac1f6b442184")</f>
        <v>https://redcat-toys.ru/api/getInfo/item/a9db7418-f3fe-11ea-a254-ac1f6b442184</v>
      </c>
    </row>
    <row r="36" spans="2:20" ht="96" customHeight="1" outlineLevel="5">
      <c r="B36" s="3">
        <v>567</v>
      </c>
      <c r="C36" s="4" t="s">
        <v>98</v>
      </c>
      <c r="D36" s="44" t="s">
        <v>99</v>
      </c>
      <c r="E36" s="44"/>
      <c r="F36" s="44"/>
      <c r="G36" s="44"/>
      <c r="H36" s="5" t="s">
        <v>100</v>
      </c>
      <c r="I36" s="12">
        <v>4</v>
      </c>
      <c r="J36" s="12">
        <v>161</v>
      </c>
      <c r="K36" s="13"/>
      <c r="L36" s="3">
        <v>1</v>
      </c>
      <c r="M36" s="14">
        <f>732.77*(1-P3/100)</f>
        <v>732.77</v>
      </c>
      <c r="N36" s="15"/>
      <c r="O36" s="16">
        <f t="shared" si="0"/>
        <v>0</v>
      </c>
      <c r="P36" s="17">
        <f>1.014*N36</f>
        <v>0</v>
      </c>
      <c r="Q36" s="17">
        <f>0.014*N36</f>
        <v>0</v>
      </c>
      <c r="R36" s="29"/>
      <c r="S36" s="4"/>
      <c r="T36" s="4" t="str">
        <f>HYPERLINK("https://redcat-toys.ru/api/getInfo/item/1d10006f-c203-11eb-a206-ac1f6b442185")</f>
        <v>https://redcat-toys.ru/api/getInfo/item/1d10006f-c203-11eb-a206-ac1f6b442185</v>
      </c>
    </row>
    <row r="37" spans="2:20" ht="96" customHeight="1" outlineLevel="5">
      <c r="B37" s="3">
        <v>568</v>
      </c>
      <c r="C37" s="4" t="s">
        <v>101</v>
      </c>
      <c r="D37" s="44" t="s">
        <v>102</v>
      </c>
      <c r="E37" s="44"/>
      <c r="F37" s="44"/>
      <c r="G37" s="44"/>
      <c r="H37" s="5" t="s">
        <v>103</v>
      </c>
      <c r="I37" s="12">
        <v>12</v>
      </c>
      <c r="J37" s="12">
        <v>480</v>
      </c>
      <c r="K37" s="13"/>
      <c r="L37" s="3">
        <v>1</v>
      </c>
      <c r="M37" s="14">
        <f>370.01*(1-P3/100)</f>
        <v>370.01</v>
      </c>
      <c r="N37" s="15"/>
      <c r="O37" s="16">
        <f t="shared" si="0"/>
        <v>0</v>
      </c>
      <c r="P37" s="17">
        <f>0.491*N37</f>
        <v>0</v>
      </c>
      <c r="Q37" s="28">
        <f>0.00583*N37</f>
        <v>0</v>
      </c>
      <c r="R37" s="29"/>
      <c r="S37" s="4"/>
      <c r="T37" s="4" t="str">
        <f>HYPERLINK("https://redcat-toys.ru/api/getInfo/item/e4fded4e-c202-11eb-a206-ac1f6b442185")</f>
        <v>https://redcat-toys.ru/api/getInfo/item/e4fded4e-c202-11eb-a206-ac1f6b442185</v>
      </c>
    </row>
    <row r="38" spans="2:20" ht="96" customHeight="1" outlineLevel="5">
      <c r="B38" s="3">
        <v>573</v>
      </c>
      <c r="C38" s="4" t="s">
        <v>104</v>
      </c>
      <c r="D38" s="44" t="s">
        <v>105</v>
      </c>
      <c r="E38" s="44"/>
      <c r="F38" s="44"/>
      <c r="G38" s="44"/>
      <c r="H38" s="5" t="s">
        <v>106</v>
      </c>
      <c r="I38" s="12">
        <v>6</v>
      </c>
      <c r="J38" s="16" t="s">
        <v>33</v>
      </c>
      <c r="K38" s="13"/>
      <c r="L38" s="3">
        <v>1</v>
      </c>
      <c r="M38" s="14">
        <f>585.25*(1-P3/100)</f>
        <v>585.25</v>
      </c>
      <c r="N38" s="15"/>
      <c r="O38" s="16">
        <f t="shared" si="0"/>
        <v>0</v>
      </c>
      <c r="P38" s="24">
        <f>0.84*N38</f>
        <v>0</v>
      </c>
      <c r="Q38" s="28">
        <f>0.00967*N38</f>
        <v>0</v>
      </c>
      <c r="R38" s="29"/>
      <c r="S38" s="4"/>
      <c r="T38" s="4" t="str">
        <f>HYPERLINK("https://redcat-toys.ru/api/getInfo/item/55fa7253-f402-11ea-a254-ac1f6b442184")</f>
        <v>https://redcat-toys.ru/api/getInfo/item/55fa7253-f402-11ea-a254-ac1f6b442184</v>
      </c>
    </row>
    <row r="39" spans="2:20" ht="96" customHeight="1" outlineLevel="5">
      <c r="B39" s="3">
        <v>597</v>
      </c>
      <c r="C39" s="4" t="s">
        <v>107</v>
      </c>
      <c r="D39" s="44" t="s">
        <v>108</v>
      </c>
      <c r="E39" s="44"/>
      <c r="F39" s="44"/>
      <c r="G39" s="44"/>
      <c r="H39" s="5" t="s">
        <v>109</v>
      </c>
      <c r="I39" s="12">
        <v>8</v>
      </c>
      <c r="J39" s="12">
        <v>30</v>
      </c>
      <c r="K39" s="13"/>
      <c r="L39" s="3">
        <v>1</v>
      </c>
      <c r="M39" s="25">
        <f>1543.77*(1-P3/100)</f>
        <v>1543.77</v>
      </c>
      <c r="N39" s="15"/>
      <c r="O39" s="16">
        <f t="shared" si="0"/>
        <v>0</v>
      </c>
      <c r="P39" s="17">
        <f>1.276*N39</f>
        <v>0</v>
      </c>
      <c r="Q39" s="28">
        <f>0.00438*N39</f>
        <v>0</v>
      </c>
      <c r="R39" s="29"/>
      <c r="S39" s="4"/>
      <c r="T39" s="4" t="str">
        <f>HYPERLINK("https://redcat-toys.ru/api/getInfo/item/c8f9a9d3-f100-11ea-a254-ac1f6b442184")</f>
        <v>https://redcat-toys.ru/api/getInfo/item/c8f9a9d3-f100-11ea-a254-ac1f6b442184</v>
      </c>
    </row>
    <row r="40" spans="2:20" ht="96" customHeight="1" outlineLevel="5">
      <c r="B40" s="3">
        <v>600</v>
      </c>
      <c r="C40" s="4" t="s">
        <v>110</v>
      </c>
      <c r="D40" s="44" t="s">
        <v>111</v>
      </c>
      <c r="E40" s="44"/>
      <c r="F40" s="44"/>
      <c r="G40" s="44"/>
      <c r="H40" s="5" t="s">
        <v>112</v>
      </c>
      <c r="I40" s="12">
        <v>8</v>
      </c>
      <c r="J40" s="12">
        <v>64</v>
      </c>
      <c r="K40" s="13"/>
      <c r="L40" s="3">
        <v>1</v>
      </c>
      <c r="M40" s="25">
        <f>1361.54*(1-P3/100)</f>
        <v>1361.54</v>
      </c>
      <c r="N40" s="15"/>
      <c r="O40" s="16">
        <f t="shared" si="0"/>
        <v>0</v>
      </c>
      <c r="P40" s="17">
        <f>1.101*N40</f>
        <v>0</v>
      </c>
      <c r="Q40" s="28">
        <f>0.00375*N40</f>
        <v>0</v>
      </c>
      <c r="R40" s="29"/>
      <c r="S40" s="4"/>
      <c r="T40" s="4" t="str">
        <f>HYPERLINK("https://redcat-toys.ru/api/getInfo/item/74e2d7e9-f102-11ea-a254-ac1f6b442184")</f>
        <v>https://redcat-toys.ru/api/getInfo/item/74e2d7e9-f102-11ea-a254-ac1f6b442184</v>
      </c>
    </row>
    <row r="41" spans="2:20" ht="96" customHeight="1" outlineLevel="5">
      <c r="B41" s="3">
        <v>625</v>
      </c>
      <c r="C41" s="4" t="s">
        <v>113</v>
      </c>
      <c r="D41" s="44" t="s">
        <v>114</v>
      </c>
      <c r="E41" s="44"/>
      <c r="F41" s="44"/>
      <c r="G41" s="44"/>
      <c r="H41" s="5" t="s">
        <v>115</v>
      </c>
      <c r="I41" s="12">
        <v>12</v>
      </c>
      <c r="J41" s="12">
        <v>13</v>
      </c>
      <c r="K41" s="13"/>
      <c r="L41" s="3">
        <v>1</v>
      </c>
      <c r="M41" s="14">
        <f>666.27*(1-P3/100)</f>
        <v>666.27</v>
      </c>
      <c r="N41" s="15"/>
      <c r="O41" s="16">
        <f t="shared" si="0"/>
        <v>0</v>
      </c>
      <c r="P41" s="17">
        <f>0.853*N41</f>
        <v>0</v>
      </c>
      <c r="Q41" s="28">
        <f>0.00325*N41</f>
        <v>0</v>
      </c>
      <c r="R41" s="29"/>
      <c r="S41" s="4"/>
      <c r="T41" s="4" t="str">
        <f>HYPERLINK("https://redcat-toys.ru/api/getInfo/item/ef42ad01-2881-11e9-a21e-ac1f6b442184")</f>
        <v>https://redcat-toys.ru/api/getInfo/item/ef42ad01-2881-11e9-a21e-ac1f6b442184</v>
      </c>
    </row>
    <row r="42" spans="2:21" ht="96" customHeight="1" outlineLevel="5">
      <c r="B42" s="6">
        <v>649</v>
      </c>
      <c r="C42" s="7" t="s">
        <v>116</v>
      </c>
      <c r="D42" s="45" t="s">
        <v>117</v>
      </c>
      <c r="E42" s="45"/>
      <c r="F42" s="45"/>
      <c r="G42" s="45"/>
      <c r="H42" s="8" t="s">
        <v>118</v>
      </c>
      <c r="I42" s="18">
        <v>36</v>
      </c>
      <c r="J42" s="19" t="s">
        <v>33</v>
      </c>
      <c r="K42" s="20"/>
      <c r="L42" s="6">
        <v>1</v>
      </c>
      <c r="M42" s="21">
        <f>124.82*(1-P3/100)</f>
        <v>124.82</v>
      </c>
      <c r="N42" s="15"/>
      <c r="O42" s="19">
        <f t="shared" si="0"/>
        <v>0</v>
      </c>
      <c r="P42" s="22">
        <f>0.119*N42</f>
        <v>0</v>
      </c>
      <c r="Q42" s="31">
        <f>0.00069*N42</f>
        <v>0</v>
      </c>
      <c r="R42" s="32" t="s">
        <v>34</v>
      </c>
      <c r="S42" s="7"/>
      <c r="T42" s="7" t="str">
        <f>HYPERLINK("https://redcat-toys.ru/api/getInfo/item/84da7a5d-d403-11eb-a209-ac1f6b442185")</f>
        <v>https://redcat-toys.ru/api/getInfo/item/84da7a5d-d403-11eb-a209-ac1f6b442185</v>
      </c>
      <c r="U42" s="33"/>
    </row>
    <row r="43" spans="2:20" ht="96" customHeight="1" outlineLevel="5">
      <c r="B43" s="3">
        <v>655</v>
      </c>
      <c r="C43" s="4" t="s">
        <v>119</v>
      </c>
      <c r="D43" s="44" t="s">
        <v>120</v>
      </c>
      <c r="E43" s="44"/>
      <c r="F43" s="44"/>
      <c r="G43" s="44"/>
      <c r="H43" s="5" t="s">
        <v>121</v>
      </c>
      <c r="I43" s="12">
        <v>36</v>
      </c>
      <c r="J43" s="16" t="s">
        <v>33</v>
      </c>
      <c r="K43" s="13"/>
      <c r="L43" s="3">
        <v>1</v>
      </c>
      <c r="M43" s="14">
        <f>157.63*(1-P3/100)</f>
        <v>157.63</v>
      </c>
      <c r="N43" s="15"/>
      <c r="O43" s="16">
        <f t="shared" si="0"/>
        <v>0</v>
      </c>
      <c r="P43" s="24">
        <f>0.16*N43</f>
        <v>0</v>
      </c>
      <c r="Q43" s="28">
        <f>0.00067*N43</f>
        <v>0</v>
      </c>
      <c r="R43" s="29"/>
      <c r="S43" s="4"/>
      <c r="T43" s="4" t="str">
        <f>HYPERLINK("https://redcat-toys.ru/api/getInfo/item/64e63c83-2884-11e9-a21e-ac1f6b442184")</f>
        <v>https://redcat-toys.ru/api/getInfo/item/64e63c83-2884-11e9-a21e-ac1f6b442184</v>
      </c>
    </row>
    <row r="44" spans="2:20" ht="96" customHeight="1" outlineLevel="5">
      <c r="B44" s="3">
        <v>658</v>
      </c>
      <c r="C44" s="4" t="s">
        <v>122</v>
      </c>
      <c r="D44" s="44" t="s">
        <v>123</v>
      </c>
      <c r="E44" s="44"/>
      <c r="F44" s="44"/>
      <c r="G44" s="44"/>
      <c r="H44" s="5" t="s">
        <v>124</v>
      </c>
      <c r="I44" s="12">
        <v>24</v>
      </c>
      <c r="J44" s="16" t="s">
        <v>33</v>
      </c>
      <c r="K44" s="13"/>
      <c r="L44" s="3">
        <v>1</v>
      </c>
      <c r="M44" s="14">
        <f>375.45*(1-P3/100)</f>
        <v>375.45</v>
      </c>
      <c r="N44" s="15"/>
      <c r="O44" s="16">
        <f t="shared" si="0"/>
        <v>0</v>
      </c>
      <c r="P44" s="17">
        <f>0.298*N44</f>
        <v>0</v>
      </c>
      <c r="Q44" s="28">
        <f>0.00104*N44</f>
        <v>0</v>
      </c>
      <c r="R44" s="29"/>
      <c r="S44" s="4"/>
      <c r="T44" s="4" t="str">
        <f>HYPERLINK("https://redcat-toys.ru/api/getInfo/item/fc1b907c-2883-11e9-a21e-ac1f6b442184")</f>
        <v>https://redcat-toys.ru/api/getInfo/item/fc1b907c-2883-11e9-a21e-ac1f6b442184</v>
      </c>
    </row>
    <row r="45" spans="2:20" ht="96" customHeight="1" outlineLevel="5">
      <c r="B45" s="3">
        <v>664</v>
      </c>
      <c r="C45" s="4" t="s">
        <v>125</v>
      </c>
      <c r="D45" s="44" t="s">
        <v>126</v>
      </c>
      <c r="E45" s="44"/>
      <c r="F45" s="44"/>
      <c r="G45" s="44"/>
      <c r="H45" s="5" t="s">
        <v>127</v>
      </c>
      <c r="I45" s="12">
        <v>24</v>
      </c>
      <c r="J45" s="12">
        <v>274</v>
      </c>
      <c r="K45" s="13"/>
      <c r="L45" s="3">
        <v>1</v>
      </c>
      <c r="M45" s="14">
        <f>403.92*(1-P3/100)</f>
        <v>403.92</v>
      </c>
      <c r="N45" s="15"/>
      <c r="O45" s="16">
        <f t="shared" si="0"/>
        <v>0</v>
      </c>
      <c r="P45" s="17">
        <f>0.486*N45</f>
        <v>0</v>
      </c>
      <c r="Q45" s="28">
        <f>0.00163*N45</f>
        <v>0</v>
      </c>
      <c r="R45" s="29"/>
      <c r="S45" s="4"/>
      <c r="T45" s="4" t="str">
        <f>HYPERLINK("https://redcat-toys.ru/api/getInfo/item/2ec4a9bb-2887-11e9-a21e-ac1f6b442184")</f>
        <v>https://redcat-toys.ru/api/getInfo/item/2ec4a9bb-2887-11e9-a21e-ac1f6b442184</v>
      </c>
    </row>
    <row r="46" spans="2:20" ht="96" customHeight="1" outlineLevel="5">
      <c r="B46" s="3">
        <v>676</v>
      </c>
      <c r="C46" s="4" t="s">
        <v>128</v>
      </c>
      <c r="D46" s="44" t="s">
        <v>129</v>
      </c>
      <c r="E46" s="44"/>
      <c r="F46" s="44"/>
      <c r="G46" s="44"/>
      <c r="H46" s="5" t="s">
        <v>130</v>
      </c>
      <c r="I46" s="12">
        <v>2</v>
      </c>
      <c r="J46" s="12">
        <v>38</v>
      </c>
      <c r="K46" s="13"/>
      <c r="L46" s="3">
        <v>1</v>
      </c>
      <c r="M46" s="25">
        <f>5518.87*(1-P3/100)</f>
        <v>5518.87</v>
      </c>
      <c r="N46" s="15"/>
      <c r="O46" s="16">
        <f t="shared" si="0"/>
        <v>0</v>
      </c>
      <c r="P46" s="24">
        <f>7.75*N46</f>
        <v>0</v>
      </c>
      <c r="Q46" s="30">
        <f>0.0305*N46</f>
        <v>0</v>
      </c>
      <c r="R46" s="29"/>
      <c r="S46" s="4"/>
      <c r="T46" s="4" t="str">
        <f>HYPERLINK("https://redcat-toys.ru/api/getInfo/item/8fd3875f-bcde-11e9-a22e-ac1f6b442184")</f>
        <v>https://redcat-toys.ru/api/getInfo/item/8fd3875f-bcde-11e9-a22e-ac1f6b442184</v>
      </c>
    </row>
    <row r="47" spans="2:20" ht="96" customHeight="1" outlineLevel="5">
      <c r="B47" s="3">
        <v>697</v>
      </c>
      <c r="C47" s="4" t="s">
        <v>131</v>
      </c>
      <c r="D47" s="44" t="s">
        <v>132</v>
      </c>
      <c r="E47" s="44"/>
      <c r="F47" s="44"/>
      <c r="G47" s="44"/>
      <c r="H47" s="5" t="s">
        <v>133</v>
      </c>
      <c r="I47" s="12">
        <v>12</v>
      </c>
      <c r="J47" s="16" t="s">
        <v>33</v>
      </c>
      <c r="K47" s="13"/>
      <c r="L47" s="3">
        <v>1</v>
      </c>
      <c r="M47" s="14">
        <f>126.81*(1-P3/100)</f>
        <v>126.81</v>
      </c>
      <c r="N47" s="15"/>
      <c r="O47" s="16">
        <f t="shared" si="0"/>
        <v>0</v>
      </c>
      <c r="P47" s="17">
        <f>0.066*N47</f>
        <v>0</v>
      </c>
      <c r="Q47" s="28">
        <f>0.00058*N47</f>
        <v>0</v>
      </c>
      <c r="R47" s="29"/>
      <c r="S47" s="4"/>
      <c r="T47" s="4" t="str">
        <f>HYPERLINK("https://redcat-toys.ru/api/getInfo/item/12f3642a-2933-11e9-a21e-ac1f6b442184")</f>
        <v>https://redcat-toys.ru/api/getInfo/item/12f3642a-2933-11e9-a21e-ac1f6b442184</v>
      </c>
    </row>
    <row r="48" spans="2:20" ht="96" customHeight="1" outlineLevel="5">
      <c r="B48" s="3">
        <v>882</v>
      </c>
      <c r="C48" s="4" t="s">
        <v>134</v>
      </c>
      <c r="D48" s="44" t="s">
        <v>135</v>
      </c>
      <c r="E48" s="44"/>
      <c r="F48" s="44"/>
      <c r="G48" s="44"/>
      <c r="H48" s="5" t="s">
        <v>136</v>
      </c>
      <c r="I48" s="12">
        <v>24</v>
      </c>
      <c r="J48" s="16" t="s">
        <v>33</v>
      </c>
      <c r="K48" s="13"/>
      <c r="L48" s="3">
        <v>1</v>
      </c>
      <c r="M48" s="14">
        <f>307.24*(1-P3/100)</f>
        <v>307.24</v>
      </c>
      <c r="N48" s="15"/>
      <c r="O48" s="16">
        <f t="shared" si="0"/>
        <v>0</v>
      </c>
      <c r="P48" s="17">
        <f>1.093*N48</f>
        <v>0</v>
      </c>
      <c r="Q48" s="28">
        <f>0.00338*N48</f>
        <v>0</v>
      </c>
      <c r="R48" s="29"/>
      <c r="S48" s="4"/>
      <c r="T48" s="4" t="str">
        <f>HYPERLINK("https://redcat-toys.ru/api/getInfo/item/0b499d66-6049-11e9-a224-ac1f6b442184")</f>
        <v>https://redcat-toys.ru/api/getInfo/item/0b499d66-6049-11e9-a224-ac1f6b442184</v>
      </c>
    </row>
    <row r="49" spans="2:20" ht="96" customHeight="1" outlineLevel="5">
      <c r="B49" s="3">
        <v>945</v>
      </c>
      <c r="C49" s="4" t="s">
        <v>137</v>
      </c>
      <c r="D49" s="44" t="s">
        <v>138</v>
      </c>
      <c r="E49" s="44"/>
      <c r="F49" s="44"/>
      <c r="G49" s="44"/>
      <c r="H49" s="5" t="s">
        <v>139</v>
      </c>
      <c r="I49" s="12">
        <v>180</v>
      </c>
      <c r="J49" s="16" t="s">
        <v>33</v>
      </c>
      <c r="K49" s="13"/>
      <c r="L49" s="3">
        <v>3</v>
      </c>
      <c r="M49" s="14">
        <f>152.71*(1-P3/100)</f>
        <v>152.71</v>
      </c>
      <c r="N49" s="15"/>
      <c r="O49" s="16">
        <f t="shared" si="0"/>
        <v>0</v>
      </c>
      <c r="P49" s="17">
        <f>0.075*N49</f>
        <v>0</v>
      </c>
      <c r="Q49" s="28">
        <f>0.00046*N49</f>
        <v>0</v>
      </c>
      <c r="R49" s="29"/>
      <c r="S49" s="4"/>
      <c r="T49" s="4" t="str">
        <f>HYPERLINK("https://redcat-toys.ru/api/getInfo/item/cb41a3b5-e060-11e9-a234-ac1f6b442184")</f>
        <v>https://redcat-toys.ru/api/getInfo/item/cb41a3b5-e060-11e9-a234-ac1f6b442184</v>
      </c>
    </row>
    <row r="50" spans="2:20" ht="96" customHeight="1" outlineLevel="4">
      <c r="B50" s="3">
        <v>971</v>
      </c>
      <c r="C50" s="4" t="s">
        <v>140</v>
      </c>
      <c r="D50" s="44" t="s">
        <v>141</v>
      </c>
      <c r="E50" s="44"/>
      <c r="F50" s="44"/>
      <c r="G50" s="44"/>
      <c r="H50" s="5" t="s">
        <v>142</v>
      </c>
      <c r="I50" s="12">
        <v>20</v>
      </c>
      <c r="J50" s="16" t="s">
        <v>33</v>
      </c>
      <c r="K50" s="13"/>
      <c r="L50" s="3">
        <v>3</v>
      </c>
      <c r="M50" s="14">
        <f>46.78*(1-P3/100)</f>
        <v>46.78</v>
      </c>
      <c r="N50" s="15"/>
      <c r="O50" s="16">
        <f t="shared" si="0"/>
        <v>0</v>
      </c>
      <c r="P50" s="17">
        <f>0.048*N50</f>
        <v>0</v>
      </c>
      <c r="Q50" s="28">
        <f>0.00035*N50</f>
        <v>0</v>
      </c>
      <c r="R50" s="29"/>
      <c r="S50" s="4"/>
      <c r="T50" s="4" t="str">
        <f>HYPERLINK("https://redcat-toys.ru/api/getInfo/item/fd334c0e-3c85-11ec-a20f-ac1f6b442185")</f>
        <v>https://redcat-toys.ru/api/getInfo/item/fd334c0e-3c85-11ec-a20f-ac1f6b442185</v>
      </c>
    </row>
    <row r="51" spans="2:20" ht="96" customHeight="1" outlineLevel="4">
      <c r="B51" s="3">
        <v>978</v>
      </c>
      <c r="C51" s="4" t="s">
        <v>143</v>
      </c>
      <c r="D51" s="44" t="s">
        <v>144</v>
      </c>
      <c r="E51" s="44"/>
      <c r="F51" s="44"/>
      <c r="G51" s="44"/>
      <c r="H51" s="5" t="s">
        <v>145</v>
      </c>
      <c r="I51" s="12">
        <v>14</v>
      </c>
      <c r="J51" s="16" t="s">
        <v>33</v>
      </c>
      <c r="K51" s="13"/>
      <c r="L51" s="3">
        <v>2</v>
      </c>
      <c r="M51" s="14">
        <f>106*(1-P3/100)</f>
        <v>106</v>
      </c>
      <c r="N51" s="15"/>
      <c r="O51" s="16">
        <f t="shared" si="0"/>
        <v>0</v>
      </c>
      <c r="P51" s="17">
        <f>0.157*N51</f>
        <v>0</v>
      </c>
      <c r="Q51" s="28">
        <f>0.00193*N51</f>
        <v>0</v>
      </c>
      <c r="R51" s="29"/>
      <c r="S51" s="4"/>
      <c r="T51" s="4" t="str">
        <f>HYPERLINK("https://redcat-toys.ru/api/getInfo/item/c547ebea-2a47-11eb-a25d-ac1f6b442184")</f>
        <v>https://redcat-toys.ru/api/getInfo/item/c547ebea-2a47-11eb-a25d-ac1f6b442184</v>
      </c>
    </row>
    <row r="52" spans="2:20" ht="96" customHeight="1" outlineLevel="4">
      <c r="B52" s="3">
        <v>979</v>
      </c>
      <c r="C52" s="4" t="s">
        <v>146</v>
      </c>
      <c r="D52" s="44" t="s">
        <v>147</v>
      </c>
      <c r="E52" s="44"/>
      <c r="F52" s="44"/>
      <c r="G52" s="44"/>
      <c r="H52" s="5" t="s">
        <v>148</v>
      </c>
      <c r="I52" s="12">
        <v>25</v>
      </c>
      <c r="J52" s="16" t="s">
        <v>33</v>
      </c>
      <c r="K52" s="13"/>
      <c r="L52" s="3">
        <v>2</v>
      </c>
      <c r="M52" s="14">
        <f>69*(1-P3/100)</f>
        <v>69</v>
      </c>
      <c r="N52" s="15"/>
      <c r="O52" s="16">
        <f t="shared" si="0"/>
        <v>0</v>
      </c>
      <c r="P52" s="17">
        <f>0.088*N52</f>
        <v>0</v>
      </c>
      <c r="Q52" s="28">
        <f>0.00052*N52</f>
        <v>0</v>
      </c>
      <c r="R52" s="29"/>
      <c r="S52" s="4"/>
      <c r="T52" s="4" t="str">
        <f>HYPERLINK("https://redcat-toys.ru/api/getInfo/item/7738d265-2a47-11eb-a25d-ac1f6b442184")</f>
        <v>https://redcat-toys.ru/api/getInfo/item/7738d265-2a47-11eb-a25d-ac1f6b442184</v>
      </c>
    </row>
    <row r="53" spans="2:20" ht="96" customHeight="1" outlineLevel="4">
      <c r="B53" s="3">
        <v>984</v>
      </c>
      <c r="C53" s="4" t="s">
        <v>149</v>
      </c>
      <c r="D53" s="44" t="s">
        <v>150</v>
      </c>
      <c r="E53" s="44"/>
      <c r="F53" s="44"/>
      <c r="G53" s="44"/>
      <c r="H53" s="5" t="s">
        <v>151</v>
      </c>
      <c r="I53" s="12">
        <v>24</v>
      </c>
      <c r="J53" s="16" t="s">
        <v>33</v>
      </c>
      <c r="K53" s="13"/>
      <c r="L53" s="3">
        <v>2</v>
      </c>
      <c r="M53" s="14">
        <f>63.4*(1-P3/100)</f>
        <v>63.4</v>
      </c>
      <c r="N53" s="15"/>
      <c r="O53" s="16">
        <f t="shared" si="0"/>
        <v>0</v>
      </c>
      <c r="P53" s="17">
        <f>0.122*N53</f>
        <v>0</v>
      </c>
      <c r="Q53" s="28">
        <f>0.00121*N53</f>
        <v>0</v>
      </c>
      <c r="R53" s="29"/>
      <c r="S53" s="4"/>
      <c r="T53" s="4" t="str">
        <f>HYPERLINK("https://redcat-toys.ru/api/getInfo/item/77a467b4-f40f-11ea-a254-ac1f6b442184")</f>
        <v>https://redcat-toys.ru/api/getInfo/item/77a467b4-f40f-11ea-a254-ac1f6b442184</v>
      </c>
    </row>
    <row r="54" spans="2:20" ht="96" customHeight="1" outlineLevel="4">
      <c r="B54" s="3">
        <v>989</v>
      </c>
      <c r="C54" s="4" t="s">
        <v>152</v>
      </c>
      <c r="D54" s="44" t="s">
        <v>153</v>
      </c>
      <c r="E54" s="44"/>
      <c r="F54" s="44"/>
      <c r="G54" s="44"/>
      <c r="H54" s="5" t="s">
        <v>154</v>
      </c>
      <c r="I54" s="12">
        <v>20</v>
      </c>
      <c r="J54" s="16" t="s">
        <v>33</v>
      </c>
      <c r="K54" s="13"/>
      <c r="L54" s="3">
        <v>2</v>
      </c>
      <c r="M54" s="14">
        <f>119*(1-P3/100)</f>
        <v>119</v>
      </c>
      <c r="N54" s="15"/>
      <c r="O54" s="16">
        <f t="shared" si="0"/>
        <v>0</v>
      </c>
      <c r="P54" s="24">
        <f>0.17*N54</f>
        <v>0</v>
      </c>
      <c r="Q54" s="28">
        <f>0.00175*N54</f>
        <v>0</v>
      </c>
      <c r="R54" s="29"/>
      <c r="S54" s="4"/>
      <c r="T54" s="4" t="str">
        <f>HYPERLINK("https://redcat-toys.ru/api/getInfo/item/c121507a-4bd3-11ea-a240-ac1f6b442184")</f>
        <v>https://redcat-toys.ru/api/getInfo/item/c121507a-4bd3-11ea-a240-ac1f6b442184</v>
      </c>
    </row>
    <row r="55" spans="2:21" ht="96" customHeight="1" outlineLevel="5">
      <c r="B55" s="9">
        <v>1259</v>
      </c>
      <c r="C55" s="7" t="s">
        <v>155</v>
      </c>
      <c r="D55" s="45" t="s">
        <v>156</v>
      </c>
      <c r="E55" s="45"/>
      <c r="F55" s="45"/>
      <c r="G55" s="45"/>
      <c r="H55" s="8" t="s">
        <v>157</v>
      </c>
      <c r="I55" s="18">
        <v>40</v>
      </c>
      <c r="J55" s="19" t="s">
        <v>33</v>
      </c>
      <c r="K55" s="20"/>
      <c r="L55" s="6">
        <v>3</v>
      </c>
      <c r="M55" s="21">
        <f>55.44*(1-P3/100)</f>
        <v>55.44</v>
      </c>
      <c r="N55" s="15"/>
      <c r="O55" s="19">
        <f t="shared" si="0"/>
        <v>0</v>
      </c>
      <c r="P55" s="22">
        <f>0.044*N55</f>
        <v>0</v>
      </c>
      <c r="Q55" s="31">
        <f>0.00038*N55</f>
        <v>0</v>
      </c>
      <c r="R55" s="32" t="s">
        <v>34</v>
      </c>
      <c r="S55" s="7"/>
      <c r="T55" s="7" t="str">
        <f>HYPERLINK("https://redcat-toys.ru/api/getInfo/item/ca59d69c-4eaa-11ec-a20f-ac1f6b442185")</f>
        <v>https://redcat-toys.ru/api/getInfo/item/ca59d69c-4eaa-11ec-a20f-ac1f6b442185</v>
      </c>
      <c r="U55" s="33"/>
    </row>
    <row r="56" spans="2:21" ht="96" customHeight="1" outlineLevel="5">
      <c r="B56" s="9">
        <v>1260</v>
      </c>
      <c r="C56" s="7" t="s">
        <v>158</v>
      </c>
      <c r="D56" s="45" t="s">
        <v>159</v>
      </c>
      <c r="E56" s="45"/>
      <c r="F56" s="45"/>
      <c r="G56" s="45"/>
      <c r="H56" s="8" t="s">
        <v>160</v>
      </c>
      <c r="I56" s="18">
        <v>40</v>
      </c>
      <c r="J56" s="19" t="s">
        <v>33</v>
      </c>
      <c r="K56" s="20"/>
      <c r="L56" s="6">
        <v>3</v>
      </c>
      <c r="M56" s="21">
        <f>55.44*(1-P3/100)</f>
        <v>55.44</v>
      </c>
      <c r="N56" s="15"/>
      <c r="O56" s="19">
        <f t="shared" si="0"/>
        <v>0</v>
      </c>
      <c r="P56" s="22">
        <f>0.044*N56</f>
        <v>0</v>
      </c>
      <c r="Q56" s="31">
        <f>0.00038*N56</f>
        <v>0</v>
      </c>
      <c r="R56" s="32" t="s">
        <v>34</v>
      </c>
      <c r="S56" s="7"/>
      <c r="T56" s="7" t="str">
        <f>HYPERLINK("https://redcat-toys.ru/api/getInfo/item/1a791214-4eab-11ec-a20f-ac1f6b442185")</f>
        <v>https://redcat-toys.ru/api/getInfo/item/1a791214-4eab-11ec-a20f-ac1f6b442185</v>
      </c>
      <c r="U56" s="33"/>
    </row>
    <row r="57" spans="2:20" ht="96" customHeight="1" outlineLevel="5">
      <c r="B57" s="10">
        <v>1273</v>
      </c>
      <c r="C57" s="4" t="s">
        <v>161</v>
      </c>
      <c r="D57" s="44" t="s">
        <v>162</v>
      </c>
      <c r="E57" s="44"/>
      <c r="F57" s="44"/>
      <c r="G57" s="44"/>
      <c r="H57" s="5" t="s">
        <v>163</v>
      </c>
      <c r="I57" s="12">
        <v>40</v>
      </c>
      <c r="J57" s="12">
        <v>388</v>
      </c>
      <c r="K57" s="13"/>
      <c r="L57" s="3">
        <v>3</v>
      </c>
      <c r="M57" s="14">
        <f>55.44*(1-P3/100)</f>
        <v>55.44</v>
      </c>
      <c r="N57" s="15"/>
      <c r="O57" s="16">
        <f>M57*N57</f>
        <v>0</v>
      </c>
      <c r="P57" s="17">
        <f>0.045*N57</f>
        <v>0</v>
      </c>
      <c r="Q57" s="30">
        <f>0.0004*N57</f>
        <v>0</v>
      </c>
      <c r="R57" s="29"/>
      <c r="S57" s="4"/>
      <c r="T57" s="4" t="str">
        <f>HYPERLINK("https://redcat-toys.ru/api/getInfo/item/c8b3f3ea-769a-11eb-a271-ac1f6b442184")</f>
        <v>https://redcat-toys.ru/api/getInfo/item/c8b3f3ea-769a-11eb-a271-ac1f6b442184</v>
      </c>
    </row>
    <row r="58" spans="2:20" ht="96" customHeight="1" outlineLevel="5">
      <c r="B58" s="10">
        <v>1283</v>
      </c>
      <c r="C58" s="4" t="s">
        <v>164</v>
      </c>
      <c r="D58" s="44" t="s">
        <v>165</v>
      </c>
      <c r="E58" s="44"/>
      <c r="F58" s="44"/>
      <c r="G58" s="44"/>
      <c r="H58" s="5" t="s">
        <v>166</v>
      </c>
      <c r="I58" s="12">
        <v>32</v>
      </c>
      <c r="J58" s="16" t="s">
        <v>33</v>
      </c>
      <c r="K58" s="13"/>
      <c r="L58" s="3">
        <v>4</v>
      </c>
      <c r="M58" s="14">
        <f>37*(1-P3/100)</f>
        <v>37</v>
      </c>
      <c r="N58" s="15"/>
      <c r="O58" s="16">
        <f>M58*N58</f>
        <v>0</v>
      </c>
      <c r="P58" s="17">
        <f>0.072*N58</f>
        <v>0</v>
      </c>
      <c r="Q58" s="17">
        <f>0.001*N58</f>
        <v>0</v>
      </c>
      <c r="R58" s="29"/>
      <c r="S58" s="4" t="s">
        <v>167</v>
      </c>
      <c r="T58" s="4" t="str">
        <f>HYPERLINK("https://redcat-toys.ru/api/getInfo/item/5544babc-8f27-11e4-9a91-5cf3fc4a2490")</f>
        <v>https://redcat-toys.ru/api/getInfo/item/5544babc-8f27-11e4-9a91-5cf3fc4a2490</v>
      </c>
    </row>
    <row r="59" spans="2:21" ht="96" customHeight="1" outlineLevel="5">
      <c r="B59" s="9">
        <v>1309</v>
      </c>
      <c r="C59" s="7" t="s">
        <v>168</v>
      </c>
      <c r="D59" s="45" t="s">
        <v>169</v>
      </c>
      <c r="E59" s="45"/>
      <c r="F59" s="45"/>
      <c r="G59" s="45"/>
      <c r="H59" s="8" t="s">
        <v>170</v>
      </c>
      <c r="I59" s="18">
        <v>10</v>
      </c>
      <c r="J59" s="19" t="s">
        <v>33</v>
      </c>
      <c r="K59" s="20"/>
      <c r="L59" s="6">
        <v>1</v>
      </c>
      <c r="M59" s="21">
        <f>155.93*(1-P3/100)</f>
        <v>155.93</v>
      </c>
      <c r="N59" s="15"/>
      <c r="O59" s="19">
        <f>M59*N59</f>
        <v>0</v>
      </c>
      <c r="P59" s="23">
        <f>0.15*N59</f>
        <v>0</v>
      </c>
      <c r="Q59" s="34">
        <f>0.0034*N59</f>
        <v>0</v>
      </c>
      <c r="R59" s="32" t="s">
        <v>34</v>
      </c>
      <c r="S59" s="7"/>
      <c r="T59" s="7" t="str">
        <f>HYPERLINK("https://redcat-toys.ru/api/getInfo/item/8c09dcc0-b97a-11eb-a205-ac1f6b442185")</f>
        <v>https://redcat-toys.ru/api/getInfo/item/8c09dcc0-b97a-11eb-a205-ac1f6b442185</v>
      </c>
      <c r="U59" s="33"/>
    </row>
    <row r="60" spans="2:21" ht="96" customHeight="1" outlineLevel="5">
      <c r="B60" s="9">
        <v>1315</v>
      </c>
      <c r="C60" s="7" t="s">
        <v>171</v>
      </c>
      <c r="D60" s="45" t="s">
        <v>172</v>
      </c>
      <c r="E60" s="45"/>
      <c r="F60" s="45"/>
      <c r="G60" s="45"/>
      <c r="H60" s="8" t="s">
        <v>173</v>
      </c>
      <c r="I60" s="18">
        <v>10</v>
      </c>
      <c r="J60" s="19" t="s">
        <v>33</v>
      </c>
      <c r="K60" s="20"/>
      <c r="L60" s="6">
        <v>1</v>
      </c>
      <c r="M60" s="21">
        <f>155.93*(1-P3/100)</f>
        <v>155.93</v>
      </c>
      <c r="N60" s="15"/>
      <c r="O60" s="19">
        <f>M60*N60</f>
        <v>0</v>
      </c>
      <c r="P60" s="22">
        <f>0.147*N60</f>
        <v>0</v>
      </c>
      <c r="Q60" s="34">
        <f>0.0031*N60</f>
        <v>0</v>
      </c>
      <c r="R60" s="32" t="s">
        <v>34</v>
      </c>
      <c r="S60" s="7"/>
      <c r="T60" s="7" t="str">
        <f>HYPERLINK("https://redcat-toys.ru/api/getInfo/item/62e0f5af-1ae0-11ec-a20f-ac1f6b442185")</f>
        <v>https://redcat-toys.ru/api/getInfo/item/62e0f5af-1ae0-11ec-a20f-ac1f6b442185</v>
      </c>
      <c r="U60" s="33"/>
    </row>
    <row r="61" spans="2:20" ht="96" customHeight="1" outlineLevel="4">
      <c r="B61" s="10">
        <v>1364</v>
      </c>
      <c r="C61" s="4" t="s">
        <v>185</v>
      </c>
      <c r="D61" s="44" t="s">
        <v>186</v>
      </c>
      <c r="E61" s="44"/>
      <c r="F61" s="44"/>
      <c r="G61" s="44"/>
      <c r="H61" s="5" t="s">
        <v>187</v>
      </c>
      <c r="I61" s="12">
        <v>6</v>
      </c>
      <c r="J61" s="16" t="s">
        <v>33</v>
      </c>
      <c r="K61" s="13"/>
      <c r="L61" s="3">
        <v>1</v>
      </c>
      <c r="M61" s="14">
        <f>541.8*(1-P3/100)</f>
        <v>541.8</v>
      </c>
      <c r="N61" s="15"/>
      <c r="O61" s="16">
        <f>M61*N61</f>
        <v>0</v>
      </c>
      <c r="P61" s="17">
        <f>0.767*N61</f>
        <v>0</v>
      </c>
      <c r="Q61" s="17">
        <f>0.005*N61</f>
        <v>0</v>
      </c>
      <c r="R61" s="29"/>
      <c r="S61" s="4"/>
      <c r="T61" s="4" t="str">
        <f>HYPERLINK("https://redcat-toys.ru/api/getInfo/item/57b4304b-9e3d-11e5-9e78-5cf3fc4a2490")</f>
        <v>https://redcat-toys.ru/api/getInfo/item/57b4304b-9e3d-11e5-9e78-5cf3fc4a2490</v>
      </c>
    </row>
    <row r="62" spans="2:21" ht="96" customHeight="1" outlineLevel="6">
      <c r="B62" s="9">
        <v>1365</v>
      </c>
      <c r="C62" s="7" t="s">
        <v>188</v>
      </c>
      <c r="D62" s="45" t="s">
        <v>189</v>
      </c>
      <c r="E62" s="45"/>
      <c r="F62" s="45"/>
      <c r="G62" s="45"/>
      <c r="H62" s="8" t="s">
        <v>190</v>
      </c>
      <c r="I62" s="18">
        <v>6</v>
      </c>
      <c r="J62" s="19" t="s">
        <v>33</v>
      </c>
      <c r="K62" s="20"/>
      <c r="L62" s="6">
        <v>6</v>
      </c>
      <c r="M62" s="21">
        <f>385*(1-P3/100)</f>
        <v>385</v>
      </c>
      <c r="N62" s="15"/>
      <c r="O62" s="19">
        <f>M62*N62</f>
        <v>0</v>
      </c>
      <c r="P62" s="22">
        <f>0.616*N62</f>
        <v>0</v>
      </c>
      <c r="Q62" s="34">
        <f>0.0105*N62</f>
        <v>0</v>
      </c>
      <c r="R62" s="32" t="s">
        <v>34</v>
      </c>
      <c r="S62" s="7"/>
      <c r="T62" s="7" t="str">
        <f>HYPERLINK("https://redcat-toys.ru/api/getInfo/item/736c4de4-2457-11ed-a216-ac1f6b442185")</f>
        <v>https://redcat-toys.ru/api/getInfo/item/736c4de4-2457-11ed-a216-ac1f6b442185</v>
      </c>
      <c r="U62" s="33"/>
    </row>
    <row r="63" spans="2:21" ht="96" customHeight="1" outlineLevel="6">
      <c r="B63" s="9">
        <v>1377</v>
      </c>
      <c r="C63" s="7" t="s">
        <v>191</v>
      </c>
      <c r="D63" s="45" t="s">
        <v>192</v>
      </c>
      <c r="E63" s="45"/>
      <c r="F63" s="45"/>
      <c r="G63" s="45"/>
      <c r="H63" s="8" t="s">
        <v>193</v>
      </c>
      <c r="I63" s="18">
        <v>30</v>
      </c>
      <c r="J63" s="19" t="s">
        <v>33</v>
      </c>
      <c r="K63" s="20"/>
      <c r="L63" s="6">
        <v>30</v>
      </c>
      <c r="M63" s="21">
        <f>132*(1-P3/100)</f>
        <v>132</v>
      </c>
      <c r="N63" s="15"/>
      <c r="O63" s="19">
        <f>M63*N63</f>
        <v>0</v>
      </c>
      <c r="P63" s="22">
        <f>0.103*N63</f>
        <v>0</v>
      </c>
      <c r="Q63" s="31">
        <f>0.00093*N63</f>
        <v>0</v>
      </c>
      <c r="R63" s="32" t="s">
        <v>34</v>
      </c>
      <c r="S63" s="7"/>
      <c r="T63" s="7" t="str">
        <f>HYPERLINK("https://redcat-toys.ru/api/getInfo/item/f7bd2abc-b721-11ec-a211-ac1f6b442185")</f>
        <v>https://redcat-toys.ru/api/getInfo/item/f7bd2abc-b721-11ec-a211-ac1f6b442185</v>
      </c>
      <c r="U63" s="33"/>
    </row>
    <row r="64" spans="2:20" ht="96" customHeight="1" outlineLevel="6">
      <c r="B64" s="10">
        <v>1399</v>
      </c>
      <c r="C64" s="4" t="s">
        <v>194</v>
      </c>
      <c r="D64" s="44" t="s">
        <v>195</v>
      </c>
      <c r="E64" s="44"/>
      <c r="F64" s="44"/>
      <c r="G64" s="44"/>
      <c r="H64" s="5" t="s">
        <v>196</v>
      </c>
      <c r="I64" s="12">
        <v>20</v>
      </c>
      <c r="J64" s="16" t="s">
        <v>33</v>
      </c>
      <c r="K64" s="13"/>
      <c r="L64" s="3">
        <v>2</v>
      </c>
      <c r="M64" s="14">
        <f>142.14*(1-P3/100)</f>
        <v>142.14</v>
      </c>
      <c r="N64" s="15"/>
      <c r="O64" s="16">
        <f>M64*N64</f>
        <v>0</v>
      </c>
      <c r="P64" s="17">
        <f>0.115*N64</f>
        <v>0</v>
      </c>
      <c r="Q64" s="30">
        <f>0.0014*N64</f>
        <v>0</v>
      </c>
      <c r="R64" s="29"/>
      <c r="S64" s="4"/>
      <c r="T64" s="4" t="str">
        <f>HYPERLINK("https://redcat-toys.ru/api/getInfo/item/9c7f0e07-366b-11e8-ba06-5cf3fc4a2490")</f>
        <v>https://redcat-toys.ru/api/getInfo/item/9c7f0e07-366b-11e8-ba06-5cf3fc4a2490</v>
      </c>
    </row>
    <row r="65" spans="2:20" ht="96" customHeight="1" outlineLevel="6">
      <c r="B65" s="10">
        <v>1404</v>
      </c>
      <c r="C65" s="4" t="s">
        <v>197</v>
      </c>
      <c r="D65" s="44" t="s">
        <v>198</v>
      </c>
      <c r="E65" s="44"/>
      <c r="F65" s="44"/>
      <c r="G65" s="44"/>
      <c r="H65" s="5" t="s">
        <v>199</v>
      </c>
      <c r="I65" s="12">
        <v>20</v>
      </c>
      <c r="J65" s="16" t="s">
        <v>33</v>
      </c>
      <c r="K65" s="13"/>
      <c r="L65" s="3">
        <v>2</v>
      </c>
      <c r="M65" s="14">
        <f>142.14*(1-P3/100)</f>
        <v>142.14</v>
      </c>
      <c r="N65" s="15"/>
      <c r="O65" s="16">
        <f>M65*N65</f>
        <v>0</v>
      </c>
      <c r="P65" s="17">
        <f>0.115*N65</f>
        <v>0</v>
      </c>
      <c r="Q65" s="30">
        <f>0.0014*N65</f>
        <v>0</v>
      </c>
      <c r="R65" s="29"/>
      <c r="S65" s="4"/>
      <c r="T65" s="4" t="str">
        <f>HYPERLINK("https://redcat-toys.ru/api/getInfo/item/a437a875-a667-11ea-a248-ac1f6b442184")</f>
        <v>https://redcat-toys.ru/api/getInfo/item/a437a875-a667-11ea-a248-ac1f6b442184</v>
      </c>
    </row>
    <row r="66" spans="2:20" ht="96" customHeight="1" outlineLevel="6">
      <c r="B66" s="10">
        <v>1417</v>
      </c>
      <c r="C66" s="4" t="s">
        <v>200</v>
      </c>
      <c r="D66" s="44" t="s">
        <v>201</v>
      </c>
      <c r="E66" s="44"/>
      <c r="F66" s="44"/>
      <c r="G66" s="44"/>
      <c r="H66" s="5" t="s">
        <v>202</v>
      </c>
      <c r="I66" s="12">
        <v>16</v>
      </c>
      <c r="J66" s="16" t="s">
        <v>33</v>
      </c>
      <c r="K66" s="13"/>
      <c r="L66" s="3">
        <v>2</v>
      </c>
      <c r="M66" s="14">
        <f>161*(1-P3/100)</f>
        <v>161</v>
      </c>
      <c r="N66" s="15"/>
      <c r="O66" s="16">
        <f>M66*N66</f>
        <v>0</v>
      </c>
      <c r="P66" s="24">
        <f>0.15*N66</f>
        <v>0</v>
      </c>
      <c r="Q66" s="28">
        <f>0.00188*N66</f>
        <v>0</v>
      </c>
      <c r="R66" s="29"/>
      <c r="S66" s="4"/>
      <c r="T66" s="4" t="str">
        <f>HYPERLINK("https://redcat-toys.ru/api/getInfo/item/1410df29-4efb-11e9-a222-ac1f6b442184")</f>
        <v>https://redcat-toys.ru/api/getInfo/item/1410df29-4efb-11e9-a222-ac1f6b442184</v>
      </c>
    </row>
    <row r="67" spans="2:20" ht="96" customHeight="1" outlineLevel="6">
      <c r="B67" s="10">
        <v>1422</v>
      </c>
      <c r="C67" s="4" t="s">
        <v>203</v>
      </c>
      <c r="D67" s="44" t="s">
        <v>204</v>
      </c>
      <c r="E67" s="44"/>
      <c r="F67" s="44"/>
      <c r="G67" s="44"/>
      <c r="H67" s="5" t="s">
        <v>205</v>
      </c>
      <c r="I67" s="12">
        <v>9</v>
      </c>
      <c r="J67" s="12">
        <v>11</v>
      </c>
      <c r="K67" s="13"/>
      <c r="L67" s="3">
        <v>1</v>
      </c>
      <c r="M67" s="14">
        <f>206.04*(1-P3/100)</f>
        <v>206.04</v>
      </c>
      <c r="N67" s="15"/>
      <c r="O67" s="16">
        <f>M67*N67</f>
        <v>0</v>
      </c>
      <c r="P67" s="17">
        <f>0.233*N67</f>
        <v>0</v>
      </c>
      <c r="Q67" s="28">
        <f>0.00333*N67</f>
        <v>0</v>
      </c>
      <c r="R67" s="29"/>
      <c r="S67" s="4"/>
      <c r="T67" s="4" t="str">
        <f>HYPERLINK("https://redcat-toys.ru/api/getInfo/item/989babd5-cb4f-11ea-a249-ac1f6b442184")</f>
        <v>https://redcat-toys.ru/api/getInfo/item/989babd5-cb4f-11ea-a249-ac1f6b442184</v>
      </c>
    </row>
    <row r="68" spans="2:20" ht="96" customHeight="1" outlineLevel="6">
      <c r="B68" s="10">
        <v>1426</v>
      </c>
      <c r="C68" s="4" t="s">
        <v>206</v>
      </c>
      <c r="D68" s="44" t="s">
        <v>207</v>
      </c>
      <c r="E68" s="44"/>
      <c r="F68" s="44"/>
      <c r="G68" s="44"/>
      <c r="H68" s="5" t="s">
        <v>208</v>
      </c>
      <c r="I68" s="16"/>
      <c r="J68" s="16" t="s">
        <v>33</v>
      </c>
      <c r="K68" s="13"/>
      <c r="L68" s="3">
        <v>1</v>
      </c>
      <c r="M68" s="14">
        <f>206.04*(1-P3/100)</f>
        <v>206.04</v>
      </c>
      <c r="N68" s="15"/>
      <c r="O68" s="16">
        <f>M68*N68</f>
        <v>0</v>
      </c>
      <c r="P68" s="17">
        <f>0.256*N68</f>
        <v>0</v>
      </c>
      <c r="Q68" s="28">
        <f>0.00311*N68</f>
        <v>0</v>
      </c>
      <c r="R68" s="29"/>
      <c r="S68" s="4"/>
      <c r="T68" s="4" t="str">
        <f>HYPERLINK("https://redcat-toys.ru/api/getInfo/item/66dd5fa5-cb50-11ea-a249-ac1f6b442184")</f>
        <v>https://redcat-toys.ru/api/getInfo/item/66dd5fa5-cb50-11ea-a249-ac1f6b442184</v>
      </c>
    </row>
    <row r="69" spans="2:20" ht="96" customHeight="1" outlineLevel="6">
      <c r="B69" s="10">
        <v>1449</v>
      </c>
      <c r="C69" s="4" t="s">
        <v>209</v>
      </c>
      <c r="D69" s="44" t="s">
        <v>210</v>
      </c>
      <c r="E69" s="44"/>
      <c r="F69" s="44"/>
      <c r="G69" s="44"/>
      <c r="H69" s="5" t="s">
        <v>211</v>
      </c>
      <c r="I69" s="12">
        <v>20</v>
      </c>
      <c r="J69" s="16" t="s">
        <v>33</v>
      </c>
      <c r="K69" s="13"/>
      <c r="L69" s="3">
        <v>1</v>
      </c>
      <c r="M69" s="14">
        <f>199*(1-P3/100)</f>
        <v>199</v>
      </c>
      <c r="N69" s="15"/>
      <c r="O69" s="16">
        <f>M69*N69</f>
        <v>0</v>
      </c>
      <c r="P69" s="24">
        <f>0.21*N69</f>
        <v>0</v>
      </c>
      <c r="Q69" s="28">
        <f>0.00355*N69</f>
        <v>0</v>
      </c>
      <c r="R69" s="29"/>
      <c r="S69" s="4"/>
      <c r="T69" s="4" t="str">
        <f>HYPERLINK("https://redcat-toys.ru/api/getInfo/item/e9be0b37-ad7c-11eb-a201-ac1f6b442185")</f>
        <v>https://redcat-toys.ru/api/getInfo/item/e9be0b37-ad7c-11eb-a201-ac1f6b442185</v>
      </c>
    </row>
    <row r="70" spans="2:20" ht="96" customHeight="1" outlineLevel="5">
      <c r="B70" s="10">
        <v>1451</v>
      </c>
      <c r="C70" s="4" t="s">
        <v>212</v>
      </c>
      <c r="D70" s="44" t="s">
        <v>213</v>
      </c>
      <c r="E70" s="44"/>
      <c r="F70" s="44"/>
      <c r="G70" s="44"/>
      <c r="H70" s="5" t="s">
        <v>214</v>
      </c>
      <c r="I70" s="12">
        <v>20</v>
      </c>
      <c r="J70" s="16" t="s">
        <v>33</v>
      </c>
      <c r="K70" s="13"/>
      <c r="L70" s="3">
        <v>1</v>
      </c>
      <c r="M70" s="14">
        <f>325.38*(1-P3/100)</f>
        <v>325.38</v>
      </c>
      <c r="N70" s="15"/>
      <c r="O70" s="16">
        <f>M70*N70</f>
        <v>0</v>
      </c>
      <c r="P70" s="17">
        <f>0.292*N70</f>
        <v>0</v>
      </c>
      <c r="Q70" s="30">
        <f>0.0035*N70</f>
        <v>0</v>
      </c>
      <c r="R70" s="29"/>
      <c r="S70" s="4"/>
      <c r="T70" s="4" t="str">
        <f>HYPERLINK("https://redcat-toys.ru/api/getInfo/item/681eaa83-fe88-11eb-a20e-ac1f6b442185")</f>
        <v>https://redcat-toys.ru/api/getInfo/item/681eaa83-fe88-11eb-a20e-ac1f6b442185</v>
      </c>
    </row>
    <row r="71" spans="2:20" ht="96" customHeight="1" outlineLevel="5">
      <c r="B71" s="10">
        <v>1455</v>
      </c>
      <c r="C71" s="4" t="s">
        <v>215</v>
      </c>
      <c r="D71" s="44" t="s">
        <v>216</v>
      </c>
      <c r="E71" s="44"/>
      <c r="F71" s="44"/>
      <c r="G71" s="44"/>
      <c r="H71" s="5" t="s">
        <v>217</v>
      </c>
      <c r="I71" s="12">
        <v>20</v>
      </c>
      <c r="J71" s="16" t="s">
        <v>33</v>
      </c>
      <c r="K71" s="13"/>
      <c r="L71" s="3">
        <v>1</v>
      </c>
      <c r="M71" s="14">
        <f>306*(1-P3/100)</f>
        <v>306</v>
      </c>
      <c r="N71" s="15"/>
      <c r="O71" s="16">
        <f>M71*N71</f>
        <v>0</v>
      </c>
      <c r="P71" s="17">
        <f>0.272*N71</f>
        <v>0</v>
      </c>
      <c r="Q71" s="30">
        <f>0.0035*N71</f>
        <v>0</v>
      </c>
      <c r="R71" s="29"/>
      <c r="S71" s="4"/>
      <c r="T71" s="4" t="str">
        <f>HYPERLINK("https://redcat-toys.ru/api/getInfo/item/1b863ae9-fe72-11eb-a20e-ac1f6b442185")</f>
        <v>https://redcat-toys.ru/api/getInfo/item/1b863ae9-fe72-11eb-a20e-ac1f6b442185</v>
      </c>
    </row>
    <row r="72" spans="2:20" ht="96" customHeight="1" outlineLevel="5">
      <c r="B72" s="10">
        <v>1459</v>
      </c>
      <c r="C72" s="4" t="s">
        <v>218</v>
      </c>
      <c r="D72" s="44" t="s">
        <v>219</v>
      </c>
      <c r="E72" s="44"/>
      <c r="F72" s="44"/>
      <c r="G72" s="44"/>
      <c r="H72" s="5" t="s">
        <v>220</v>
      </c>
      <c r="I72" s="12">
        <v>20</v>
      </c>
      <c r="J72" s="16" t="s">
        <v>33</v>
      </c>
      <c r="K72" s="13"/>
      <c r="L72" s="3">
        <v>1</v>
      </c>
      <c r="M72" s="14">
        <f>306*(1-P3/100)</f>
        <v>306</v>
      </c>
      <c r="N72" s="15"/>
      <c r="O72" s="16">
        <f>M72*N72</f>
        <v>0</v>
      </c>
      <c r="P72" s="17">
        <f>0.267*N72</f>
        <v>0</v>
      </c>
      <c r="Q72" s="30">
        <f>0.0035*N72</f>
        <v>0</v>
      </c>
      <c r="R72" s="29"/>
      <c r="S72" s="4"/>
      <c r="T72" s="4" t="str">
        <f>HYPERLINK("https://redcat-toys.ru/api/getInfo/item/abcc6bf6-fe84-11eb-a20e-ac1f6b442185")</f>
        <v>https://redcat-toys.ru/api/getInfo/item/abcc6bf6-fe84-11eb-a20e-ac1f6b442185</v>
      </c>
    </row>
    <row r="73" spans="2:21" ht="96" customHeight="1" outlineLevel="5">
      <c r="B73" s="9">
        <v>1462</v>
      </c>
      <c r="C73" s="7" t="s">
        <v>221</v>
      </c>
      <c r="D73" s="45" t="s">
        <v>222</v>
      </c>
      <c r="E73" s="45"/>
      <c r="F73" s="45"/>
      <c r="G73" s="45"/>
      <c r="H73" s="8" t="s">
        <v>223</v>
      </c>
      <c r="I73" s="18">
        <v>12</v>
      </c>
      <c r="J73" s="19" t="s">
        <v>33</v>
      </c>
      <c r="K73" s="20"/>
      <c r="L73" s="6">
        <v>1</v>
      </c>
      <c r="M73" s="21">
        <f>445*(1-P3/100)</f>
        <v>445</v>
      </c>
      <c r="N73" s="15"/>
      <c r="O73" s="19">
        <f>M73*N73</f>
        <v>0</v>
      </c>
      <c r="P73" s="22">
        <f>0.508*N73</f>
        <v>0</v>
      </c>
      <c r="Q73" s="31">
        <f>0.00758*N73</f>
        <v>0</v>
      </c>
      <c r="R73" s="32" t="s">
        <v>34</v>
      </c>
      <c r="S73" s="7"/>
      <c r="T73" s="7" t="str">
        <f>HYPERLINK("https://redcat-toys.ru/api/getInfo/item/d3ad142f-29ec-11ed-a216-ac1f6b442185")</f>
        <v>https://redcat-toys.ru/api/getInfo/item/d3ad142f-29ec-11ed-a216-ac1f6b442185</v>
      </c>
      <c r="U73" s="33"/>
    </row>
    <row r="74" spans="2:20" ht="96" customHeight="1" outlineLevel="5">
      <c r="B74" s="10">
        <v>1465</v>
      </c>
      <c r="C74" s="4" t="s">
        <v>224</v>
      </c>
      <c r="D74" s="44" t="s">
        <v>225</v>
      </c>
      <c r="E74" s="44"/>
      <c r="F74" s="44"/>
      <c r="G74" s="44"/>
      <c r="H74" s="5" t="s">
        <v>226</v>
      </c>
      <c r="I74" s="12">
        <v>12</v>
      </c>
      <c r="J74" s="16" t="s">
        <v>33</v>
      </c>
      <c r="K74" s="13"/>
      <c r="L74" s="3">
        <v>1</v>
      </c>
      <c r="M74" s="14">
        <f>328.44*(1-P3/100)</f>
        <v>328.44</v>
      </c>
      <c r="N74" s="15"/>
      <c r="O74" s="16">
        <f>M74*N74</f>
        <v>0</v>
      </c>
      <c r="P74" s="17">
        <f>0.278*N74</f>
        <v>0</v>
      </c>
      <c r="Q74" s="28">
        <f>0.00558*N74</f>
        <v>0</v>
      </c>
      <c r="R74" s="29"/>
      <c r="S74" s="4"/>
      <c r="T74" s="4" t="str">
        <f>HYPERLINK("https://redcat-toys.ru/api/getInfo/item/b738b3f0-fc31-11eb-a20e-ac1f6b442185")</f>
        <v>https://redcat-toys.ru/api/getInfo/item/b738b3f0-fc31-11eb-a20e-ac1f6b442185</v>
      </c>
    </row>
    <row r="75" spans="2:20" ht="96" customHeight="1" outlineLevel="5">
      <c r="B75" s="10">
        <v>1471</v>
      </c>
      <c r="C75" s="4" t="s">
        <v>227</v>
      </c>
      <c r="D75" s="44" t="s">
        <v>228</v>
      </c>
      <c r="E75" s="44"/>
      <c r="F75" s="44"/>
      <c r="G75" s="44"/>
      <c r="H75" s="5" t="s">
        <v>229</v>
      </c>
      <c r="I75" s="12">
        <v>12</v>
      </c>
      <c r="J75" s="16" t="s">
        <v>33</v>
      </c>
      <c r="K75" s="13"/>
      <c r="L75" s="3">
        <v>1</v>
      </c>
      <c r="M75" s="14">
        <f>300.67*(1-P3/100)</f>
        <v>300.67</v>
      </c>
      <c r="N75" s="15"/>
      <c r="O75" s="16">
        <f>M75*N75</f>
        <v>0</v>
      </c>
      <c r="P75" s="17">
        <f>0.243*N75</f>
        <v>0</v>
      </c>
      <c r="Q75" s="28">
        <f>0.00467*N75</f>
        <v>0</v>
      </c>
      <c r="R75" s="29"/>
      <c r="S75" s="4"/>
      <c r="T75" s="4" t="str">
        <f>HYPERLINK("https://redcat-toys.ru/api/getInfo/item/49088fb7-fc30-11eb-a20e-ac1f6b442185")</f>
        <v>https://redcat-toys.ru/api/getInfo/item/49088fb7-fc30-11eb-a20e-ac1f6b442185</v>
      </c>
    </row>
    <row r="76" spans="2:20" ht="96" customHeight="1" outlineLevel="5">
      <c r="B76" s="10">
        <v>1475</v>
      </c>
      <c r="C76" s="4" t="s">
        <v>230</v>
      </c>
      <c r="D76" s="44" t="s">
        <v>231</v>
      </c>
      <c r="E76" s="44"/>
      <c r="F76" s="44"/>
      <c r="G76" s="44"/>
      <c r="H76" s="5" t="s">
        <v>232</v>
      </c>
      <c r="I76" s="12">
        <v>20</v>
      </c>
      <c r="J76" s="16" t="s">
        <v>33</v>
      </c>
      <c r="K76" s="13"/>
      <c r="L76" s="3">
        <v>1</v>
      </c>
      <c r="M76" s="14">
        <f>196.82*(1-P3/100)</f>
        <v>196.82</v>
      </c>
      <c r="N76" s="15"/>
      <c r="O76" s="16">
        <f aca="true" t="shared" si="1" ref="O76:O94">M76*N76</f>
        <v>0</v>
      </c>
      <c r="P76" s="17">
        <f>0.199*N76</f>
        <v>0</v>
      </c>
      <c r="Q76" s="30">
        <f>0.0037*N76</f>
        <v>0</v>
      </c>
      <c r="R76" s="29"/>
      <c r="S76" s="4"/>
      <c r="T76" s="4" t="str">
        <f>HYPERLINK("https://redcat-toys.ru/api/getInfo/item/1ef9a724-fc2d-11eb-a20e-ac1f6b442185")</f>
        <v>https://redcat-toys.ru/api/getInfo/item/1ef9a724-fc2d-11eb-a20e-ac1f6b442185</v>
      </c>
    </row>
    <row r="77" spans="2:20" ht="96" customHeight="1" outlineLevel="5">
      <c r="B77" s="10">
        <v>1479</v>
      </c>
      <c r="C77" s="4" t="s">
        <v>233</v>
      </c>
      <c r="D77" s="44" t="s">
        <v>234</v>
      </c>
      <c r="E77" s="44"/>
      <c r="F77" s="44"/>
      <c r="G77" s="44"/>
      <c r="H77" s="5" t="s">
        <v>235</v>
      </c>
      <c r="I77" s="12">
        <v>20</v>
      </c>
      <c r="J77" s="16" t="s">
        <v>33</v>
      </c>
      <c r="K77" s="13"/>
      <c r="L77" s="3">
        <v>1</v>
      </c>
      <c r="M77" s="14">
        <f>177.5*(1-P3/100)</f>
        <v>177.5</v>
      </c>
      <c r="N77" s="15"/>
      <c r="O77" s="16">
        <f t="shared" si="1"/>
        <v>0</v>
      </c>
      <c r="P77" s="17">
        <f>0.177*N77</f>
        <v>0</v>
      </c>
      <c r="Q77" s="30">
        <f>0.0029*N77</f>
        <v>0</v>
      </c>
      <c r="R77" s="29"/>
      <c r="S77" s="4"/>
      <c r="T77" s="4" t="str">
        <f>HYPERLINK("https://redcat-toys.ru/api/getInfo/item/217f6b0f-fc2c-11eb-a20e-ac1f6b442185")</f>
        <v>https://redcat-toys.ru/api/getInfo/item/217f6b0f-fc2c-11eb-a20e-ac1f6b442185</v>
      </c>
    </row>
    <row r="78" spans="2:20" ht="96" customHeight="1" outlineLevel="5">
      <c r="B78" s="10">
        <v>1483</v>
      </c>
      <c r="C78" s="4" t="s">
        <v>236</v>
      </c>
      <c r="D78" s="44" t="s">
        <v>237</v>
      </c>
      <c r="E78" s="44"/>
      <c r="F78" s="44"/>
      <c r="G78" s="44"/>
      <c r="H78" s="5" t="s">
        <v>238</v>
      </c>
      <c r="I78" s="12">
        <v>16</v>
      </c>
      <c r="J78" s="16" t="s">
        <v>33</v>
      </c>
      <c r="K78" s="13"/>
      <c r="L78" s="3">
        <v>2</v>
      </c>
      <c r="M78" s="14">
        <f>148*(1-P3/100)</f>
        <v>148</v>
      </c>
      <c r="N78" s="15"/>
      <c r="O78" s="16">
        <f t="shared" si="1"/>
        <v>0</v>
      </c>
      <c r="P78" s="17">
        <f>0.194*N78</f>
        <v>0</v>
      </c>
      <c r="Q78" s="28">
        <f>0.00081*N78</f>
        <v>0</v>
      </c>
      <c r="R78" s="29"/>
      <c r="S78" s="4" t="s">
        <v>239</v>
      </c>
      <c r="T78" s="4" t="str">
        <f>HYPERLINK("https://redcat-toys.ru/api/getInfo/item/1c004173-0bed-11e4-98b8-5cf3fc4a2490")</f>
        <v>https://redcat-toys.ru/api/getInfo/item/1c004173-0bed-11e4-98b8-5cf3fc4a2490</v>
      </c>
    </row>
    <row r="79" spans="2:20" ht="96" customHeight="1" outlineLevel="5">
      <c r="B79" s="10">
        <v>1497</v>
      </c>
      <c r="C79" s="4" t="s">
        <v>240</v>
      </c>
      <c r="D79" s="44" t="s">
        <v>241</v>
      </c>
      <c r="E79" s="44"/>
      <c r="F79" s="44"/>
      <c r="G79" s="44"/>
      <c r="H79" s="5" t="s">
        <v>242</v>
      </c>
      <c r="I79" s="12">
        <v>10</v>
      </c>
      <c r="J79" s="16" t="s">
        <v>33</v>
      </c>
      <c r="K79" s="13"/>
      <c r="L79" s="3">
        <v>1</v>
      </c>
      <c r="M79" s="14">
        <f>421*(1-P3/100)</f>
        <v>421</v>
      </c>
      <c r="N79" s="15"/>
      <c r="O79" s="16">
        <f t="shared" si="1"/>
        <v>0</v>
      </c>
      <c r="P79" s="17">
        <f>0.044*N79</f>
        <v>0</v>
      </c>
      <c r="Q79" s="30">
        <f>0.0006*N79</f>
        <v>0</v>
      </c>
      <c r="R79" s="29"/>
      <c r="S79" s="4"/>
      <c r="T79" s="4" t="str">
        <f>HYPERLINK("https://redcat-toys.ru/api/getInfo/item/2bd32e22-a3f2-11e5-9e78-5cf3fc4a2490")</f>
        <v>https://redcat-toys.ru/api/getInfo/item/2bd32e22-a3f2-11e5-9e78-5cf3fc4a2490</v>
      </c>
    </row>
    <row r="80" spans="2:20" ht="96" customHeight="1" outlineLevel="5">
      <c r="B80" s="10">
        <v>1501</v>
      </c>
      <c r="C80" s="4" t="s">
        <v>243</v>
      </c>
      <c r="D80" s="44" t="s">
        <v>244</v>
      </c>
      <c r="E80" s="44"/>
      <c r="F80" s="44"/>
      <c r="G80" s="44"/>
      <c r="H80" s="5" t="s">
        <v>245</v>
      </c>
      <c r="I80" s="12">
        <v>28</v>
      </c>
      <c r="J80" s="16" t="s">
        <v>33</v>
      </c>
      <c r="K80" s="13"/>
      <c r="L80" s="3">
        <v>2</v>
      </c>
      <c r="M80" s="14">
        <f>240*(1-P3/100)</f>
        <v>240</v>
      </c>
      <c r="N80" s="15"/>
      <c r="O80" s="16">
        <f t="shared" si="1"/>
        <v>0</v>
      </c>
      <c r="P80" s="17">
        <f>0.232*N80</f>
        <v>0</v>
      </c>
      <c r="Q80" s="28">
        <f>0.00107*N80</f>
        <v>0</v>
      </c>
      <c r="R80" s="29"/>
      <c r="S80" s="4" t="s">
        <v>246</v>
      </c>
      <c r="T80" s="4" t="str">
        <f>HYPERLINK("https://redcat-toys.ru/api/getInfo/item/bbde12ef-52f0-11e5-a57f-5cf3fc4a2490")</f>
        <v>https://redcat-toys.ru/api/getInfo/item/bbde12ef-52f0-11e5-a57f-5cf3fc4a2490</v>
      </c>
    </row>
    <row r="81" spans="2:20" ht="96" customHeight="1" outlineLevel="4">
      <c r="B81" s="10">
        <v>1504</v>
      </c>
      <c r="C81" s="4" t="s">
        <v>247</v>
      </c>
      <c r="D81" s="44" t="s">
        <v>248</v>
      </c>
      <c r="E81" s="44"/>
      <c r="F81" s="44"/>
      <c r="G81" s="44"/>
      <c r="H81" s="5" t="s">
        <v>249</v>
      </c>
      <c r="I81" s="12">
        <v>20</v>
      </c>
      <c r="J81" s="16" t="s">
        <v>33</v>
      </c>
      <c r="K81" s="13"/>
      <c r="L81" s="3">
        <v>1</v>
      </c>
      <c r="M81" s="14">
        <f>196*(1-P3/100)</f>
        <v>196</v>
      </c>
      <c r="N81" s="15"/>
      <c r="O81" s="16">
        <f t="shared" si="1"/>
        <v>0</v>
      </c>
      <c r="P81" s="24">
        <f>0.21*N81</f>
        <v>0</v>
      </c>
      <c r="Q81" s="28">
        <f>0.00125*N81</f>
        <v>0</v>
      </c>
      <c r="R81" s="29"/>
      <c r="S81" s="4" t="s">
        <v>250</v>
      </c>
      <c r="T81" s="4" t="str">
        <f>HYPERLINK("https://redcat-toys.ru/api/getInfo/item/e687aa8f-ad3e-11e4-bc0b-5cf3fc4a2490")</f>
        <v>https://redcat-toys.ru/api/getInfo/item/e687aa8f-ad3e-11e4-bc0b-5cf3fc4a2490</v>
      </c>
    </row>
    <row r="82" spans="2:20" ht="96" customHeight="1" outlineLevel="5">
      <c r="B82" s="10">
        <v>1520</v>
      </c>
      <c r="C82" s="4" t="s">
        <v>251</v>
      </c>
      <c r="D82" s="44" t="s">
        <v>252</v>
      </c>
      <c r="E82" s="44"/>
      <c r="F82" s="44"/>
      <c r="G82" s="44"/>
      <c r="H82" s="5" t="s">
        <v>253</v>
      </c>
      <c r="I82" s="12">
        <v>20</v>
      </c>
      <c r="J82" s="12">
        <v>124</v>
      </c>
      <c r="K82" s="13"/>
      <c r="L82" s="3">
        <v>1</v>
      </c>
      <c r="M82" s="14">
        <f>287.5*(1-P3/100)</f>
        <v>287.5</v>
      </c>
      <c r="N82" s="15"/>
      <c r="O82" s="16">
        <f t="shared" si="1"/>
        <v>0</v>
      </c>
      <c r="P82" s="24">
        <f>0.31*N82</f>
        <v>0</v>
      </c>
      <c r="Q82" s="17">
        <f>0.005*N82</f>
        <v>0</v>
      </c>
      <c r="R82" s="29"/>
      <c r="S82" s="4" t="s">
        <v>254</v>
      </c>
      <c r="T82" s="4" t="str">
        <f>HYPERLINK("https://redcat-toys.ru/api/getInfo/item/e6e04d57-c3c9-11e4-bc0b-5cf3fc4a2490")</f>
        <v>https://redcat-toys.ru/api/getInfo/item/e6e04d57-c3c9-11e4-bc0b-5cf3fc4a2490</v>
      </c>
    </row>
    <row r="83" spans="2:20" ht="96" customHeight="1" outlineLevel="4">
      <c r="B83" s="10">
        <v>1536</v>
      </c>
      <c r="C83" s="4" t="s">
        <v>255</v>
      </c>
      <c r="D83" s="44" t="s">
        <v>256</v>
      </c>
      <c r="E83" s="44"/>
      <c r="F83" s="44"/>
      <c r="G83" s="44"/>
      <c r="H83" s="5" t="s">
        <v>257</v>
      </c>
      <c r="I83" s="12">
        <v>24</v>
      </c>
      <c r="J83" s="16" t="s">
        <v>33</v>
      </c>
      <c r="K83" s="13"/>
      <c r="L83" s="3">
        <v>1</v>
      </c>
      <c r="M83" s="14">
        <f>218*(1-P3/100)</f>
        <v>218</v>
      </c>
      <c r="N83" s="15"/>
      <c r="O83" s="16">
        <f t="shared" si="1"/>
        <v>0</v>
      </c>
      <c r="P83" s="27">
        <f>0.2*N83</f>
        <v>0</v>
      </c>
      <c r="Q83" s="28">
        <f>0.00104*N83</f>
        <v>0</v>
      </c>
      <c r="R83" s="29"/>
      <c r="S83" s="4" t="s">
        <v>258</v>
      </c>
      <c r="T83" s="4" t="str">
        <f>HYPERLINK("https://redcat-toys.ru/api/getInfo/item/eb03f478-f553-11e3-98b8-5cf3fc4a2490")</f>
        <v>https://redcat-toys.ru/api/getInfo/item/eb03f478-f553-11e3-98b8-5cf3fc4a2490</v>
      </c>
    </row>
    <row r="84" spans="2:21" ht="96" customHeight="1" outlineLevel="5">
      <c r="B84" s="9">
        <v>1541</v>
      </c>
      <c r="C84" s="7" t="s">
        <v>259</v>
      </c>
      <c r="D84" s="45" t="s">
        <v>260</v>
      </c>
      <c r="E84" s="45"/>
      <c r="F84" s="45"/>
      <c r="G84" s="45"/>
      <c r="H84" s="8" t="s">
        <v>261</v>
      </c>
      <c r="I84" s="18">
        <v>24</v>
      </c>
      <c r="J84" s="19" t="s">
        <v>33</v>
      </c>
      <c r="K84" s="20"/>
      <c r="L84" s="6">
        <v>1</v>
      </c>
      <c r="M84" s="21">
        <f>186*(1-P3/100)</f>
        <v>186</v>
      </c>
      <c r="N84" s="15"/>
      <c r="O84" s="19">
        <f t="shared" si="1"/>
        <v>0</v>
      </c>
      <c r="P84" s="23">
        <f>0.18*N84</f>
        <v>0</v>
      </c>
      <c r="Q84" s="31">
        <f>0.00121*N84</f>
        <v>0</v>
      </c>
      <c r="R84" s="32" t="s">
        <v>34</v>
      </c>
      <c r="S84" s="7"/>
      <c r="T84" s="7" t="str">
        <f>HYPERLINK("https://redcat-toys.ru/api/getInfo/item/6aaf22a0-1567-11ec-a20f-ac1f6b442185")</f>
        <v>https://redcat-toys.ru/api/getInfo/item/6aaf22a0-1567-11ec-a20f-ac1f6b442185</v>
      </c>
      <c r="U84" s="33"/>
    </row>
    <row r="85" spans="2:20" ht="96" customHeight="1" outlineLevel="5">
      <c r="B85" s="10">
        <v>1544</v>
      </c>
      <c r="C85" s="4" t="s">
        <v>262</v>
      </c>
      <c r="D85" s="44" t="s">
        <v>263</v>
      </c>
      <c r="E85" s="44"/>
      <c r="F85" s="44"/>
      <c r="G85" s="44"/>
      <c r="H85" s="5" t="s">
        <v>264</v>
      </c>
      <c r="I85" s="12">
        <v>25</v>
      </c>
      <c r="J85" s="16" t="s">
        <v>33</v>
      </c>
      <c r="K85" s="13"/>
      <c r="L85" s="3">
        <v>2</v>
      </c>
      <c r="M85" s="14">
        <f>99*(1-P3/100)</f>
        <v>99</v>
      </c>
      <c r="N85" s="15"/>
      <c r="O85" s="16">
        <f t="shared" si="1"/>
        <v>0</v>
      </c>
      <c r="P85" s="17">
        <f>0.087*N85</f>
        <v>0</v>
      </c>
      <c r="Q85" s="28">
        <f>0.00024*N85</f>
        <v>0</v>
      </c>
      <c r="R85" s="29"/>
      <c r="S85" s="4" t="s">
        <v>265</v>
      </c>
      <c r="T85" s="4" t="str">
        <f>HYPERLINK("https://redcat-toys.ru/api/getInfo/item/379e2587-cc07-11e2-b085-003048670413")</f>
        <v>https://redcat-toys.ru/api/getInfo/item/379e2587-cc07-11e2-b085-003048670413</v>
      </c>
    </row>
    <row r="86" spans="2:20" ht="96" customHeight="1" outlineLevel="5">
      <c r="B86" s="10">
        <v>1560</v>
      </c>
      <c r="C86" s="4" t="s">
        <v>266</v>
      </c>
      <c r="D86" s="44" t="s">
        <v>267</v>
      </c>
      <c r="E86" s="44"/>
      <c r="F86" s="44"/>
      <c r="G86" s="44"/>
      <c r="H86" s="5" t="s">
        <v>268</v>
      </c>
      <c r="I86" s="12">
        <v>24</v>
      </c>
      <c r="J86" s="16" t="s">
        <v>33</v>
      </c>
      <c r="K86" s="13"/>
      <c r="L86" s="3">
        <v>1</v>
      </c>
      <c r="M86" s="14">
        <f>228*(1-P3/100)</f>
        <v>228</v>
      </c>
      <c r="N86" s="15"/>
      <c r="O86" s="16">
        <f t="shared" si="1"/>
        <v>0</v>
      </c>
      <c r="P86" s="17">
        <f>0.237*N86</f>
        <v>0</v>
      </c>
      <c r="Q86" s="28">
        <f>0.00108*N86</f>
        <v>0</v>
      </c>
      <c r="R86" s="29"/>
      <c r="S86" s="4"/>
      <c r="T86" s="4" t="str">
        <f>HYPERLINK("https://redcat-toys.ru/api/getInfo/item/15411fd1-1d9b-11e9-a21c-ac1f6b442184")</f>
        <v>https://redcat-toys.ru/api/getInfo/item/15411fd1-1d9b-11e9-a21c-ac1f6b442184</v>
      </c>
    </row>
    <row r="87" spans="2:20" ht="96" customHeight="1" outlineLevel="4">
      <c r="B87" s="10">
        <v>1565</v>
      </c>
      <c r="C87" s="4" t="s">
        <v>269</v>
      </c>
      <c r="D87" s="44" t="s">
        <v>270</v>
      </c>
      <c r="E87" s="44"/>
      <c r="F87" s="44"/>
      <c r="G87" s="44"/>
      <c r="H87" s="5" t="s">
        <v>271</v>
      </c>
      <c r="I87" s="12">
        <v>24</v>
      </c>
      <c r="J87" s="16" t="s">
        <v>33</v>
      </c>
      <c r="K87" s="13"/>
      <c r="L87" s="3">
        <v>1</v>
      </c>
      <c r="M87" s="14">
        <f>185*(1-P3/100)</f>
        <v>185</v>
      </c>
      <c r="N87" s="15"/>
      <c r="O87" s="16">
        <f t="shared" si="1"/>
        <v>0</v>
      </c>
      <c r="P87" s="17">
        <f>0.192*N87</f>
        <v>0</v>
      </c>
      <c r="Q87" s="28">
        <f>0.00104*N87</f>
        <v>0</v>
      </c>
      <c r="R87" s="29"/>
      <c r="S87" s="4" t="s">
        <v>272</v>
      </c>
      <c r="T87" s="4" t="str">
        <f>HYPERLINK("https://redcat-toys.ru/api/getInfo/item/62afc62f-832f-11e3-b9ef-5cf3fc4a2490")</f>
        <v>https://redcat-toys.ru/api/getInfo/item/62afc62f-832f-11e3-b9ef-5cf3fc4a2490</v>
      </c>
    </row>
    <row r="88" spans="2:20" ht="96" customHeight="1" outlineLevel="4">
      <c r="B88" s="10">
        <v>1570</v>
      </c>
      <c r="C88" s="4" t="s">
        <v>273</v>
      </c>
      <c r="D88" s="44" t="s">
        <v>274</v>
      </c>
      <c r="E88" s="44"/>
      <c r="F88" s="44"/>
      <c r="G88" s="44"/>
      <c r="H88" s="5" t="s">
        <v>275</v>
      </c>
      <c r="I88" s="12">
        <v>12</v>
      </c>
      <c r="J88" s="16" t="s">
        <v>33</v>
      </c>
      <c r="K88" s="13"/>
      <c r="L88" s="3">
        <v>1</v>
      </c>
      <c r="M88" s="14">
        <f>655.5*(1-P3/100)</f>
        <v>655.5</v>
      </c>
      <c r="N88" s="15"/>
      <c r="O88" s="16">
        <f t="shared" si="1"/>
        <v>0</v>
      </c>
      <c r="P88" s="24">
        <f>0.86*N88</f>
        <v>0</v>
      </c>
      <c r="Q88" s="28">
        <f>0.00725*N88</f>
        <v>0</v>
      </c>
      <c r="R88" s="29"/>
      <c r="S88" s="4"/>
      <c r="T88" s="4" t="str">
        <f>HYPERLINK("https://redcat-toys.ru/api/getInfo/item/5c58a466-706c-11e7-977d-5cf3fc4a2490")</f>
        <v>https://redcat-toys.ru/api/getInfo/item/5c58a466-706c-11e7-977d-5cf3fc4a2490</v>
      </c>
    </row>
    <row r="89" spans="2:20" ht="96" customHeight="1" outlineLevel="4">
      <c r="B89" s="10">
        <v>1571</v>
      </c>
      <c r="C89" s="4" t="s">
        <v>276</v>
      </c>
      <c r="D89" s="44" t="s">
        <v>277</v>
      </c>
      <c r="E89" s="44"/>
      <c r="F89" s="44"/>
      <c r="G89" s="44"/>
      <c r="H89" s="5" t="s">
        <v>278</v>
      </c>
      <c r="I89" s="12">
        <v>8</v>
      </c>
      <c r="J89" s="16" t="s">
        <v>33</v>
      </c>
      <c r="K89" s="13"/>
      <c r="L89" s="3">
        <v>1</v>
      </c>
      <c r="M89" s="14">
        <f>492.2*(1-P3/100)</f>
        <v>492.2</v>
      </c>
      <c r="N89" s="15"/>
      <c r="O89" s="16">
        <f t="shared" si="1"/>
        <v>0</v>
      </c>
      <c r="P89" s="17">
        <f>0.625*N89</f>
        <v>0</v>
      </c>
      <c r="Q89" s="30">
        <f>0.0055*N89</f>
        <v>0</v>
      </c>
      <c r="R89" s="29"/>
      <c r="S89" s="4"/>
      <c r="T89" s="4" t="str">
        <f>HYPERLINK("https://redcat-toys.ru/api/getInfo/item/e675665c-d3f3-11eb-a209-ac1f6b442185")</f>
        <v>https://redcat-toys.ru/api/getInfo/item/e675665c-d3f3-11eb-a209-ac1f6b442185</v>
      </c>
    </row>
    <row r="90" spans="2:20" ht="96" customHeight="1" outlineLevel="5">
      <c r="B90" s="10">
        <v>1582</v>
      </c>
      <c r="C90" s="4" t="s">
        <v>279</v>
      </c>
      <c r="D90" s="44" t="s">
        <v>280</v>
      </c>
      <c r="E90" s="44"/>
      <c r="F90" s="44"/>
      <c r="G90" s="44"/>
      <c r="H90" s="5" t="s">
        <v>281</v>
      </c>
      <c r="I90" s="12">
        <v>60</v>
      </c>
      <c r="J90" s="16" t="s">
        <v>33</v>
      </c>
      <c r="K90" s="13"/>
      <c r="L90" s="3">
        <v>5</v>
      </c>
      <c r="M90" s="14">
        <f>45.5*(1-P3/100)</f>
        <v>45.5</v>
      </c>
      <c r="N90" s="15"/>
      <c r="O90" s="16">
        <f t="shared" si="1"/>
        <v>0</v>
      </c>
      <c r="P90" s="17">
        <f>0.067*N90</f>
        <v>0</v>
      </c>
      <c r="Q90" s="28">
        <f>0.00012*N90</f>
        <v>0</v>
      </c>
      <c r="R90" s="29"/>
      <c r="S90" s="4"/>
      <c r="T90" s="4" t="str">
        <f>HYPERLINK("https://redcat-toys.ru/api/getInfo/item/8c42b3d6-51ef-11e8-b825-5cf3fc4a2490")</f>
        <v>https://redcat-toys.ru/api/getInfo/item/8c42b3d6-51ef-11e8-b825-5cf3fc4a2490</v>
      </c>
    </row>
    <row r="91" spans="2:20" ht="96" customHeight="1" outlineLevel="5">
      <c r="B91" s="10">
        <v>1599</v>
      </c>
      <c r="C91" s="4" t="s">
        <v>282</v>
      </c>
      <c r="D91" s="44" t="s">
        <v>283</v>
      </c>
      <c r="E91" s="44"/>
      <c r="F91" s="44"/>
      <c r="G91" s="44"/>
      <c r="H91" s="5" t="s">
        <v>284</v>
      </c>
      <c r="I91" s="12">
        <v>60</v>
      </c>
      <c r="J91" s="16" t="s">
        <v>33</v>
      </c>
      <c r="K91" s="13"/>
      <c r="L91" s="3">
        <v>2</v>
      </c>
      <c r="M91" s="14">
        <f>70.5*(1-P3/100)</f>
        <v>70.5</v>
      </c>
      <c r="N91" s="15"/>
      <c r="O91" s="16">
        <f t="shared" si="1"/>
        <v>0</v>
      </c>
      <c r="P91" s="17">
        <f>0.098*N91</f>
        <v>0</v>
      </c>
      <c r="Q91" s="28">
        <f>0.00017*N91</f>
        <v>0</v>
      </c>
      <c r="R91" s="29"/>
      <c r="S91" s="4" t="s">
        <v>285</v>
      </c>
      <c r="T91" s="4" t="str">
        <f>HYPERLINK("https://redcat-toys.ru/api/getInfo/item/730ab9cb-f71d-11e9-a235-ac1f6b442184")</f>
        <v>https://redcat-toys.ru/api/getInfo/item/730ab9cb-f71d-11e9-a235-ac1f6b442184</v>
      </c>
    </row>
    <row r="92" spans="2:20" ht="96" customHeight="1" outlineLevel="5">
      <c r="B92" s="10">
        <v>1605</v>
      </c>
      <c r="C92" s="4" t="s">
        <v>286</v>
      </c>
      <c r="D92" s="44" t="s">
        <v>287</v>
      </c>
      <c r="E92" s="44"/>
      <c r="F92" s="44"/>
      <c r="G92" s="44"/>
      <c r="H92" s="5" t="s">
        <v>288</v>
      </c>
      <c r="I92" s="12">
        <v>33</v>
      </c>
      <c r="J92" s="12">
        <v>27</v>
      </c>
      <c r="K92" s="13"/>
      <c r="L92" s="3">
        <v>1</v>
      </c>
      <c r="M92" s="14">
        <f>181.5*(1-P3/100)</f>
        <v>181.5</v>
      </c>
      <c r="N92" s="15"/>
      <c r="O92" s="16">
        <f t="shared" si="1"/>
        <v>0</v>
      </c>
      <c r="P92" s="17">
        <f>0.295*N92</f>
        <v>0</v>
      </c>
      <c r="Q92" s="28">
        <f>0.00052*N92</f>
        <v>0</v>
      </c>
      <c r="R92" s="29"/>
      <c r="S92" s="4"/>
      <c r="T92" s="4" t="str">
        <f>HYPERLINK("https://redcat-toys.ru/api/getInfo/item/c3905373-49d5-11eb-a25e-ac1f6b442184")</f>
        <v>https://redcat-toys.ru/api/getInfo/item/c3905373-49d5-11eb-a25e-ac1f6b442184</v>
      </c>
    </row>
    <row r="93" spans="2:20" ht="96" customHeight="1" outlineLevel="5">
      <c r="B93" s="10">
        <v>1608</v>
      </c>
      <c r="C93" s="4" t="s">
        <v>289</v>
      </c>
      <c r="D93" s="44" t="s">
        <v>290</v>
      </c>
      <c r="E93" s="44"/>
      <c r="F93" s="44"/>
      <c r="G93" s="44"/>
      <c r="H93" s="5" t="s">
        <v>291</v>
      </c>
      <c r="I93" s="12">
        <v>48</v>
      </c>
      <c r="J93" s="12">
        <v>424</v>
      </c>
      <c r="K93" s="13"/>
      <c r="L93" s="3">
        <v>1</v>
      </c>
      <c r="M93" s="14">
        <f>165*(1-P3/100)</f>
        <v>165</v>
      </c>
      <c r="N93" s="15"/>
      <c r="O93" s="16">
        <f t="shared" si="1"/>
        <v>0</v>
      </c>
      <c r="P93" s="17">
        <f>0.208*N93</f>
        <v>0</v>
      </c>
      <c r="Q93" s="30">
        <f>0.0004*N93</f>
        <v>0</v>
      </c>
      <c r="R93" s="29"/>
      <c r="S93" s="4"/>
      <c r="T93" s="4" t="str">
        <f>HYPERLINK("https://redcat-toys.ru/api/getInfo/item/3dd01852-0635-11ec-a20e-ac1f6b442185")</f>
        <v>https://redcat-toys.ru/api/getInfo/item/3dd01852-0635-11ec-a20e-ac1f6b442185</v>
      </c>
    </row>
    <row r="94" spans="2:20" ht="96" customHeight="1" outlineLevel="5">
      <c r="B94" s="10">
        <v>1672</v>
      </c>
      <c r="C94" s="4" t="s">
        <v>292</v>
      </c>
      <c r="D94" s="44" t="s">
        <v>293</v>
      </c>
      <c r="E94" s="44"/>
      <c r="F94" s="44"/>
      <c r="G94" s="44"/>
      <c r="H94" s="5" t="s">
        <v>294</v>
      </c>
      <c r="I94" s="12">
        <v>24</v>
      </c>
      <c r="J94" s="16" t="s">
        <v>33</v>
      </c>
      <c r="K94" s="13"/>
      <c r="L94" s="3">
        <v>2</v>
      </c>
      <c r="M94" s="14">
        <f>63.4*(1-P3/100)</f>
        <v>63.4</v>
      </c>
      <c r="N94" s="15"/>
      <c r="O94" s="16">
        <f t="shared" si="1"/>
        <v>0</v>
      </c>
      <c r="P94" s="17">
        <f>0.105*N94</f>
        <v>0</v>
      </c>
      <c r="Q94" s="28">
        <f>0.00521*N94</f>
        <v>0</v>
      </c>
      <c r="R94" s="29"/>
      <c r="S94" s="4"/>
      <c r="T94" s="4" t="str">
        <f>HYPERLINK("https://redcat-toys.ru/api/getInfo/item/26926f93-0092-11ea-a236-ac1f6b442184")</f>
        <v>https://redcat-toys.ru/api/getInfo/item/26926f93-0092-11ea-a236-ac1f6b442184</v>
      </c>
    </row>
    <row r="95" spans="2:20" ht="96" customHeight="1" outlineLevel="5">
      <c r="B95" s="10">
        <v>1755</v>
      </c>
      <c r="C95" s="4" t="s">
        <v>295</v>
      </c>
      <c r="D95" s="44" t="s">
        <v>296</v>
      </c>
      <c r="E95" s="44"/>
      <c r="F95" s="44"/>
      <c r="G95" s="44"/>
      <c r="H95" s="5" t="s">
        <v>297</v>
      </c>
      <c r="I95" s="12">
        <v>24</v>
      </c>
      <c r="J95" s="16" t="s">
        <v>33</v>
      </c>
      <c r="K95" s="13"/>
      <c r="L95" s="3">
        <v>2</v>
      </c>
      <c r="M95" s="14">
        <f>63.4*(1-P3/100)</f>
        <v>63.4</v>
      </c>
      <c r="N95" s="15"/>
      <c r="O95" s="16">
        <f>M95*N95</f>
        <v>0</v>
      </c>
      <c r="P95" s="17">
        <f>0.127*N95</f>
        <v>0</v>
      </c>
      <c r="Q95" s="28">
        <f>0.00071*N95</f>
        <v>0</v>
      </c>
      <c r="R95" s="29"/>
      <c r="S95" s="4"/>
      <c r="T95" s="4" t="str">
        <f>HYPERLINK("https://redcat-toys.ru/api/getInfo/item/4bf7ede4-0fe5-11ec-a20f-ac1f6b442185")</f>
        <v>https://redcat-toys.ru/api/getInfo/item/4bf7ede4-0fe5-11ec-a20f-ac1f6b442185</v>
      </c>
    </row>
    <row r="96" spans="2:20" ht="96" customHeight="1" outlineLevel="6">
      <c r="B96" s="10">
        <v>1799</v>
      </c>
      <c r="C96" s="4" t="s">
        <v>298</v>
      </c>
      <c r="D96" s="44" t="s">
        <v>299</v>
      </c>
      <c r="E96" s="44"/>
      <c r="F96" s="44"/>
      <c r="G96" s="44"/>
      <c r="H96" s="5" t="s">
        <v>300</v>
      </c>
      <c r="I96" s="12">
        <v>10</v>
      </c>
      <c r="J96" s="16" t="s">
        <v>33</v>
      </c>
      <c r="K96" s="13"/>
      <c r="L96" s="3">
        <v>2</v>
      </c>
      <c r="M96" s="14">
        <f>141.85*(1-P3/100)</f>
        <v>141.85</v>
      </c>
      <c r="N96" s="15"/>
      <c r="O96" s="16">
        <f aca="true" t="shared" si="2" ref="O96:O102">M96*N96</f>
        <v>0</v>
      </c>
      <c r="P96" s="24">
        <f>0.26*N96</f>
        <v>0</v>
      </c>
      <c r="Q96" s="30">
        <f>0.0023*N96</f>
        <v>0</v>
      </c>
      <c r="R96" s="29"/>
      <c r="S96" s="4"/>
      <c r="T96" s="4" t="str">
        <f>HYPERLINK("https://redcat-toys.ru/api/getInfo/item/3165b699-254d-11e9-a21d-ac1f6b442184")</f>
        <v>https://redcat-toys.ru/api/getInfo/item/3165b699-254d-11e9-a21d-ac1f6b442184</v>
      </c>
    </row>
    <row r="97" spans="2:21" ht="96" customHeight="1" outlineLevel="6">
      <c r="B97" s="9">
        <v>1803</v>
      </c>
      <c r="C97" s="7" t="s">
        <v>301</v>
      </c>
      <c r="D97" s="45" t="s">
        <v>302</v>
      </c>
      <c r="E97" s="45"/>
      <c r="F97" s="45"/>
      <c r="G97" s="45"/>
      <c r="H97" s="8" t="s">
        <v>303</v>
      </c>
      <c r="I97" s="18">
        <v>10</v>
      </c>
      <c r="J97" s="19" t="s">
        <v>33</v>
      </c>
      <c r="K97" s="20"/>
      <c r="L97" s="6">
        <v>2</v>
      </c>
      <c r="M97" s="21">
        <f>141.85*(1-P3/100)</f>
        <v>141.85</v>
      </c>
      <c r="N97" s="15"/>
      <c r="O97" s="19">
        <f t="shared" si="2"/>
        <v>0</v>
      </c>
      <c r="P97" s="22">
        <f>0.239*N97</f>
        <v>0</v>
      </c>
      <c r="Q97" s="34">
        <f>0.0025*N97</f>
        <v>0</v>
      </c>
      <c r="R97" s="32" t="s">
        <v>34</v>
      </c>
      <c r="S97" s="7"/>
      <c r="T97" s="7" t="str">
        <f>HYPERLINK("https://redcat-toys.ru/api/getInfo/item/89ab94fc-485f-11ed-a216-ac1f6b442185")</f>
        <v>https://redcat-toys.ru/api/getInfo/item/89ab94fc-485f-11ed-a216-ac1f6b442185</v>
      </c>
      <c r="U97" s="33"/>
    </row>
    <row r="98" spans="2:20" ht="96" customHeight="1" outlineLevel="6">
      <c r="B98" s="10">
        <v>1812</v>
      </c>
      <c r="C98" s="4" t="s">
        <v>304</v>
      </c>
      <c r="D98" s="44" t="s">
        <v>305</v>
      </c>
      <c r="E98" s="44"/>
      <c r="F98" s="44"/>
      <c r="G98" s="44"/>
      <c r="H98" s="5" t="s">
        <v>306</v>
      </c>
      <c r="I98" s="12">
        <v>10</v>
      </c>
      <c r="J98" s="16" t="s">
        <v>33</v>
      </c>
      <c r="K98" s="13"/>
      <c r="L98" s="3">
        <v>2</v>
      </c>
      <c r="M98" s="14">
        <f>141.85*(1-P3/100)</f>
        <v>141.85</v>
      </c>
      <c r="N98" s="15"/>
      <c r="O98" s="16">
        <f t="shared" si="2"/>
        <v>0</v>
      </c>
      <c r="P98" s="24">
        <f>0.26*N98</f>
        <v>0</v>
      </c>
      <c r="Q98" s="30">
        <f>0.0025*N98</f>
        <v>0</v>
      </c>
      <c r="R98" s="29"/>
      <c r="S98" s="4"/>
      <c r="T98" s="4" t="str">
        <f>HYPERLINK("https://redcat-toys.ru/api/getInfo/item/aaea4fe1-e6ce-11ea-a254-ac1f6b442184")</f>
        <v>https://redcat-toys.ru/api/getInfo/item/aaea4fe1-e6ce-11ea-a254-ac1f6b442184</v>
      </c>
    </row>
    <row r="99" spans="2:20" ht="96" customHeight="1" outlineLevel="6">
      <c r="B99" s="10">
        <v>1843</v>
      </c>
      <c r="C99" s="4" t="s">
        <v>307</v>
      </c>
      <c r="D99" s="44" t="s">
        <v>308</v>
      </c>
      <c r="E99" s="44"/>
      <c r="F99" s="44"/>
      <c r="G99" s="44"/>
      <c r="H99" s="5" t="s">
        <v>309</v>
      </c>
      <c r="I99" s="12">
        <v>10</v>
      </c>
      <c r="J99" s="16" t="s">
        <v>33</v>
      </c>
      <c r="K99" s="13"/>
      <c r="L99" s="3">
        <v>1</v>
      </c>
      <c r="M99" s="14">
        <f>230.01*(1-P3/100)</f>
        <v>230.01</v>
      </c>
      <c r="N99" s="15"/>
      <c r="O99" s="16">
        <f t="shared" si="2"/>
        <v>0</v>
      </c>
      <c r="P99" s="27">
        <f>0.4*N99</f>
        <v>0</v>
      </c>
      <c r="Q99" s="30">
        <f>0.0025*N99</f>
        <v>0</v>
      </c>
      <c r="R99" s="29"/>
      <c r="S99" s="4"/>
      <c r="T99" s="4" t="str">
        <f>HYPERLINK("https://redcat-toys.ru/api/getInfo/item/0fbed7b1-148d-11ec-a20f-ac1f6b442185")</f>
        <v>https://redcat-toys.ru/api/getInfo/item/0fbed7b1-148d-11ec-a20f-ac1f6b442185</v>
      </c>
    </row>
    <row r="100" spans="2:20" ht="96" customHeight="1" outlineLevel="4">
      <c r="B100" s="10">
        <v>1865</v>
      </c>
      <c r="C100" s="4" t="s">
        <v>310</v>
      </c>
      <c r="D100" s="44" t="s">
        <v>311</v>
      </c>
      <c r="E100" s="44"/>
      <c r="F100" s="44"/>
      <c r="G100" s="44"/>
      <c r="H100" s="5" t="s">
        <v>312</v>
      </c>
      <c r="I100" s="12">
        <v>14</v>
      </c>
      <c r="J100" s="16" t="s">
        <v>33</v>
      </c>
      <c r="K100" s="13"/>
      <c r="L100" s="3">
        <v>2</v>
      </c>
      <c r="M100" s="14">
        <f>113.01*(1-P3/100)</f>
        <v>113.01</v>
      </c>
      <c r="N100" s="15"/>
      <c r="O100" s="16">
        <f t="shared" si="2"/>
        <v>0</v>
      </c>
      <c r="P100" s="17">
        <f>0.129*N100</f>
        <v>0</v>
      </c>
      <c r="Q100" s="28">
        <f>0.00179*N100</f>
        <v>0</v>
      </c>
      <c r="R100" s="29"/>
      <c r="S100" s="4" t="s">
        <v>313</v>
      </c>
      <c r="T100" s="4" t="str">
        <f>HYPERLINK("https://redcat-toys.ru/api/getInfo/item/1a367a68-1cef-11e2-8ed0-003048670413")</f>
        <v>https://redcat-toys.ru/api/getInfo/item/1a367a68-1cef-11e2-8ed0-003048670413</v>
      </c>
    </row>
    <row r="101" spans="2:21" ht="96" customHeight="1" outlineLevel="4">
      <c r="B101" s="9">
        <v>1870</v>
      </c>
      <c r="C101" s="7" t="s">
        <v>314</v>
      </c>
      <c r="D101" s="45" t="s">
        <v>315</v>
      </c>
      <c r="E101" s="45"/>
      <c r="F101" s="45"/>
      <c r="G101" s="45"/>
      <c r="H101" s="8" t="s">
        <v>316</v>
      </c>
      <c r="I101" s="18">
        <v>12</v>
      </c>
      <c r="J101" s="19" t="s">
        <v>33</v>
      </c>
      <c r="K101" s="20"/>
      <c r="L101" s="6">
        <v>1</v>
      </c>
      <c r="M101" s="21">
        <f>193*(1-P3/100)</f>
        <v>193</v>
      </c>
      <c r="N101" s="15"/>
      <c r="O101" s="19">
        <f t="shared" si="2"/>
        <v>0</v>
      </c>
      <c r="P101" s="22">
        <f>0.174*N101</f>
        <v>0</v>
      </c>
      <c r="Q101" s="31">
        <f>0.00267*N101</f>
        <v>0</v>
      </c>
      <c r="R101" s="32" t="s">
        <v>34</v>
      </c>
      <c r="S101" s="7"/>
      <c r="T101" s="7" t="str">
        <f>HYPERLINK("https://redcat-toys.ru/api/getInfo/item/00028a2a-f044-11eb-a20d-ac1f6b442185")</f>
        <v>https://redcat-toys.ru/api/getInfo/item/00028a2a-f044-11eb-a20d-ac1f6b442185</v>
      </c>
      <c r="U101" s="33"/>
    </row>
    <row r="102" spans="2:21" ht="96" customHeight="1" outlineLevel="4">
      <c r="B102" s="9">
        <v>1871</v>
      </c>
      <c r="C102" s="7" t="s">
        <v>317</v>
      </c>
      <c r="D102" s="45" t="s">
        <v>318</v>
      </c>
      <c r="E102" s="45"/>
      <c r="F102" s="45"/>
      <c r="G102" s="45"/>
      <c r="H102" s="8" t="s">
        <v>319</v>
      </c>
      <c r="I102" s="18">
        <v>12</v>
      </c>
      <c r="J102" s="19" t="s">
        <v>33</v>
      </c>
      <c r="K102" s="20"/>
      <c r="L102" s="6">
        <v>1</v>
      </c>
      <c r="M102" s="21">
        <f>193*(1-P3/100)</f>
        <v>193</v>
      </c>
      <c r="N102" s="15"/>
      <c r="O102" s="19">
        <f t="shared" si="2"/>
        <v>0</v>
      </c>
      <c r="P102" s="22">
        <f>0.161*N102</f>
        <v>0</v>
      </c>
      <c r="Q102" s="34">
        <f>0.0025*N102</f>
        <v>0</v>
      </c>
      <c r="R102" s="32" t="s">
        <v>34</v>
      </c>
      <c r="S102" s="7"/>
      <c r="T102" s="7" t="str">
        <f>HYPERLINK("https://redcat-toys.ru/api/getInfo/item/1b82183c-f03d-11eb-a20d-ac1f6b442185")</f>
        <v>https://redcat-toys.ru/api/getInfo/item/1b82183c-f03d-11eb-a20d-ac1f6b442185</v>
      </c>
      <c r="U102" s="33"/>
    </row>
    <row r="103" spans="2:21" ht="96" customHeight="1" outlineLevel="4">
      <c r="B103" s="9">
        <v>1878</v>
      </c>
      <c r="C103" s="7" t="s">
        <v>320</v>
      </c>
      <c r="D103" s="45" t="s">
        <v>321</v>
      </c>
      <c r="E103" s="45"/>
      <c r="F103" s="45"/>
      <c r="G103" s="45"/>
      <c r="H103" s="8" t="s">
        <v>322</v>
      </c>
      <c r="I103" s="18">
        <v>10</v>
      </c>
      <c r="J103" s="19" t="s">
        <v>33</v>
      </c>
      <c r="K103" s="20"/>
      <c r="L103" s="6">
        <v>1</v>
      </c>
      <c r="M103" s="21">
        <f>498*(1-P3/100)</f>
        <v>498</v>
      </c>
      <c r="N103" s="15"/>
      <c r="O103" s="19">
        <f>M103*N103</f>
        <v>0</v>
      </c>
      <c r="P103" s="22">
        <f>1.057*N103</f>
        <v>0</v>
      </c>
      <c r="Q103" s="22">
        <f>0.004*N103</f>
        <v>0</v>
      </c>
      <c r="R103" s="32" t="s">
        <v>34</v>
      </c>
      <c r="S103" s="7"/>
      <c r="T103" s="7" t="str">
        <f>HYPERLINK("https://redcat-toys.ru/api/getInfo/item/b4fd4160-8bdf-11eb-a277-ac1f6b442184")</f>
        <v>https://redcat-toys.ru/api/getInfo/item/b4fd4160-8bdf-11eb-a277-ac1f6b442184</v>
      </c>
      <c r="U103" s="33"/>
    </row>
    <row r="104" spans="2:21" ht="96" customHeight="1" outlineLevel="4">
      <c r="B104" s="9">
        <v>1884</v>
      </c>
      <c r="C104" s="7" t="s">
        <v>323</v>
      </c>
      <c r="D104" s="45" t="s">
        <v>324</v>
      </c>
      <c r="E104" s="45"/>
      <c r="F104" s="45"/>
      <c r="G104" s="45"/>
      <c r="H104" s="8" t="s">
        <v>325</v>
      </c>
      <c r="I104" s="18">
        <v>16</v>
      </c>
      <c r="J104" s="19" t="s">
        <v>33</v>
      </c>
      <c r="K104" s="20"/>
      <c r="L104" s="6">
        <v>1</v>
      </c>
      <c r="M104" s="21">
        <f>172*(1-P3/100)</f>
        <v>172</v>
      </c>
      <c r="N104" s="15"/>
      <c r="O104" s="19">
        <f>M104*N104</f>
        <v>0</v>
      </c>
      <c r="P104" s="22">
        <f>0.239*N104</f>
        <v>0</v>
      </c>
      <c r="Q104" s="22">
        <f>0.002*N104</f>
        <v>0</v>
      </c>
      <c r="R104" s="32" t="s">
        <v>34</v>
      </c>
      <c r="S104" s="7"/>
      <c r="T104" s="7" t="str">
        <f>HYPERLINK("https://redcat-toys.ru/api/getInfo/item/43bb0a1c-6bb0-11eb-a26d-ac1f6b442184")</f>
        <v>https://redcat-toys.ru/api/getInfo/item/43bb0a1c-6bb0-11eb-a26d-ac1f6b442184</v>
      </c>
      <c r="U104" s="33"/>
    </row>
    <row r="105" spans="2:21" ht="96" customHeight="1" outlineLevel="4">
      <c r="B105" s="9">
        <v>1916</v>
      </c>
      <c r="C105" s="7" t="s">
        <v>326</v>
      </c>
      <c r="D105" s="45" t="s">
        <v>327</v>
      </c>
      <c r="E105" s="45"/>
      <c r="F105" s="45"/>
      <c r="G105" s="45"/>
      <c r="H105" s="8" t="s">
        <v>328</v>
      </c>
      <c r="I105" s="18">
        <v>20</v>
      </c>
      <c r="J105" s="19" t="s">
        <v>33</v>
      </c>
      <c r="K105" s="20"/>
      <c r="L105" s="6">
        <v>2</v>
      </c>
      <c r="M105" s="21">
        <f>119*(1-P3/100)</f>
        <v>119</v>
      </c>
      <c r="N105" s="15"/>
      <c r="O105" s="19">
        <f>M105*N105</f>
        <v>0</v>
      </c>
      <c r="P105" s="22">
        <f>0.182*N105</f>
        <v>0</v>
      </c>
      <c r="Q105" s="31">
        <f>0.00195*N105</f>
        <v>0</v>
      </c>
      <c r="R105" s="32" t="s">
        <v>34</v>
      </c>
      <c r="S105" s="7"/>
      <c r="T105" s="7" t="str">
        <f>HYPERLINK("https://redcat-toys.ru/api/getInfo/item/115cc67c-f910-11ec-a213-ac1f6b442185")</f>
        <v>https://redcat-toys.ru/api/getInfo/item/115cc67c-f910-11ec-a213-ac1f6b442185</v>
      </c>
      <c r="U105" s="33"/>
    </row>
    <row r="106" spans="2:21" ht="96" customHeight="1" outlineLevel="4">
      <c r="B106" s="9">
        <v>1918</v>
      </c>
      <c r="C106" s="7" t="s">
        <v>329</v>
      </c>
      <c r="D106" s="45" t="s">
        <v>330</v>
      </c>
      <c r="E106" s="45"/>
      <c r="F106" s="45"/>
      <c r="G106" s="45"/>
      <c r="H106" s="8" t="s">
        <v>331</v>
      </c>
      <c r="I106" s="18">
        <v>20</v>
      </c>
      <c r="J106" s="19" t="s">
        <v>33</v>
      </c>
      <c r="K106" s="20"/>
      <c r="L106" s="6">
        <v>2</v>
      </c>
      <c r="M106" s="21">
        <f>119*(1-P3/100)</f>
        <v>119</v>
      </c>
      <c r="N106" s="15"/>
      <c r="O106" s="19">
        <f>M106*N106</f>
        <v>0</v>
      </c>
      <c r="P106" s="22">
        <f>0.182*N106</f>
        <v>0</v>
      </c>
      <c r="Q106" s="31">
        <f>0.00185*N106</f>
        <v>0</v>
      </c>
      <c r="R106" s="32" t="s">
        <v>34</v>
      </c>
      <c r="S106" s="7"/>
      <c r="T106" s="7" t="str">
        <f>HYPERLINK("https://redcat-toys.ru/api/getInfo/item/7a128f5d-f916-11ec-a213-ac1f6b442185")</f>
        <v>https://redcat-toys.ru/api/getInfo/item/7a128f5d-f916-11ec-a213-ac1f6b442185</v>
      </c>
      <c r="U106" s="33"/>
    </row>
    <row r="107" spans="2:20" ht="96" customHeight="1" outlineLevel="4">
      <c r="B107" s="10">
        <v>1976</v>
      </c>
      <c r="C107" s="4" t="s">
        <v>332</v>
      </c>
      <c r="D107" s="44" t="s">
        <v>333</v>
      </c>
      <c r="E107" s="44"/>
      <c r="F107" s="44"/>
      <c r="G107" s="44"/>
      <c r="H107" s="5" t="s">
        <v>334</v>
      </c>
      <c r="I107" s="12">
        <v>256</v>
      </c>
      <c r="J107" s="12">
        <v>32</v>
      </c>
      <c r="K107" s="13"/>
      <c r="L107" s="3">
        <v>32</v>
      </c>
      <c r="M107" s="14">
        <f>17.16*(1-P3/100)</f>
        <v>17.16</v>
      </c>
      <c r="N107" s="15"/>
      <c r="O107" s="16">
        <f>M107*N107</f>
        <v>0</v>
      </c>
      <c r="P107" s="17">
        <f>0.027*N107</f>
        <v>0</v>
      </c>
      <c r="Q107" s="30">
        <f>0.0002*N107</f>
        <v>0</v>
      </c>
      <c r="R107" s="29"/>
      <c r="S107" s="4"/>
      <c r="T107" s="4" t="str">
        <f>HYPERLINK("https://redcat-toys.ru/api/getInfo/item/847b5097-ea1a-11e7-a664-5cf3fc4a2490")</f>
        <v>https://redcat-toys.ru/api/getInfo/item/847b5097-ea1a-11e7-a664-5cf3fc4a2490</v>
      </c>
    </row>
    <row r="108" spans="2:20" ht="96" customHeight="1" outlineLevel="4">
      <c r="B108" s="10">
        <v>2002</v>
      </c>
      <c r="C108" s="4" t="s">
        <v>335</v>
      </c>
      <c r="D108" s="44" t="s">
        <v>336</v>
      </c>
      <c r="E108" s="44"/>
      <c r="F108" s="44"/>
      <c r="G108" s="44"/>
      <c r="H108" s="5" t="s">
        <v>337</v>
      </c>
      <c r="I108" s="12">
        <v>24</v>
      </c>
      <c r="J108" s="12">
        <v>325</v>
      </c>
      <c r="K108" s="13"/>
      <c r="L108" s="3">
        <v>3</v>
      </c>
      <c r="M108" s="14">
        <f>66.7*(1-P3/100)</f>
        <v>66.7</v>
      </c>
      <c r="N108" s="15"/>
      <c r="O108" s="16">
        <f>M108*N108</f>
        <v>0</v>
      </c>
      <c r="P108" s="17">
        <f>0.113*N108</f>
        <v>0</v>
      </c>
      <c r="Q108" s="28">
        <f>0.00093*N108</f>
        <v>0</v>
      </c>
      <c r="R108" s="29"/>
      <c r="S108" s="4"/>
      <c r="T108" s="4" t="str">
        <f>HYPERLINK("https://redcat-toys.ru/api/getInfo/item/34f1836e-28cf-11eb-a25d-ac1f6b442184")</f>
        <v>https://redcat-toys.ru/api/getInfo/item/34f1836e-28cf-11eb-a25d-ac1f6b442184</v>
      </c>
    </row>
    <row r="109" spans="2:20" ht="96" customHeight="1" outlineLevel="5">
      <c r="B109" s="10">
        <v>2132</v>
      </c>
      <c r="C109" s="4" t="s">
        <v>338</v>
      </c>
      <c r="D109" s="44" t="s">
        <v>339</v>
      </c>
      <c r="E109" s="44"/>
      <c r="F109" s="44"/>
      <c r="G109" s="44"/>
      <c r="H109" s="5" t="s">
        <v>340</v>
      </c>
      <c r="I109" s="12">
        <v>10</v>
      </c>
      <c r="J109" s="12">
        <v>59</v>
      </c>
      <c r="K109" s="13"/>
      <c r="L109" s="3">
        <v>1</v>
      </c>
      <c r="M109" s="14">
        <f>174*(1-P3/100)</f>
        <v>174</v>
      </c>
      <c r="N109" s="15"/>
      <c r="O109" s="16">
        <f>M109*N109</f>
        <v>0</v>
      </c>
      <c r="P109" s="24">
        <f>0.37*N109</f>
        <v>0</v>
      </c>
      <c r="Q109" s="30">
        <f>0.0045*N109</f>
        <v>0</v>
      </c>
      <c r="R109" s="29"/>
      <c r="S109" s="4"/>
      <c r="T109" s="4" t="str">
        <f>HYPERLINK("https://redcat-toys.ru/api/getInfo/item/95343f69-2985-11e6-b4ab-5cf3fc4a2490")</f>
        <v>https://redcat-toys.ru/api/getInfo/item/95343f69-2985-11e6-b4ab-5cf3fc4a2490</v>
      </c>
    </row>
    <row r="110" spans="2:20" ht="96" customHeight="1" outlineLevel="5">
      <c r="B110" s="10">
        <v>2146</v>
      </c>
      <c r="C110" s="4" t="s">
        <v>341</v>
      </c>
      <c r="D110" s="44" t="s">
        <v>342</v>
      </c>
      <c r="E110" s="44"/>
      <c r="F110" s="44"/>
      <c r="G110" s="44"/>
      <c r="H110" s="5" t="s">
        <v>343</v>
      </c>
      <c r="I110" s="12">
        <v>10</v>
      </c>
      <c r="J110" s="12">
        <v>488</v>
      </c>
      <c r="K110" s="13"/>
      <c r="L110" s="3">
        <v>1</v>
      </c>
      <c r="M110" s="14">
        <f>174*(1-P3/100)</f>
        <v>174</v>
      </c>
      <c r="N110" s="15"/>
      <c r="O110" s="16">
        <f>M110*N110</f>
        <v>0</v>
      </c>
      <c r="P110" s="24">
        <f>0.37*N110</f>
        <v>0</v>
      </c>
      <c r="Q110" s="30">
        <f>0.0045*N110</f>
        <v>0</v>
      </c>
      <c r="R110" s="29"/>
      <c r="S110" s="4"/>
      <c r="T110" s="4" t="str">
        <f>HYPERLINK("https://redcat-toys.ru/api/getInfo/item/b866b4c9-2987-11e6-b4ab-5cf3fc4a2490")</f>
        <v>https://redcat-toys.ru/api/getInfo/item/b866b4c9-2987-11e6-b4ab-5cf3fc4a2490</v>
      </c>
    </row>
    <row r="111" spans="2:20" ht="96" customHeight="1" outlineLevel="5">
      <c r="B111" s="10">
        <v>2169</v>
      </c>
      <c r="C111" s="4" t="s">
        <v>344</v>
      </c>
      <c r="D111" s="44" t="s">
        <v>345</v>
      </c>
      <c r="E111" s="44"/>
      <c r="F111" s="44"/>
      <c r="G111" s="44"/>
      <c r="H111" s="5" t="s">
        <v>346</v>
      </c>
      <c r="I111" s="12">
        <v>10</v>
      </c>
      <c r="J111" s="12">
        <v>343</v>
      </c>
      <c r="K111" s="13"/>
      <c r="L111" s="3">
        <v>1</v>
      </c>
      <c r="M111" s="14">
        <f>279.01*(1-P3/100)</f>
        <v>279.01</v>
      </c>
      <c r="N111" s="15"/>
      <c r="O111" s="16">
        <f aca="true" t="shared" si="3" ref="O111:O117">M111*N111</f>
        <v>0</v>
      </c>
      <c r="P111" s="24">
        <f>0.56*N111</f>
        <v>0</v>
      </c>
      <c r="Q111" s="17">
        <f>0.006*N111</f>
        <v>0</v>
      </c>
      <c r="R111" s="29"/>
      <c r="S111" s="4"/>
      <c r="T111" s="4" t="str">
        <f>HYPERLINK("https://redcat-toys.ru/api/getInfo/item/de4832ca-297a-11e6-b4ab-5cf3fc4a2490")</f>
        <v>https://redcat-toys.ru/api/getInfo/item/de4832ca-297a-11e6-b4ab-5cf3fc4a2490</v>
      </c>
    </row>
    <row r="112" spans="2:20" ht="96" customHeight="1" outlineLevel="5">
      <c r="B112" s="10">
        <v>2182</v>
      </c>
      <c r="C112" s="4" t="s">
        <v>347</v>
      </c>
      <c r="D112" s="44" t="s">
        <v>348</v>
      </c>
      <c r="E112" s="44"/>
      <c r="F112" s="44"/>
      <c r="G112" s="44"/>
      <c r="H112" s="5" t="s">
        <v>349</v>
      </c>
      <c r="I112" s="12">
        <v>10</v>
      </c>
      <c r="J112" s="16" t="s">
        <v>33</v>
      </c>
      <c r="K112" s="13"/>
      <c r="L112" s="3">
        <v>1</v>
      </c>
      <c r="M112" s="14">
        <f>279.01*(1-P3/100)</f>
        <v>279.01</v>
      </c>
      <c r="N112" s="15"/>
      <c r="O112" s="16">
        <f t="shared" si="3"/>
        <v>0</v>
      </c>
      <c r="P112" s="17">
        <f>0.472*N112</f>
        <v>0</v>
      </c>
      <c r="Q112" s="30">
        <f>0.0038*N112</f>
        <v>0</v>
      </c>
      <c r="R112" s="29"/>
      <c r="S112" s="4"/>
      <c r="T112" s="4" t="str">
        <f>HYPERLINK("https://redcat-toys.ru/api/getInfo/item/71072354-7d8e-11eb-a275-ac1f6b442184")</f>
        <v>https://redcat-toys.ru/api/getInfo/item/71072354-7d8e-11eb-a275-ac1f6b442184</v>
      </c>
    </row>
    <row r="113" spans="2:20" ht="96" customHeight="1" outlineLevel="5">
      <c r="B113" s="10">
        <v>2217</v>
      </c>
      <c r="C113" s="4" t="s">
        <v>350</v>
      </c>
      <c r="D113" s="44" t="s">
        <v>351</v>
      </c>
      <c r="E113" s="44"/>
      <c r="F113" s="44"/>
      <c r="G113" s="44"/>
      <c r="H113" s="5" t="s">
        <v>352</v>
      </c>
      <c r="I113" s="12">
        <v>10</v>
      </c>
      <c r="J113" s="12">
        <v>78</v>
      </c>
      <c r="K113" s="13"/>
      <c r="L113" s="3">
        <v>1</v>
      </c>
      <c r="M113" s="14">
        <f>291.06*(1-P3/100)</f>
        <v>291.06</v>
      </c>
      <c r="N113" s="15"/>
      <c r="O113" s="16">
        <f t="shared" si="3"/>
        <v>0</v>
      </c>
      <c r="P113" s="24">
        <f>0.48*N113</f>
        <v>0</v>
      </c>
      <c r="Q113" s="30">
        <f>0.0034*N113</f>
        <v>0</v>
      </c>
      <c r="R113" s="29"/>
      <c r="S113" s="4"/>
      <c r="T113" s="4" t="str">
        <f>HYPERLINK("https://redcat-toys.ru/api/getInfo/item/0a3a7dba-d728-11ea-a250-ac1f6b442184")</f>
        <v>https://redcat-toys.ru/api/getInfo/item/0a3a7dba-d728-11ea-a250-ac1f6b442184</v>
      </c>
    </row>
    <row r="114" spans="2:20" ht="96" customHeight="1" outlineLevel="5">
      <c r="B114" s="10">
        <v>2221</v>
      </c>
      <c r="C114" s="4" t="s">
        <v>353</v>
      </c>
      <c r="D114" s="44" t="s">
        <v>354</v>
      </c>
      <c r="E114" s="44"/>
      <c r="F114" s="44"/>
      <c r="G114" s="44"/>
      <c r="H114" s="5" t="s">
        <v>355</v>
      </c>
      <c r="I114" s="12">
        <v>10</v>
      </c>
      <c r="J114" s="16" t="s">
        <v>33</v>
      </c>
      <c r="K114" s="13"/>
      <c r="L114" s="3">
        <v>1</v>
      </c>
      <c r="M114" s="14">
        <f>291.06*(1-P3/100)</f>
        <v>291.06</v>
      </c>
      <c r="N114" s="15"/>
      <c r="O114" s="16">
        <f t="shared" si="3"/>
        <v>0</v>
      </c>
      <c r="P114" s="17">
        <f>0.445*N114</f>
        <v>0</v>
      </c>
      <c r="Q114" s="30">
        <f>0.0036*N114</f>
        <v>0</v>
      </c>
      <c r="R114" s="29"/>
      <c r="S114" s="4"/>
      <c r="T114" s="4" t="str">
        <f>HYPERLINK("https://redcat-toys.ru/api/getInfo/item/4ce78bfa-c378-11eb-a206-ac1f6b442185")</f>
        <v>https://redcat-toys.ru/api/getInfo/item/4ce78bfa-c378-11eb-a206-ac1f6b442185</v>
      </c>
    </row>
    <row r="115" spans="2:21" ht="96" customHeight="1" outlineLevel="3">
      <c r="B115" s="9">
        <v>2258</v>
      </c>
      <c r="C115" s="7" t="s">
        <v>356</v>
      </c>
      <c r="D115" s="45" t="s">
        <v>357</v>
      </c>
      <c r="E115" s="45"/>
      <c r="F115" s="45"/>
      <c r="G115" s="45"/>
      <c r="H115" s="8" t="s">
        <v>358</v>
      </c>
      <c r="I115" s="18">
        <v>6</v>
      </c>
      <c r="J115" s="18">
        <v>12</v>
      </c>
      <c r="K115" s="20"/>
      <c r="L115" s="6">
        <v>1</v>
      </c>
      <c r="M115" s="26">
        <f>1156.57*(1-P3/100)</f>
        <v>1156.57</v>
      </c>
      <c r="N115" s="15"/>
      <c r="O115" s="19">
        <f t="shared" si="3"/>
        <v>0</v>
      </c>
      <c r="P115" s="22">
        <f>0.589*N115</f>
        <v>0</v>
      </c>
      <c r="Q115" s="31">
        <f>0.00383*N115</f>
        <v>0</v>
      </c>
      <c r="R115" s="32" t="s">
        <v>34</v>
      </c>
      <c r="S115" s="7"/>
      <c r="T115" s="7" t="str">
        <f>HYPERLINK("https://redcat-toys.ru/api/getInfo/item/56312a2b-6671-11ed-a22a-00155d82e902")</f>
        <v>https://redcat-toys.ru/api/getInfo/item/56312a2b-6671-11ed-a22a-00155d82e902</v>
      </c>
      <c r="U115" s="33"/>
    </row>
    <row r="116" spans="2:21" ht="96" customHeight="1" outlineLevel="3">
      <c r="B116" s="9">
        <v>2259</v>
      </c>
      <c r="C116" s="7" t="s">
        <v>359</v>
      </c>
      <c r="D116" s="45" t="s">
        <v>360</v>
      </c>
      <c r="E116" s="45"/>
      <c r="F116" s="45"/>
      <c r="G116" s="45"/>
      <c r="H116" s="8" t="s">
        <v>361</v>
      </c>
      <c r="I116" s="18">
        <v>6</v>
      </c>
      <c r="J116" s="18">
        <v>12</v>
      </c>
      <c r="K116" s="20"/>
      <c r="L116" s="6">
        <v>1</v>
      </c>
      <c r="M116" s="26">
        <f>1156.57*(1-P3/100)</f>
        <v>1156.57</v>
      </c>
      <c r="N116" s="15"/>
      <c r="O116" s="19">
        <f t="shared" si="3"/>
        <v>0</v>
      </c>
      <c r="P116" s="22">
        <f>0.593*N116</f>
        <v>0</v>
      </c>
      <c r="Q116" s="34">
        <f>0.0035*N116</f>
        <v>0</v>
      </c>
      <c r="R116" s="32" t="s">
        <v>34</v>
      </c>
      <c r="S116" s="7"/>
      <c r="T116" s="7" t="str">
        <f>HYPERLINK("https://redcat-toys.ru/api/getInfo/item/0ba51fe3-9348-11ed-a22c-00155d82e902")</f>
        <v>https://redcat-toys.ru/api/getInfo/item/0ba51fe3-9348-11ed-a22c-00155d82e902</v>
      </c>
      <c r="U116" s="33"/>
    </row>
    <row r="117" spans="2:21" ht="96" customHeight="1" outlineLevel="3">
      <c r="B117" s="9">
        <v>2267</v>
      </c>
      <c r="C117" s="7" t="s">
        <v>362</v>
      </c>
      <c r="D117" s="45" t="s">
        <v>363</v>
      </c>
      <c r="E117" s="45"/>
      <c r="F117" s="45"/>
      <c r="G117" s="45"/>
      <c r="H117" s="8" t="s">
        <v>364</v>
      </c>
      <c r="I117" s="18">
        <v>6</v>
      </c>
      <c r="J117" s="18">
        <v>12</v>
      </c>
      <c r="K117" s="20"/>
      <c r="L117" s="6">
        <v>1</v>
      </c>
      <c r="M117" s="26">
        <f>1156.57*(1-P3/100)</f>
        <v>1156.57</v>
      </c>
      <c r="N117" s="15"/>
      <c r="O117" s="19">
        <f t="shared" si="3"/>
        <v>0</v>
      </c>
      <c r="P117" s="23">
        <f>0.59*N117</f>
        <v>0</v>
      </c>
      <c r="Q117" s="34">
        <f>0.0035*N117</f>
        <v>0</v>
      </c>
      <c r="R117" s="32" t="s">
        <v>34</v>
      </c>
      <c r="S117" s="7"/>
      <c r="T117" s="7" t="str">
        <f>HYPERLINK("https://redcat-toys.ru/api/getInfo/item/86b39274-9348-11ed-a22c-00155d82e902")</f>
        <v>https://redcat-toys.ru/api/getInfo/item/86b39274-9348-11ed-a22c-00155d82e902</v>
      </c>
      <c r="U117" s="33"/>
    </row>
    <row r="118" spans="2:21" ht="96" customHeight="1" outlineLevel="3">
      <c r="B118" s="9">
        <v>2284</v>
      </c>
      <c r="C118" s="7" t="s">
        <v>365</v>
      </c>
      <c r="D118" s="45" t="s">
        <v>366</v>
      </c>
      <c r="E118" s="45"/>
      <c r="F118" s="45"/>
      <c r="G118" s="45"/>
      <c r="H118" s="8" t="s">
        <v>367</v>
      </c>
      <c r="I118" s="18">
        <v>6</v>
      </c>
      <c r="J118" s="18">
        <v>15</v>
      </c>
      <c r="K118" s="20"/>
      <c r="L118" s="6">
        <v>1</v>
      </c>
      <c r="M118" s="26">
        <f>1446*(1-P3/100)</f>
        <v>1446</v>
      </c>
      <c r="N118" s="15"/>
      <c r="O118" s="19">
        <f>M118*N118</f>
        <v>0</v>
      </c>
      <c r="P118" s="22">
        <f>0.683*N118</f>
        <v>0</v>
      </c>
      <c r="Q118" s="19">
        <v>0</v>
      </c>
      <c r="R118" s="32" t="s">
        <v>34</v>
      </c>
      <c r="S118" s="7"/>
      <c r="T118" s="7" t="str">
        <f>HYPERLINK("https://redcat-toys.ru/api/getInfo/item/a35aefe2-7c75-11ed-a22a-00155d82e902")</f>
        <v>https://redcat-toys.ru/api/getInfo/item/a35aefe2-7c75-11ed-a22a-00155d82e902</v>
      </c>
      <c r="U118" s="33"/>
    </row>
    <row r="119" spans="2:21" ht="96" customHeight="1" outlineLevel="3">
      <c r="B119" s="9">
        <v>2301</v>
      </c>
      <c r="C119" s="7" t="s">
        <v>368</v>
      </c>
      <c r="D119" s="45" t="s">
        <v>369</v>
      </c>
      <c r="E119" s="45"/>
      <c r="F119" s="45"/>
      <c r="G119" s="45"/>
      <c r="H119" s="8" t="s">
        <v>370</v>
      </c>
      <c r="I119" s="18">
        <v>8</v>
      </c>
      <c r="J119" s="18">
        <v>16</v>
      </c>
      <c r="K119" s="20"/>
      <c r="L119" s="6">
        <v>1</v>
      </c>
      <c r="M119" s="21">
        <f>518.86*(1-P3/100)</f>
        <v>518.86</v>
      </c>
      <c r="N119" s="15"/>
      <c r="O119" s="19">
        <f aca="true" t="shared" si="4" ref="O119:O125">M119*N119</f>
        <v>0</v>
      </c>
      <c r="P119" s="22">
        <f>0.155*N119</f>
        <v>0</v>
      </c>
      <c r="Q119" s="31">
        <f>0.00138*N119</f>
        <v>0</v>
      </c>
      <c r="R119" s="32" t="s">
        <v>34</v>
      </c>
      <c r="S119" s="7"/>
      <c r="T119" s="7" t="str">
        <f>HYPERLINK("https://redcat-toys.ru/api/getInfo/item/25ff3dfa-9347-11ed-a22c-00155d82e902")</f>
        <v>https://redcat-toys.ru/api/getInfo/item/25ff3dfa-9347-11ed-a22c-00155d82e902</v>
      </c>
      <c r="U119" s="33"/>
    </row>
    <row r="120" spans="2:21" ht="96" customHeight="1" outlineLevel="3">
      <c r="B120" s="9">
        <v>2312</v>
      </c>
      <c r="C120" s="7" t="s">
        <v>371</v>
      </c>
      <c r="D120" s="45" t="s">
        <v>372</v>
      </c>
      <c r="E120" s="45"/>
      <c r="F120" s="45"/>
      <c r="G120" s="45"/>
      <c r="H120" s="8" t="s">
        <v>373</v>
      </c>
      <c r="I120" s="18">
        <v>6</v>
      </c>
      <c r="J120" s="18">
        <v>20</v>
      </c>
      <c r="K120" s="20"/>
      <c r="L120" s="6">
        <v>1</v>
      </c>
      <c r="M120" s="21">
        <f>857.14*(1-P3/100)</f>
        <v>857.14</v>
      </c>
      <c r="N120" s="15"/>
      <c r="O120" s="19">
        <f t="shared" si="4"/>
        <v>0</v>
      </c>
      <c r="P120" s="22">
        <f>0.414*N120</f>
        <v>0</v>
      </c>
      <c r="Q120" s="31">
        <f>0.00333*N120</f>
        <v>0</v>
      </c>
      <c r="R120" s="32" t="s">
        <v>34</v>
      </c>
      <c r="S120" s="7"/>
      <c r="T120" s="7" t="str">
        <f>HYPERLINK("https://redcat-toys.ru/api/getInfo/item/cfec016e-6672-11ed-a22a-00155d82e902")</f>
        <v>https://redcat-toys.ru/api/getInfo/item/cfec016e-6672-11ed-a22a-00155d82e902</v>
      </c>
      <c r="U120" s="33"/>
    </row>
    <row r="121" spans="2:21" ht="96" customHeight="1" outlineLevel="3">
      <c r="B121" s="9">
        <v>2316</v>
      </c>
      <c r="C121" s="7" t="s">
        <v>374</v>
      </c>
      <c r="D121" s="45" t="s">
        <v>375</v>
      </c>
      <c r="E121" s="45"/>
      <c r="F121" s="45"/>
      <c r="G121" s="45"/>
      <c r="H121" s="8" t="s">
        <v>376</v>
      </c>
      <c r="I121" s="18">
        <v>6</v>
      </c>
      <c r="J121" s="18">
        <v>22</v>
      </c>
      <c r="K121" s="20"/>
      <c r="L121" s="6">
        <v>1</v>
      </c>
      <c r="M121" s="26">
        <f>1371.43*(1-P3/100)</f>
        <v>1371.43</v>
      </c>
      <c r="N121" s="15"/>
      <c r="O121" s="19">
        <f t="shared" si="4"/>
        <v>0</v>
      </c>
      <c r="P121" s="22">
        <f>0.885*N121</f>
        <v>0</v>
      </c>
      <c r="Q121" s="22">
        <f>0.007*N121</f>
        <v>0</v>
      </c>
      <c r="R121" s="32" t="s">
        <v>34</v>
      </c>
      <c r="S121" s="7"/>
      <c r="T121" s="7" t="str">
        <f>HYPERLINK("https://redcat-toys.ru/api/getInfo/item/3beefa11-6672-11ed-a22a-00155d82e902")</f>
        <v>https://redcat-toys.ru/api/getInfo/item/3beefa11-6672-11ed-a22a-00155d82e902</v>
      </c>
      <c r="U121" s="33"/>
    </row>
    <row r="122" spans="2:20" ht="96" customHeight="1" outlineLevel="5">
      <c r="B122" s="10">
        <v>2368</v>
      </c>
      <c r="C122" s="4" t="s">
        <v>377</v>
      </c>
      <c r="D122" s="44" t="s">
        <v>378</v>
      </c>
      <c r="E122" s="44"/>
      <c r="F122" s="44"/>
      <c r="G122" s="44"/>
      <c r="H122" s="5" t="s">
        <v>379</v>
      </c>
      <c r="I122" s="12">
        <v>20</v>
      </c>
      <c r="J122" s="12">
        <v>395</v>
      </c>
      <c r="K122" s="13"/>
      <c r="L122" s="3">
        <v>5</v>
      </c>
      <c r="M122" s="14">
        <f>46.78*(1-P3/100)</f>
        <v>46.78</v>
      </c>
      <c r="N122" s="15"/>
      <c r="O122" s="16">
        <f t="shared" si="4"/>
        <v>0</v>
      </c>
      <c r="P122" s="17">
        <f>0.055*N122</f>
        <v>0</v>
      </c>
      <c r="Q122" s="30">
        <f>0.0003*N122</f>
        <v>0</v>
      </c>
      <c r="R122" s="29"/>
      <c r="S122" s="4" t="s">
        <v>380</v>
      </c>
      <c r="T122" s="4" t="str">
        <f>HYPERLINK("https://redcat-toys.ru/api/getInfo/item/c5fb6682-c686-11e1-81d3-5ef3fc502493")</f>
        <v>https://redcat-toys.ru/api/getInfo/item/c5fb6682-c686-11e1-81d3-5ef3fc502493</v>
      </c>
    </row>
    <row r="123" spans="2:20" ht="96" customHeight="1" outlineLevel="5">
      <c r="B123" s="10">
        <v>2380</v>
      </c>
      <c r="C123" s="4" t="s">
        <v>381</v>
      </c>
      <c r="D123" s="44" t="s">
        <v>382</v>
      </c>
      <c r="E123" s="44"/>
      <c r="F123" s="44"/>
      <c r="G123" s="44"/>
      <c r="H123" s="5" t="s">
        <v>383</v>
      </c>
      <c r="I123" s="12">
        <v>20</v>
      </c>
      <c r="J123" s="16" t="s">
        <v>33</v>
      </c>
      <c r="K123" s="13"/>
      <c r="L123" s="3">
        <v>5</v>
      </c>
      <c r="M123" s="14">
        <f>46.78*(1-P3/100)</f>
        <v>46.78</v>
      </c>
      <c r="N123" s="15"/>
      <c r="O123" s="16">
        <f t="shared" si="4"/>
        <v>0</v>
      </c>
      <c r="P123" s="17">
        <f>0.055*N123</f>
        <v>0</v>
      </c>
      <c r="Q123" s="30">
        <f>0.0003*N123</f>
        <v>0</v>
      </c>
      <c r="R123" s="29"/>
      <c r="S123" s="4"/>
      <c r="T123" s="4" t="str">
        <f>HYPERLINK("https://redcat-toys.ru/api/getInfo/item/abc673e3-67c9-11e8-84c9-5cf3fc4a2490")</f>
        <v>https://redcat-toys.ru/api/getInfo/item/abc673e3-67c9-11e8-84c9-5cf3fc4a2490</v>
      </c>
    </row>
    <row r="124" spans="2:20" ht="96" customHeight="1" outlineLevel="6">
      <c r="B124" s="10">
        <v>2390</v>
      </c>
      <c r="C124" s="4" t="s">
        <v>384</v>
      </c>
      <c r="D124" s="44" t="s">
        <v>385</v>
      </c>
      <c r="E124" s="44"/>
      <c r="F124" s="44"/>
      <c r="G124" s="44"/>
      <c r="H124" s="5" t="s">
        <v>386</v>
      </c>
      <c r="I124" s="12">
        <v>25</v>
      </c>
      <c r="J124" s="12">
        <v>272</v>
      </c>
      <c r="K124" s="13"/>
      <c r="L124" s="3">
        <v>3</v>
      </c>
      <c r="M124" s="14">
        <f>68.15*(1-P3/100)</f>
        <v>68.15</v>
      </c>
      <c r="N124" s="15"/>
      <c r="O124" s="16">
        <f t="shared" si="4"/>
        <v>0</v>
      </c>
      <c r="P124" s="17">
        <f>0.088*N124</f>
        <v>0</v>
      </c>
      <c r="Q124" s="28">
        <f>0.00052*N124</f>
        <v>0</v>
      </c>
      <c r="R124" s="29"/>
      <c r="S124" s="4"/>
      <c r="T124" s="4" t="str">
        <f>HYPERLINK("https://redcat-toys.ru/api/getInfo/item/4e55c574-015b-11ea-a236-ac1f6b442184")</f>
        <v>https://redcat-toys.ru/api/getInfo/item/4e55c574-015b-11ea-a236-ac1f6b442184</v>
      </c>
    </row>
    <row r="125" spans="2:20" ht="96" customHeight="1" outlineLevel="5">
      <c r="B125" s="10">
        <v>2395</v>
      </c>
      <c r="C125" s="4" t="s">
        <v>387</v>
      </c>
      <c r="D125" s="44" t="s">
        <v>388</v>
      </c>
      <c r="E125" s="44"/>
      <c r="F125" s="44"/>
      <c r="G125" s="44"/>
      <c r="H125" s="5" t="s">
        <v>389</v>
      </c>
      <c r="I125" s="12">
        <v>14</v>
      </c>
      <c r="J125" s="16" t="s">
        <v>33</v>
      </c>
      <c r="K125" s="13"/>
      <c r="L125" s="3">
        <v>2</v>
      </c>
      <c r="M125" s="14">
        <f>106*(1-P3/100)</f>
        <v>106</v>
      </c>
      <c r="N125" s="15"/>
      <c r="O125" s="16">
        <f t="shared" si="4"/>
        <v>0</v>
      </c>
      <c r="P125" s="17">
        <f>0.164*N125</f>
        <v>0</v>
      </c>
      <c r="Q125" s="28">
        <f>0.00229*N125</f>
        <v>0</v>
      </c>
      <c r="R125" s="29"/>
      <c r="S125" s="4"/>
      <c r="T125" s="4" t="str">
        <f>HYPERLINK("https://redcat-toys.ru/api/getInfo/item/5edaa904-9ed3-11e7-b8ef-5cf3fc4a2490")</f>
        <v>https://redcat-toys.ru/api/getInfo/item/5edaa904-9ed3-11e7-b8ef-5cf3fc4a2490</v>
      </c>
    </row>
    <row r="126" spans="2:20" ht="96" customHeight="1" outlineLevel="5">
      <c r="B126" s="10">
        <v>2401</v>
      </c>
      <c r="C126" s="4" t="s">
        <v>390</v>
      </c>
      <c r="D126" s="44" t="s">
        <v>391</v>
      </c>
      <c r="E126" s="44"/>
      <c r="F126" s="44"/>
      <c r="G126" s="44"/>
      <c r="H126" s="5" t="s">
        <v>392</v>
      </c>
      <c r="I126" s="12">
        <v>14</v>
      </c>
      <c r="J126" s="16" t="s">
        <v>33</v>
      </c>
      <c r="K126" s="13"/>
      <c r="L126" s="3">
        <v>2</v>
      </c>
      <c r="M126" s="14">
        <f>106*(1-P3/100)</f>
        <v>106</v>
      </c>
      <c r="N126" s="15"/>
      <c r="O126" s="16">
        <f>M126*N126</f>
        <v>0</v>
      </c>
      <c r="P126" s="17">
        <f>0.164*N126</f>
        <v>0</v>
      </c>
      <c r="Q126" s="28">
        <f>0.00229*N126</f>
        <v>0</v>
      </c>
      <c r="R126" s="29"/>
      <c r="S126" s="4"/>
      <c r="T126" s="4" t="str">
        <f>HYPERLINK("https://redcat-toys.ru/api/getInfo/item/d84a8bd0-c09a-11e7-bf5c-5cf3fc4a2490")</f>
        <v>https://redcat-toys.ru/api/getInfo/item/d84a8bd0-c09a-11e7-bf5c-5cf3fc4a2490</v>
      </c>
    </row>
    <row r="127" spans="2:20" ht="96" customHeight="1" outlineLevel="5">
      <c r="B127" s="10">
        <v>2413</v>
      </c>
      <c r="C127" s="4" t="s">
        <v>393</v>
      </c>
      <c r="D127" s="44" t="s">
        <v>394</v>
      </c>
      <c r="E127" s="44"/>
      <c r="F127" s="44"/>
      <c r="G127" s="44"/>
      <c r="H127" s="5" t="s">
        <v>395</v>
      </c>
      <c r="I127" s="12">
        <v>12</v>
      </c>
      <c r="J127" s="16" t="s">
        <v>33</v>
      </c>
      <c r="K127" s="13"/>
      <c r="L127" s="3">
        <v>2</v>
      </c>
      <c r="M127" s="14">
        <f>132*(1-P3/100)</f>
        <v>132</v>
      </c>
      <c r="N127" s="15"/>
      <c r="O127" s="16">
        <f aca="true" t="shared" si="5" ref="O127:O132">M127*N127</f>
        <v>0</v>
      </c>
      <c r="P127" s="17">
        <f>0.255*N127</f>
        <v>0</v>
      </c>
      <c r="Q127" s="28">
        <f>0.00242*N127</f>
        <v>0</v>
      </c>
      <c r="R127" s="29"/>
      <c r="S127" s="4"/>
      <c r="T127" s="4" t="str">
        <f>HYPERLINK("https://redcat-toys.ru/api/getInfo/item/4442a0ef-67ac-11eb-a26d-ac1f6b442184")</f>
        <v>https://redcat-toys.ru/api/getInfo/item/4442a0ef-67ac-11eb-a26d-ac1f6b442184</v>
      </c>
    </row>
    <row r="128" spans="2:20" ht="96" customHeight="1" outlineLevel="5">
      <c r="B128" s="10">
        <v>2414</v>
      </c>
      <c r="C128" s="4" t="s">
        <v>396</v>
      </c>
      <c r="D128" s="44" t="s">
        <v>397</v>
      </c>
      <c r="E128" s="44"/>
      <c r="F128" s="44"/>
      <c r="G128" s="44"/>
      <c r="H128" s="5" t="s">
        <v>398</v>
      </c>
      <c r="I128" s="12">
        <v>12</v>
      </c>
      <c r="J128" s="16" t="s">
        <v>33</v>
      </c>
      <c r="K128" s="13"/>
      <c r="L128" s="3">
        <v>2</v>
      </c>
      <c r="M128" s="14">
        <f>132*(1-P3/100)</f>
        <v>132</v>
      </c>
      <c r="N128" s="15"/>
      <c r="O128" s="16">
        <f t="shared" si="5"/>
        <v>0</v>
      </c>
      <c r="P128" s="17">
        <f>0.255*N128</f>
        <v>0</v>
      </c>
      <c r="Q128" s="28">
        <f>0.00242*N128</f>
        <v>0</v>
      </c>
      <c r="R128" s="29"/>
      <c r="S128" s="4"/>
      <c r="T128" s="4" t="str">
        <f>HYPERLINK("https://redcat-toys.ru/api/getInfo/item/e2c9cc2e-67ab-11eb-a26d-ac1f6b442184")</f>
        <v>https://redcat-toys.ru/api/getInfo/item/e2c9cc2e-67ab-11eb-a26d-ac1f6b442184</v>
      </c>
    </row>
    <row r="129" spans="2:20" ht="96" customHeight="1" outlineLevel="5">
      <c r="B129" s="10">
        <v>2439</v>
      </c>
      <c r="C129" s="4" t="s">
        <v>399</v>
      </c>
      <c r="D129" s="44" t="s">
        <v>400</v>
      </c>
      <c r="E129" s="44"/>
      <c r="F129" s="44"/>
      <c r="G129" s="44"/>
      <c r="H129" s="5" t="s">
        <v>401</v>
      </c>
      <c r="I129" s="12">
        <v>20</v>
      </c>
      <c r="J129" s="16" t="s">
        <v>33</v>
      </c>
      <c r="K129" s="13"/>
      <c r="L129" s="3">
        <v>1</v>
      </c>
      <c r="M129" s="14">
        <f>210*(1-P3/100)</f>
        <v>210</v>
      </c>
      <c r="N129" s="15"/>
      <c r="O129" s="16">
        <f t="shared" si="5"/>
        <v>0</v>
      </c>
      <c r="P129" s="17">
        <f>0.138*N129</f>
        <v>0</v>
      </c>
      <c r="Q129" s="28">
        <f>0.00045*N129</f>
        <v>0</v>
      </c>
      <c r="R129" s="29"/>
      <c r="S129" s="4"/>
      <c r="T129" s="4" t="str">
        <f>HYPERLINK("https://redcat-toys.ru/api/getInfo/item/73507690-e0e1-11ec-a213-ac1f6b442185")</f>
        <v>https://redcat-toys.ru/api/getInfo/item/73507690-e0e1-11ec-a213-ac1f6b442185</v>
      </c>
    </row>
    <row r="130" spans="2:20" ht="96" customHeight="1" outlineLevel="5">
      <c r="B130" s="10">
        <v>2454</v>
      </c>
      <c r="C130" s="4" t="s">
        <v>402</v>
      </c>
      <c r="D130" s="44" t="s">
        <v>403</v>
      </c>
      <c r="E130" s="44"/>
      <c r="F130" s="44"/>
      <c r="G130" s="44"/>
      <c r="H130" s="5" t="s">
        <v>404</v>
      </c>
      <c r="I130" s="12">
        <v>12</v>
      </c>
      <c r="J130" s="16" t="s">
        <v>33</v>
      </c>
      <c r="K130" s="13"/>
      <c r="L130" s="3">
        <v>1</v>
      </c>
      <c r="M130" s="14">
        <f>251.79*(1-P3/100)</f>
        <v>251.79</v>
      </c>
      <c r="N130" s="15"/>
      <c r="O130" s="16">
        <f t="shared" si="5"/>
        <v>0</v>
      </c>
      <c r="P130" s="17">
        <f>0.255*N130</f>
        <v>0</v>
      </c>
      <c r="Q130" s="30">
        <f>0.0025*N130</f>
        <v>0</v>
      </c>
      <c r="R130" s="29"/>
      <c r="S130" s="4"/>
      <c r="T130" s="4" t="str">
        <f>HYPERLINK("https://redcat-toys.ru/api/getInfo/item/1e46369a-6bae-11eb-a26d-ac1f6b442184")</f>
        <v>https://redcat-toys.ru/api/getInfo/item/1e46369a-6bae-11eb-a26d-ac1f6b442184</v>
      </c>
    </row>
    <row r="131" spans="2:20" ht="96" customHeight="1" outlineLevel="5">
      <c r="B131" s="10">
        <v>2485</v>
      </c>
      <c r="C131" s="4" t="s">
        <v>405</v>
      </c>
      <c r="D131" s="44" t="s">
        <v>406</v>
      </c>
      <c r="E131" s="44"/>
      <c r="F131" s="44"/>
      <c r="G131" s="44"/>
      <c r="H131" s="5" t="s">
        <v>407</v>
      </c>
      <c r="I131" s="12">
        <v>20</v>
      </c>
      <c r="J131" s="16" t="s">
        <v>33</v>
      </c>
      <c r="K131" s="13"/>
      <c r="L131" s="3">
        <v>2</v>
      </c>
      <c r="M131" s="14">
        <f>121.28*(1-P3/100)</f>
        <v>121.28</v>
      </c>
      <c r="N131" s="15"/>
      <c r="O131" s="16">
        <f t="shared" si="5"/>
        <v>0</v>
      </c>
      <c r="P131" s="17">
        <f>0.245*N131</f>
        <v>0</v>
      </c>
      <c r="Q131" s="30">
        <f>0.0025*N131</f>
        <v>0</v>
      </c>
      <c r="R131" s="29"/>
      <c r="S131" s="4"/>
      <c r="T131" s="4" t="str">
        <f>HYPERLINK("https://redcat-toys.ru/api/getInfo/item/6b6deb16-ff73-11e7-951c-5cf3fc4a2490")</f>
        <v>https://redcat-toys.ru/api/getInfo/item/6b6deb16-ff73-11e7-951c-5cf3fc4a2490</v>
      </c>
    </row>
    <row r="132" spans="2:20" ht="96" customHeight="1" outlineLevel="5">
      <c r="B132" s="10">
        <v>2505</v>
      </c>
      <c r="C132" s="4" t="s">
        <v>408</v>
      </c>
      <c r="D132" s="44" t="s">
        <v>409</v>
      </c>
      <c r="E132" s="44"/>
      <c r="F132" s="44"/>
      <c r="G132" s="44"/>
      <c r="H132" s="5" t="s">
        <v>410</v>
      </c>
      <c r="I132" s="12">
        <v>28</v>
      </c>
      <c r="J132" s="16" t="s">
        <v>33</v>
      </c>
      <c r="K132" s="13"/>
      <c r="L132" s="3">
        <v>2</v>
      </c>
      <c r="M132" s="14">
        <f>140*(1-P3/100)</f>
        <v>140</v>
      </c>
      <c r="N132" s="15"/>
      <c r="O132" s="16">
        <f t="shared" si="5"/>
        <v>0</v>
      </c>
      <c r="P132" s="17">
        <f>0.089*N132</f>
        <v>0</v>
      </c>
      <c r="Q132" s="28">
        <f>0.00046*N132</f>
        <v>0</v>
      </c>
      <c r="R132" s="29"/>
      <c r="S132" s="4"/>
      <c r="T132" s="4" t="str">
        <f>HYPERLINK("https://redcat-toys.ru/api/getInfo/item/5ec5e8c5-7763-11eb-a273-ac1f6b442184")</f>
        <v>https://redcat-toys.ru/api/getInfo/item/5ec5e8c5-7763-11eb-a273-ac1f6b442184</v>
      </c>
    </row>
    <row r="133" spans="2:20" ht="96" customHeight="1" outlineLevel="5">
      <c r="B133" s="10">
        <v>2524</v>
      </c>
      <c r="C133" s="4" t="s">
        <v>414</v>
      </c>
      <c r="D133" s="44" t="s">
        <v>415</v>
      </c>
      <c r="E133" s="44"/>
      <c r="F133" s="44"/>
      <c r="G133" s="44"/>
      <c r="H133" s="5" t="s">
        <v>416</v>
      </c>
      <c r="I133" s="12">
        <v>50</v>
      </c>
      <c r="J133" s="16" t="s">
        <v>33</v>
      </c>
      <c r="K133" s="13"/>
      <c r="L133" s="3">
        <v>2</v>
      </c>
      <c r="M133" s="14">
        <f>94.94*(1-P3/100)</f>
        <v>94.94</v>
      </c>
      <c r="N133" s="15"/>
      <c r="O133" s="16">
        <f>M133*N133</f>
        <v>0</v>
      </c>
      <c r="P133" s="17">
        <f>0.126*N133</f>
        <v>0</v>
      </c>
      <c r="Q133" s="28">
        <f>0.00032*N133</f>
        <v>0</v>
      </c>
      <c r="R133" s="29"/>
      <c r="S133" s="4"/>
      <c r="T133" s="4" t="str">
        <f>HYPERLINK("https://redcat-toys.ru/api/getInfo/item/6be9b15b-38bd-11ec-a20f-ac1f6b442185")</f>
        <v>https://redcat-toys.ru/api/getInfo/item/6be9b15b-38bd-11ec-a20f-ac1f6b442185</v>
      </c>
    </row>
    <row r="134" spans="2:20" ht="96" customHeight="1" outlineLevel="4">
      <c r="B134" s="10">
        <v>2534</v>
      </c>
      <c r="C134" s="4" t="s">
        <v>417</v>
      </c>
      <c r="D134" s="44" t="s">
        <v>418</v>
      </c>
      <c r="E134" s="44"/>
      <c r="F134" s="44"/>
      <c r="G134" s="44"/>
      <c r="H134" s="5" t="s">
        <v>419</v>
      </c>
      <c r="I134" s="12">
        <v>24</v>
      </c>
      <c r="J134" s="16" t="s">
        <v>33</v>
      </c>
      <c r="K134" s="13"/>
      <c r="L134" s="3">
        <v>1</v>
      </c>
      <c r="M134" s="14">
        <f>270*(1-P3/100)</f>
        <v>270</v>
      </c>
      <c r="N134" s="15"/>
      <c r="O134" s="16">
        <f>M134*N134</f>
        <v>0</v>
      </c>
      <c r="P134" s="17">
        <f>0.188*N134</f>
        <v>0</v>
      </c>
      <c r="Q134" s="28">
        <f>0.00054*N134</f>
        <v>0</v>
      </c>
      <c r="R134" s="29"/>
      <c r="S134" s="4"/>
      <c r="T134" s="4" t="str">
        <f>HYPERLINK("https://redcat-toys.ru/api/getInfo/item/a2477034-f07a-11eb-a20d-ac1f6b442185")</f>
        <v>https://redcat-toys.ru/api/getInfo/item/a2477034-f07a-11eb-a20d-ac1f6b442185</v>
      </c>
    </row>
    <row r="135" spans="2:20" ht="96" customHeight="1" outlineLevel="4">
      <c r="B135" s="10">
        <v>2539</v>
      </c>
      <c r="C135" s="4" t="s">
        <v>420</v>
      </c>
      <c r="D135" s="44" t="s">
        <v>421</v>
      </c>
      <c r="E135" s="44"/>
      <c r="F135" s="44"/>
      <c r="G135" s="44"/>
      <c r="H135" s="5" t="s">
        <v>422</v>
      </c>
      <c r="I135" s="12">
        <v>24</v>
      </c>
      <c r="J135" s="16" t="s">
        <v>33</v>
      </c>
      <c r="K135" s="13"/>
      <c r="L135" s="3">
        <v>1</v>
      </c>
      <c r="M135" s="14">
        <f>270*(1-P3/100)</f>
        <v>270</v>
      </c>
      <c r="N135" s="15"/>
      <c r="O135" s="16">
        <f>M135*N135</f>
        <v>0</v>
      </c>
      <c r="P135" s="17">
        <f>0.188*N135</f>
        <v>0</v>
      </c>
      <c r="Q135" s="30">
        <f>0.0005*N135</f>
        <v>0</v>
      </c>
      <c r="R135" s="29"/>
      <c r="S135" s="4"/>
      <c r="T135" s="4" t="str">
        <f>HYPERLINK("https://redcat-toys.ru/api/getInfo/item/b1c1b351-f07b-11eb-a20d-ac1f6b442185")</f>
        <v>https://redcat-toys.ru/api/getInfo/item/b1c1b351-f07b-11eb-a20d-ac1f6b442185</v>
      </c>
    </row>
    <row r="136" spans="2:20" ht="96" customHeight="1" outlineLevel="4">
      <c r="B136" s="10">
        <v>2565</v>
      </c>
      <c r="C136" s="4" t="s">
        <v>423</v>
      </c>
      <c r="D136" s="44" t="s">
        <v>424</v>
      </c>
      <c r="E136" s="44"/>
      <c r="F136" s="44"/>
      <c r="G136" s="44"/>
      <c r="H136" s="5" t="s">
        <v>425</v>
      </c>
      <c r="I136" s="12">
        <v>10</v>
      </c>
      <c r="J136" s="16" t="s">
        <v>33</v>
      </c>
      <c r="K136" s="13"/>
      <c r="L136" s="3">
        <v>1</v>
      </c>
      <c r="M136" s="14">
        <f>148*(1-P3/100)</f>
        <v>148</v>
      </c>
      <c r="N136" s="15"/>
      <c r="O136" s="16">
        <f>M136*N136</f>
        <v>0</v>
      </c>
      <c r="P136" s="24">
        <f>0.22*N136</f>
        <v>0</v>
      </c>
      <c r="Q136" s="30">
        <f>0.0122*N136</f>
        <v>0</v>
      </c>
      <c r="R136" s="29"/>
      <c r="S136" s="4"/>
      <c r="T136" s="4" t="str">
        <f>HYPERLINK("https://redcat-toys.ru/api/getInfo/item/1ab72b0a-04bd-11e7-b743-5cf3fc4a2490")</f>
        <v>https://redcat-toys.ru/api/getInfo/item/1ab72b0a-04bd-11e7-b743-5cf3fc4a2490</v>
      </c>
    </row>
    <row r="137" spans="2:20" ht="96" customHeight="1" outlineLevel="4">
      <c r="B137" s="10">
        <v>2573</v>
      </c>
      <c r="C137" s="4" t="s">
        <v>426</v>
      </c>
      <c r="D137" s="44" t="s">
        <v>427</v>
      </c>
      <c r="E137" s="44"/>
      <c r="F137" s="44"/>
      <c r="G137" s="44"/>
      <c r="H137" s="5" t="s">
        <v>428</v>
      </c>
      <c r="I137" s="12">
        <v>6</v>
      </c>
      <c r="J137" s="16" t="s">
        <v>33</v>
      </c>
      <c r="K137" s="13"/>
      <c r="L137" s="3">
        <v>1</v>
      </c>
      <c r="M137" s="14">
        <f>709.9*(1-P3/100)</f>
        <v>709.9</v>
      </c>
      <c r="N137" s="15"/>
      <c r="O137" s="16">
        <f>M137*N137</f>
        <v>0</v>
      </c>
      <c r="P137" s="17">
        <f>0.508*N137</f>
        <v>0</v>
      </c>
      <c r="Q137" s="28">
        <f>0.00483*N137</f>
        <v>0</v>
      </c>
      <c r="R137" s="29"/>
      <c r="S137" s="4"/>
      <c r="T137" s="4" t="str">
        <f>HYPERLINK("https://redcat-toys.ru/api/getInfo/item/ddd77d64-395a-11eb-a25e-ac1f6b442184")</f>
        <v>https://redcat-toys.ru/api/getInfo/item/ddd77d64-395a-11eb-a25e-ac1f6b442184</v>
      </c>
    </row>
    <row r="138" spans="2:20" ht="96" customHeight="1" outlineLevel="4">
      <c r="B138" s="10">
        <v>2577</v>
      </c>
      <c r="C138" s="4" t="s">
        <v>429</v>
      </c>
      <c r="D138" s="44" t="s">
        <v>430</v>
      </c>
      <c r="E138" s="44"/>
      <c r="F138" s="44"/>
      <c r="G138" s="44"/>
      <c r="H138" s="5" t="s">
        <v>431</v>
      </c>
      <c r="I138" s="12">
        <v>16</v>
      </c>
      <c r="J138" s="16" t="s">
        <v>33</v>
      </c>
      <c r="K138" s="13"/>
      <c r="L138" s="3">
        <v>1</v>
      </c>
      <c r="M138" s="14">
        <f>385.77*(1-P3/100)</f>
        <v>385.77</v>
      </c>
      <c r="N138" s="15"/>
      <c r="O138" s="16">
        <f>M138*N138</f>
        <v>0</v>
      </c>
      <c r="P138" s="17">
        <f>0.511*N138</f>
        <v>0</v>
      </c>
      <c r="Q138" s="28">
        <f>0.00456*N138</f>
        <v>0</v>
      </c>
      <c r="R138" s="29"/>
      <c r="S138" s="4" t="s">
        <v>432</v>
      </c>
      <c r="T138" s="4" t="str">
        <f>HYPERLINK("https://redcat-toys.ru/api/getInfo/item/97d0e4f4-0d62-11e8-951c-5cf3fc4a2490")</f>
        <v>https://redcat-toys.ru/api/getInfo/item/97d0e4f4-0d62-11e8-951c-5cf3fc4a2490</v>
      </c>
    </row>
    <row r="139" spans="2:20" ht="96" customHeight="1" outlineLevel="4">
      <c r="B139" s="10">
        <v>2583</v>
      </c>
      <c r="C139" s="4" t="s">
        <v>433</v>
      </c>
      <c r="D139" s="44" t="s">
        <v>434</v>
      </c>
      <c r="E139" s="44"/>
      <c r="F139" s="44"/>
      <c r="G139" s="44"/>
      <c r="H139" s="5" t="s">
        <v>435</v>
      </c>
      <c r="I139" s="12">
        <v>28</v>
      </c>
      <c r="J139" s="16" t="s">
        <v>33</v>
      </c>
      <c r="K139" s="13"/>
      <c r="L139" s="3">
        <v>1</v>
      </c>
      <c r="M139" s="14">
        <f>270*(1-P3/100)</f>
        <v>270</v>
      </c>
      <c r="N139" s="15"/>
      <c r="O139" s="16">
        <f>M139*N139</f>
        <v>0</v>
      </c>
      <c r="P139" s="17">
        <f>0.107*N139</f>
        <v>0</v>
      </c>
      <c r="Q139" s="30">
        <f>0.0005*N139</f>
        <v>0</v>
      </c>
      <c r="R139" s="29"/>
      <c r="S139" s="4"/>
      <c r="T139" s="4" t="str">
        <f>HYPERLINK("https://redcat-toys.ru/api/getInfo/item/86be41c6-51cd-11ec-a20f-ac1f6b442185")</f>
        <v>https://redcat-toys.ru/api/getInfo/item/86be41c6-51cd-11ec-a20f-ac1f6b442185</v>
      </c>
    </row>
    <row r="140" spans="2:20" ht="96" customHeight="1" outlineLevel="4">
      <c r="B140" s="10">
        <v>2587</v>
      </c>
      <c r="C140" s="4" t="s">
        <v>436</v>
      </c>
      <c r="D140" s="44" t="s">
        <v>437</v>
      </c>
      <c r="E140" s="44"/>
      <c r="F140" s="44"/>
      <c r="G140" s="44"/>
      <c r="H140" s="5" t="s">
        <v>438</v>
      </c>
      <c r="I140" s="12">
        <v>30</v>
      </c>
      <c r="J140" s="16" t="s">
        <v>33</v>
      </c>
      <c r="K140" s="13"/>
      <c r="L140" s="3">
        <v>1</v>
      </c>
      <c r="M140" s="14">
        <f>175.56*(1-P3/100)</f>
        <v>175.56</v>
      </c>
      <c r="N140" s="15"/>
      <c r="O140" s="16">
        <f>M140*N140</f>
        <v>0</v>
      </c>
      <c r="P140" s="24">
        <f>0.16*N140</f>
        <v>0</v>
      </c>
      <c r="Q140" s="28">
        <f>0.00043*N140</f>
        <v>0</v>
      </c>
      <c r="R140" s="29"/>
      <c r="S140" s="4" t="s">
        <v>439</v>
      </c>
      <c r="T140" s="4" t="str">
        <f>HYPERLINK("https://redcat-toys.ru/api/getInfo/item/9d6c4b19-51b3-11e3-90c8-5cf3fc4a2490")</f>
        <v>https://redcat-toys.ru/api/getInfo/item/9d6c4b19-51b3-11e3-90c8-5cf3fc4a2490</v>
      </c>
    </row>
    <row r="141" spans="2:21" ht="96" customHeight="1" outlineLevel="4">
      <c r="B141" s="9">
        <v>2600</v>
      </c>
      <c r="C141" s="7" t="s">
        <v>440</v>
      </c>
      <c r="D141" s="45" t="s">
        <v>441</v>
      </c>
      <c r="E141" s="45"/>
      <c r="F141" s="45"/>
      <c r="G141" s="45"/>
      <c r="H141" s="8" t="s">
        <v>442</v>
      </c>
      <c r="I141" s="18">
        <v>16</v>
      </c>
      <c r="J141" s="19" t="s">
        <v>33</v>
      </c>
      <c r="K141" s="20"/>
      <c r="L141" s="6">
        <v>1</v>
      </c>
      <c r="M141" s="21">
        <f>198.45*(1-P3/100)</f>
        <v>198.45</v>
      </c>
      <c r="N141" s="15"/>
      <c r="O141" s="19">
        <f aca="true" t="shared" si="6" ref="O141:O150">M141*N141</f>
        <v>0</v>
      </c>
      <c r="P141" s="22">
        <f>0.119*N141</f>
        <v>0</v>
      </c>
      <c r="Q141" s="34">
        <f>0.0005*N141</f>
        <v>0</v>
      </c>
      <c r="R141" s="32" t="s">
        <v>34</v>
      </c>
      <c r="S141" s="7"/>
      <c r="T141" s="7" t="str">
        <f>HYPERLINK("https://redcat-toys.ru/api/getInfo/item/492a2d43-3b05-11ec-a20f-ac1f6b442185")</f>
        <v>https://redcat-toys.ru/api/getInfo/item/492a2d43-3b05-11ec-a20f-ac1f6b442185</v>
      </c>
      <c r="U141" s="33"/>
    </row>
    <row r="142" spans="2:20" ht="96" customHeight="1" outlineLevel="4">
      <c r="B142" s="10">
        <v>2606</v>
      </c>
      <c r="C142" s="4" t="s">
        <v>443</v>
      </c>
      <c r="D142" s="44" t="s">
        <v>444</v>
      </c>
      <c r="E142" s="44"/>
      <c r="F142" s="44"/>
      <c r="G142" s="44"/>
      <c r="H142" s="5" t="s">
        <v>445</v>
      </c>
      <c r="I142" s="12">
        <v>30</v>
      </c>
      <c r="J142" s="16" t="s">
        <v>33</v>
      </c>
      <c r="K142" s="13"/>
      <c r="L142" s="3">
        <v>2</v>
      </c>
      <c r="M142" s="14">
        <f>101.64*(1-P3/100)</f>
        <v>101.64</v>
      </c>
      <c r="N142" s="15"/>
      <c r="O142" s="16">
        <f t="shared" si="6"/>
        <v>0</v>
      </c>
      <c r="P142" s="17">
        <f>0.072*N142</f>
        <v>0</v>
      </c>
      <c r="Q142" s="28">
        <f>0.00043*N142</f>
        <v>0</v>
      </c>
      <c r="R142" s="29"/>
      <c r="S142" s="4" t="s">
        <v>439</v>
      </c>
      <c r="T142" s="4" t="str">
        <f>HYPERLINK("https://redcat-toys.ru/api/getInfo/item/2b74ce37-fe51-11e2-ad43-5cf3fc4a2490")</f>
        <v>https://redcat-toys.ru/api/getInfo/item/2b74ce37-fe51-11e2-ad43-5cf3fc4a2490</v>
      </c>
    </row>
    <row r="143" spans="2:20" ht="96" customHeight="1" outlineLevel="6">
      <c r="B143" s="10">
        <v>2634</v>
      </c>
      <c r="C143" s="4" t="s">
        <v>446</v>
      </c>
      <c r="D143" s="44" t="s">
        <v>447</v>
      </c>
      <c r="E143" s="44"/>
      <c r="F143" s="44"/>
      <c r="G143" s="44"/>
      <c r="H143" s="5" t="s">
        <v>448</v>
      </c>
      <c r="I143" s="12">
        <v>10</v>
      </c>
      <c r="J143" s="16" t="s">
        <v>33</v>
      </c>
      <c r="K143" s="13"/>
      <c r="L143" s="3">
        <v>1</v>
      </c>
      <c r="M143" s="14">
        <f>266.26*(1-P3/100)</f>
        <v>266.26</v>
      </c>
      <c r="N143" s="15"/>
      <c r="O143" s="16">
        <f t="shared" si="6"/>
        <v>0</v>
      </c>
      <c r="P143" s="27">
        <f>0.4*N143</f>
        <v>0</v>
      </c>
      <c r="Q143" s="30">
        <f>0.0043*N143</f>
        <v>0</v>
      </c>
      <c r="R143" s="29"/>
      <c r="S143" s="4" t="s">
        <v>449</v>
      </c>
      <c r="T143" s="4" t="str">
        <f>HYPERLINK("https://redcat-toys.ru/api/getInfo/item/aa8479a6-7e00-11e5-aa49-5cf3fc4a2490")</f>
        <v>https://redcat-toys.ru/api/getInfo/item/aa8479a6-7e00-11e5-aa49-5cf3fc4a2490</v>
      </c>
    </row>
    <row r="144" spans="2:20" ht="96" customHeight="1" outlineLevel="6">
      <c r="B144" s="10">
        <v>2635</v>
      </c>
      <c r="C144" s="4" t="s">
        <v>450</v>
      </c>
      <c r="D144" s="44" t="s">
        <v>451</v>
      </c>
      <c r="E144" s="44"/>
      <c r="F144" s="44"/>
      <c r="G144" s="44"/>
      <c r="H144" s="5" t="s">
        <v>452</v>
      </c>
      <c r="I144" s="12">
        <v>25</v>
      </c>
      <c r="J144" s="16" t="s">
        <v>33</v>
      </c>
      <c r="K144" s="13"/>
      <c r="L144" s="3">
        <v>2</v>
      </c>
      <c r="M144" s="14">
        <f>78.28*(1-P3/100)</f>
        <v>78.28</v>
      </c>
      <c r="N144" s="15"/>
      <c r="O144" s="16">
        <f t="shared" si="6"/>
        <v>0</v>
      </c>
      <c r="P144" s="17">
        <f>0.074*N144</f>
        <v>0</v>
      </c>
      <c r="Q144" s="28">
        <f>0.00068*N144</f>
        <v>0</v>
      </c>
      <c r="R144" s="29"/>
      <c r="S144" s="4" t="s">
        <v>453</v>
      </c>
      <c r="T144" s="4" t="str">
        <f>HYPERLINK("https://redcat-toys.ru/api/getInfo/item/2d5a5035-8409-11e8-a207-ac1f6b442184")</f>
        <v>https://redcat-toys.ru/api/getInfo/item/2d5a5035-8409-11e8-a207-ac1f6b442184</v>
      </c>
    </row>
    <row r="145" spans="2:21" ht="96" customHeight="1" outlineLevel="5">
      <c r="B145" s="9">
        <v>2691</v>
      </c>
      <c r="C145" s="7" t="s">
        <v>454</v>
      </c>
      <c r="D145" s="45" t="s">
        <v>455</v>
      </c>
      <c r="E145" s="45"/>
      <c r="F145" s="45"/>
      <c r="G145" s="45"/>
      <c r="H145" s="8" t="s">
        <v>456</v>
      </c>
      <c r="I145" s="18">
        <v>48</v>
      </c>
      <c r="J145" s="19" t="s">
        <v>33</v>
      </c>
      <c r="K145" s="20"/>
      <c r="L145" s="6">
        <v>2</v>
      </c>
      <c r="M145" s="21">
        <f>111.13*(1-P3/100)</f>
        <v>111.13</v>
      </c>
      <c r="N145" s="15"/>
      <c r="O145" s="19">
        <f t="shared" si="6"/>
        <v>0</v>
      </c>
      <c r="P145" s="22">
        <f>0.152*N145</f>
        <v>0</v>
      </c>
      <c r="Q145" s="31">
        <f>0.00056*N145</f>
        <v>0</v>
      </c>
      <c r="R145" s="32" t="s">
        <v>34</v>
      </c>
      <c r="S145" s="7"/>
      <c r="T145" s="7" t="str">
        <f>HYPERLINK("https://redcat-toys.ru/api/getInfo/item/830a6a36-d4ac-11eb-a209-ac1f6b442185")</f>
        <v>https://redcat-toys.ru/api/getInfo/item/830a6a36-d4ac-11eb-a209-ac1f6b442185</v>
      </c>
      <c r="U145" s="33"/>
    </row>
    <row r="146" spans="2:21" ht="96" customHeight="1" outlineLevel="5">
      <c r="B146" s="9">
        <v>2764</v>
      </c>
      <c r="C146" s="7" t="s">
        <v>457</v>
      </c>
      <c r="D146" s="45" t="s">
        <v>458</v>
      </c>
      <c r="E146" s="45"/>
      <c r="F146" s="45"/>
      <c r="G146" s="45"/>
      <c r="H146" s="8" t="s">
        <v>459</v>
      </c>
      <c r="I146" s="18">
        <v>24</v>
      </c>
      <c r="J146" s="19" t="s">
        <v>33</v>
      </c>
      <c r="K146" s="20"/>
      <c r="L146" s="6">
        <v>1</v>
      </c>
      <c r="M146" s="21">
        <f>147.28*(1-P3/100)</f>
        <v>147.28</v>
      </c>
      <c r="N146" s="15"/>
      <c r="O146" s="19">
        <f t="shared" si="6"/>
        <v>0</v>
      </c>
      <c r="P146" s="23">
        <f>0.27*N146</f>
        <v>0</v>
      </c>
      <c r="Q146" s="31">
        <f>0.00138*N146</f>
        <v>0</v>
      </c>
      <c r="R146" s="32" t="s">
        <v>34</v>
      </c>
      <c r="S146" s="7"/>
      <c r="T146" s="7" t="str">
        <f>HYPERLINK("https://redcat-toys.ru/api/getInfo/item/8909fd2a-d4c1-11eb-a209-ac1f6b442185")</f>
        <v>https://redcat-toys.ru/api/getInfo/item/8909fd2a-d4c1-11eb-a209-ac1f6b442185</v>
      </c>
      <c r="U146" s="33"/>
    </row>
    <row r="147" spans="2:20" ht="96" customHeight="1" outlineLevel="7">
      <c r="B147" s="10">
        <v>2810</v>
      </c>
      <c r="C147" s="4" t="s">
        <v>460</v>
      </c>
      <c r="D147" s="44" t="s">
        <v>461</v>
      </c>
      <c r="E147" s="44"/>
      <c r="F147" s="44"/>
      <c r="G147" s="44"/>
      <c r="H147" s="5" t="s">
        <v>462</v>
      </c>
      <c r="I147" s="12">
        <v>10</v>
      </c>
      <c r="J147" s="12">
        <v>49</v>
      </c>
      <c r="K147" s="13"/>
      <c r="L147" s="3">
        <v>1</v>
      </c>
      <c r="M147" s="14">
        <f>319*(1-P3/100)</f>
        <v>319</v>
      </c>
      <c r="N147" s="15"/>
      <c r="O147" s="16">
        <f t="shared" si="6"/>
        <v>0</v>
      </c>
      <c r="P147" s="17">
        <f>0.463*N147</f>
        <v>0</v>
      </c>
      <c r="Q147" s="17">
        <f>0.003*N147</f>
        <v>0</v>
      </c>
      <c r="R147" s="29"/>
      <c r="S147" s="4"/>
      <c r="T147" s="4" t="str">
        <f>HYPERLINK("https://redcat-toys.ru/api/getInfo/item/0f03cb84-c055-11ea-a249-ac1f6b442184")</f>
        <v>https://redcat-toys.ru/api/getInfo/item/0f03cb84-c055-11ea-a249-ac1f6b442184</v>
      </c>
    </row>
    <row r="148" spans="2:20" ht="96" customHeight="1" outlineLevel="7">
      <c r="B148" s="10">
        <v>2824</v>
      </c>
      <c r="C148" s="4" t="s">
        <v>463</v>
      </c>
      <c r="D148" s="44" t="s">
        <v>464</v>
      </c>
      <c r="E148" s="44"/>
      <c r="F148" s="44"/>
      <c r="G148" s="44"/>
      <c r="H148" s="5" t="s">
        <v>465</v>
      </c>
      <c r="I148" s="12">
        <v>10</v>
      </c>
      <c r="J148" s="12">
        <v>77</v>
      </c>
      <c r="K148" s="13"/>
      <c r="L148" s="3">
        <v>1</v>
      </c>
      <c r="M148" s="14">
        <f>415*(1-P3/100)</f>
        <v>415</v>
      </c>
      <c r="N148" s="15"/>
      <c r="O148" s="16">
        <f t="shared" si="6"/>
        <v>0</v>
      </c>
      <c r="P148" s="17">
        <f>0.643*N148</f>
        <v>0</v>
      </c>
      <c r="Q148" s="30">
        <f>0.0049*N148</f>
        <v>0</v>
      </c>
      <c r="R148" s="29"/>
      <c r="S148" s="4"/>
      <c r="T148" s="4" t="str">
        <f>HYPERLINK("https://redcat-toys.ru/api/getInfo/item/16801e44-0074-11ea-a236-ac1f6b442184")</f>
        <v>https://redcat-toys.ru/api/getInfo/item/16801e44-0074-11ea-a236-ac1f6b442184</v>
      </c>
    </row>
    <row r="149" spans="2:21" ht="96" customHeight="1" outlineLevel="6">
      <c r="B149" s="9">
        <v>2853</v>
      </c>
      <c r="C149" s="7" t="s">
        <v>466</v>
      </c>
      <c r="D149" s="45" t="s">
        <v>467</v>
      </c>
      <c r="E149" s="45"/>
      <c r="F149" s="45"/>
      <c r="G149" s="45"/>
      <c r="H149" s="8" t="s">
        <v>468</v>
      </c>
      <c r="I149" s="18">
        <v>10</v>
      </c>
      <c r="J149" s="18">
        <v>110</v>
      </c>
      <c r="K149" s="20"/>
      <c r="L149" s="6">
        <v>1</v>
      </c>
      <c r="M149" s="21">
        <f>519*(1-P3/100)</f>
        <v>519</v>
      </c>
      <c r="N149" s="15"/>
      <c r="O149" s="19">
        <f t="shared" si="6"/>
        <v>0</v>
      </c>
      <c r="P149" s="35">
        <f>0.7*N149</f>
        <v>0</v>
      </c>
      <c r="Q149" s="22">
        <f>0.006*N149</f>
        <v>0</v>
      </c>
      <c r="R149" s="32" t="s">
        <v>34</v>
      </c>
      <c r="S149" s="7"/>
      <c r="T149" s="7" t="str">
        <f>HYPERLINK("https://redcat-toys.ru/api/getInfo/item/6f97692f-e7e5-11ec-a213-ac1f6b442185")</f>
        <v>https://redcat-toys.ru/api/getInfo/item/6f97692f-e7e5-11ec-a213-ac1f6b442185</v>
      </c>
      <c r="U149" s="33"/>
    </row>
    <row r="150" spans="2:20" ht="96" customHeight="1" outlineLevel="6">
      <c r="B150" s="10">
        <v>2858</v>
      </c>
      <c r="C150" s="4" t="s">
        <v>469</v>
      </c>
      <c r="D150" s="44" t="s">
        <v>470</v>
      </c>
      <c r="E150" s="44"/>
      <c r="F150" s="44"/>
      <c r="G150" s="44"/>
      <c r="H150" s="5" t="s">
        <v>471</v>
      </c>
      <c r="I150" s="12">
        <v>10</v>
      </c>
      <c r="J150" s="12">
        <v>46</v>
      </c>
      <c r="K150" s="13"/>
      <c r="L150" s="3">
        <v>1</v>
      </c>
      <c r="M150" s="14">
        <f>456*(1-P3/100)</f>
        <v>456</v>
      </c>
      <c r="N150" s="15"/>
      <c r="O150" s="16">
        <f t="shared" si="6"/>
        <v>0</v>
      </c>
      <c r="P150" s="24">
        <f>0.73*N150</f>
        <v>0</v>
      </c>
      <c r="Q150" s="30">
        <f>0.0057*N150</f>
        <v>0</v>
      </c>
      <c r="R150" s="29"/>
      <c r="S150" s="4"/>
      <c r="T150" s="4" t="str">
        <f>HYPERLINK("https://redcat-toys.ru/api/getInfo/item/471672ed-e0df-11ec-a213-ac1f6b442185")</f>
        <v>https://redcat-toys.ru/api/getInfo/item/471672ed-e0df-11ec-a213-ac1f6b442185</v>
      </c>
    </row>
    <row r="151" spans="2:21" ht="96" customHeight="1" outlineLevel="4">
      <c r="B151" s="9">
        <v>3735</v>
      </c>
      <c r="C151" s="7" t="s">
        <v>512</v>
      </c>
      <c r="D151" s="45" t="s">
        <v>513</v>
      </c>
      <c r="E151" s="45"/>
      <c r="F151" s="45"/>
      <c r="G151" s="45"/>
      <c r="H151" s="8" t="s">
        <v>514</v>
      </c>
      <c r="I151" s="18">
        <v>24</v>
      </c>
      <c r="J151" s="18">
        <v>198</v>
      </c>
      <c r="K151" s="20"/>
      <c r="L151" s="6">
        <v>2</v>
      </c>
      <c r="M151" s="21">
        <f>115*(1-P3/100)</f>
        <v>115</v>
      </c>
      <c r="N151" s="15"/>
      <c r="O151" s="19">
        <f>M151*N151</f>
        <v>0</v>
      </c>
      <c r="P151" s="22">
        <f>0.081*N151</f>
        <v>0</v>
      </c>
      <c r="Q151" s="31">
        <f>0.00033*N151</f>
        <v>0</v>
      </c>
      <c r="R151" s="32" t="s">
        <v>34</v>
      </c>
      <c r="S151" s="7"/>
      <c r="T151" s="7" t="str">
        <f>HYPERLINK("https://redcat-toys.ru/api/getInfo/item/0f1e2e7b-d359-11eb-a209-ac1f6b442185")</f>
        <v>https://redcat-toys.ru/api/getInfo/item/0f1e2e7b-d359-11eb-a209-ac1f6b442185</v>
      </c>
      <c r="U151" s="33"/>
    </row>
    <row r="152" spans="2:21" ht="96" customHeight="1" outlineLevel="3">
      <c r="B152" s="9">
        <v>3786</v>
      </c>
      <c r="C152" s="7" t="s">
        <v>515</v>
      </c>
      <c r="D152" s="45" t="s">
        <v>516</v>
      </c>
      <c r="E152" s="45"/>
      <c r="F152" s="45"/>
      <c r="G152" s="45"/>
      <c r="H152" s="8" t="s">
        <v>517</v>
      </c>
      <c r="I152" s="18">
        <v>12</v>
      </c>
      <c r="J152" s="19" t="s">
        <v>33</v>
      </c>
      <c r="K152" s="20"/>
      <c r="L152" s="6">
        <v>1</v>
      </c>
      <c r="M152" s="21">
        <f>390*(1-P3/100)</f>
        <v>390</v>
      </c>
      <c r="N152" s="15"/>
      <c r="O152" s="19">
        <f>M152*N152</f>
        <v>0</v>
      </c>
      <c r="P152" s="22">
        <f>0.163*N152</f>
        <v>0</v>
      </c>
      <c r="Q152" s="34">
        <f>0.0025*N152</f>
        <v>0</v>
      </c>
      <c r="R152" s="32" t="s">
        <v>34</v>
      </c>
      <c r="S152" s="7"/>
      <c r="T152" s="7" t="str">
        <f>HYPERLINK("https://redcat-toys.ru/api/getInfo/item/43abe5fc-b267-11eb-a202-ac1f6b442185")</f>
        <v>https://redcat-toys.ru/api/getInfo/item/43abe5fc-b267-11eb-a202-ac1f6b442185</v>
      </c>
      <c r="U152" s="33"/>
    </row>
    <row r="153" spans="2:21" ht="96" customHeight="1" outlineLevel="4">
      <c r="B153" s="9">
        <v>3931</v>
      </c>
      <c r="C153" s="7" t="s">
        <v>518</v>
      </c>
      <c r="D153" s="45" t="s">
        <v>519</v>
      </c>
      <c r="E153" s="45"/>
      <c r="F153" s="45"/>
      <c r="G153" s="45"/>
      <c r="H153" s="8" t="s">
        <v>520</v>
      </c>
      <c r="I153" s="18">
        <v>15</v>
      </c>
      <c r="J153" s="19" t="s">
        <v>33</v>
      </c>
      <c r="K153" s="20"/>
      <c r="L153" s="6">
        <v>1</v>
      </c>
      <c r="M153" s="21">
        <f>589.9*(1-P3/100)</f>
        <v>589.9</v>
      </c>
      <c r="N153" s="15"/>
      <c r="O153" s="19">
        <f>M153*N153</f>
        <v>0</v>
      </c>
      <c r="P153" s="22">
        <f>0.329*N153</f>
        <v>0</v>
      </c>
      <c r="Q153" s="31">
        <f>0.00467*N153</f>
        <v>0</v>
      </c>
      <c r="R153" s="32" t="s">
        <v>34</v>
      </c>
      <c r="S153" s="7"/>
      <c r="T153" s="7" t="str">
        <f>HYPERLINK("https://redcat-toys.ru/api/getInfo/item/c45b05a0-1202-11ec-a20f-ac1f6b442185")</f>
        <v>https://redcat-toys.ru/api/getInfo/item/c45b05a0-1202-11ec-a20f-ac1f6b442185</v>
      </c>
      <c r="U153" s="33"/>
    </row>
    <row r="154" spans="2:20" ht="96" customHeight="1" outlineLevel="5">
      <c r="B154" s="10">
        <v>3980</v>
      </c>
      <c r="C154" s="4" t="s">
        <v>521</v>
      </c>
      <c r="D154" s="44" t="s">
        <v>522</v>
      </c>
      <c r="E154" s="44"/>
      <c r="F154" s="44"/>
      <c r="G154" s="44"/>
      <c r="H154" s="5" t="s">
        <v>523</v>
      </c>
      <c r="I154" s="12">
        <v>12</v>
      </c>
      <c r="J154" s="12">
        <v>157</v>
      </c>
      <c r="K154" s="13"/>
      <c r="L154" s="3">
        <v>1</v>
      </c>
      <c r="M154" s="25">
        <f>1039.05*(1-P3/100)</f>
        <v>1039.05</v>
      </c>
      <c r="N154" s="15"/>
      <c r="O154" s="16">
        <f>M154*N154</f>
        <v>0</v>
      </c>
      <c r="P154" s="17">
        <f>0.666*N154</f>
        <v>0</v>
      </c>
      <c r="Q154" s="17">
        <f>0.011*N154</f>
        <v>0</v>
      </c>
      <c r="R154" s="29"/>
      <c r="S154" s="4"/>
      <c r="T154" s="4" t="str">
        <f>HYPERLINK("https://redcat-toys.ru/api/getInfo/item/9f8f5195-a26b-11eb-a201-ac1f6b442185")</f>
        <v>https://redcat-toys.ru/api/getInfo/item/9f8f5195-a26b-11eb-a201-ac1f6b442185</v>
      </c>
    </row>
    <row r="155" spans="2:21" ht="96" customHeight="1" outlineLevel="4">
      <c r="B155" s="9">
        <v>4058</v>
      </c>
      <c r="C155" s="7" t="s">
        <v>524</v>
      </c>
      <c r="D155" s="45" t="s">
        <v>525</v>
      </c>
      <c r="E155" s="45"/>
      <c r="F155" s="45"/>
      <c r="G155" s="45"/>
      <c r="H155" s="8" t="s">
        <v>526</v>
      </c>
      <c r="I155" s="18">
        <v>72</v>
      </c>
      <c r="J155" s="19" t="s">
        <v>33</v>
      </c>
      <c r="K155" s="20"/>
      <c r="L155" s="6">
        <v>1</v>
      </c>
      <c r="M155" s="21">
        <f>239.61*(1-P3/100)</f>
        <v>239.61</v>
      </c>
      <c r="N155" s="15"/>
      <c r="O155" s="19">
        <f>M155*N155</f>
        <v>0</v>
      </c>
      <c r="P155" s="22">
        <f>0.184*N155</f>
        <v>0</v>
      </c>
      <c r="Q155" s="31">
        <f>0.00097*N155</f>
        <v>0</v>
      </c>
      <c r="R155" s="32" t="s">
        <v>34</v>
      </c>
      <c r="S155" s="7"/>
      <c r="T155" s="7" t="str">
        <f>HYPERLINK("https://redcat-toys.ru/api/getInfo/item/49ed2969-bf81-11eb-a206-ac1f6b442185")</f>
        <v>https://redcat-toys.ru/api/getInfo/item/49ed2969-bf81-11eb-a206-ac1f6b442185</v>
      </c>
      <c r="U155" s="33"/>
    </row>
    <row r="156" spans="2:21" ht="96" customHeight="1" outlineLevel="3">
      <c r="B156" s="9">
        <v>4166</v>
      </c>
      <c r="C156" s="7" t="s">
        <v>527</v>
      </c>
      <c r="D156" s="45" t="s">
        <v>528</v>
      </c>
      <c r="E156" s="45"/>
      <c r="F156" s="45"/>
      <c r="G156" s="45"/>
      <c r="H156" s="8" t="s">
        <v>529</v>
      </c>
      <c r="I156" s="18">
        <v>96</v>
      </c>
      <c r="J156" s="18">
        <v>397</v>
      </c>
      <c r="K156" s="20"/>
      <c r="L156" s="6">
        <v>1</v>
      </c>
      <c r="M156" s="21">
        <f>240.78*(1-P3/100)</f>
        <v>240.78</v>
      </c>
      <c r="N156" s="15"/>
      <c r="O156" s="19">
        <f>M156*N156</f>
        <v>0</v>
      </c>
      <c r="P156" s="22">
        <f>0.193*N156</f>
        <v>0</v>
      </c>
      <c r="Q156" s="31">
        <f>0.00248*N156</f>
        <v>0</v>
      </c>
      <c r="R156" s="32" t="s">
        <v>34</v>
      </c>
      <c r="S156" s="7"/>
      <c r="T156" s="7" t="str">
        <f>HYPERLINK("https://redcat-toys.ru/api/getInfo/item/6d4bdc5d-4a2a-11ed-a216-ac1f6b442185")</f>
        <v>https://redcat-toys.ru/api/getInfo/item/6d4bdc5d-4a2a-11ed-a216-ac1f6b442185</v>
      </c>
      <c r="U156" s="33"/>
    </row>
    <row r="157" spans="2:20" ht="96" customHeight="1" outlineLevel="3">
      <c r="B157" s="10">
        <v>4202</v>
      </c>
      <c r="C157" s="4" t="s">
        <v>530</v>
      </c>
      <c r="D157" s="44" t="s">
        <v>531</v>
      </c>
      <c r="E157" s="44"/>
      <c r="F157" s="44"/>
      <c r="G157" s="44"/>
      <c r="H157" s="5" t="s">
        <v>532</v>
      </c>
      <c r="I157" s="12">
        <v>6</v>
      </c>
      <c r="J157" s="12">
        <v>28</v>
      </c>
      <c r="K157" s="13"/>
      <c r="L157" s="3">
        <v>1</v>
      </c>
      <c r="M157" s="25">
        <f>2473.54*(1-P3/100)</f>
        <v>2473.54</v>
      </c>
      <c r="N157" s="15"/>
      <c r="O157" s="16">
        <f>M157*N157</f>
        <v>0</v>
      </c>
      <c r="P157" s="17">
        <f>2.235*N157</f>
        <v>0</v>
      </c>
      <c r="Q157" s="28">
        <f>0.01117*N157</f>
        <v>0</v>
      </c>
      <c r="R157" s="29"/>
      <c r="S157" s="4"/>
      <c r="T157" s="4" t="str">
        <f>HYPERLINK("https://redcat-toys.ru/api/getInfo/item/d66ea149-3f6b-11eb-a25e-ac1f6b442184")</f>
        <v>https://redcat-toys.ru/api/getInfo/item/d66ea149-3f6b-11eb-a25e-ac1f6b442184</v>
      </c>
    </row>
    <row r="158" spans="2:20" ht="96" customHeight="1" outlineLevel="3">
      <c r="B158" s="10">
        <v>4211</v>
      </c>
      <c r="C158" s="4" t="s">
        <v>533</v>
      </c>
      <c r="D158" s="44" t="s">
        <v>534</v>
      </c>
      <c r="E158" s="44"/>
      <c r="F158" s="44"/>
      <c r="G158" s="44"/>
      <c r="H158" s="5" t="s">
        <v>535</v>
      </c>
      <c r="I158" s="12">
        <v>6</v>
      </c>
      <c r="J158" s="12">
        <v>219</v>
      </c>
      <c r="K158" s="13"/>
      <c r="L158" s="3">
        <v>1</v>
      </c>
      <c r="M158" s="25">
        <f>1820.72*(1-P3/100)</f>
        <v>1820.72</v>
      </c>
      <c r="N158" s="15"/>
      <c r="O158" s="16">
        <f aca="true" t="shared" si="7" ref="O158:O169">M158*N158</f>
        <v>0</v>
      </c>
      <c r="P158" s="17">
        <f>1.237*N158</f>
        <v>0</v>
      </c>
      <c r="Q158" s="28">
        <f>0.00967*N158</f>
        <v>0</v>
      </c>
      <c r="R158" s="29"/>
      <c r="S158" s="4"/>
      <c r="T158" s="4" t="str">
        <f>HYPERLINK("https://redcat-toys.ru/api/getInfo/item/6aba7b62-cb23-11ea-a249-ac1f6b442184")</f>
        <v>https://redcat-toys.ru/api/getInfo/item/6aba7b62-cb23-11ea-a249-ac1f6b442184</v>
      </c>
    </row>
    <row r="159" spans="2:20" ht="96" customHeight="1" outlineLevel="3">
      <c r="B159" s="10">
        <v>4214</v>
      </c>
      <c r="C159" s="4" t="s">
        <v>536</v>
      </c>
      <c r="D159" s="44" t="s">
        <v>537</v>
      </c>
      <c r="E159" s="44"/>
      <c r="F159" s="44"/>
      <c r="G159" s="44"/>
      <c r="H159" s="5" t="s">
        <v>538</v>
      </c>
      <c r="I159" s="12">
        <v>6</v>
      </c>
      <c r="J159" s="12">
        <v>82</v>
      </c>
      <c r="K159" s="13"/>
      <c r="L159" s="3">
        <v>1</v>
      </c>
      <c r="M159" s="25">
        <f>1469.34*(1-P3/100)</f>
        <v>1469.34</v>
      </c>
      <c r="N159" s="15"/>
      <c r="O159" s="16">
        <f t="shared" si="7"/>
        <v>0</v>
      </c>
      <c r="P159" s="17">
        <f>1.317*N159</f>
        <v>0</v>
      </c>
      <c r="Q159" s="28">
        <f>0.01483*N159</f>
        <v>0</v>
      </c>
      <c r="R159" s="29"/>
      <c r="S159" s="4"/>
      <c r="T159" s="4" t="str">
        <f>HYPERLINK("https://redcat-toys.ru/api/getInfo/item/0cfa80d5-cb2d-11ea-a249-ac1f6b442184")</f>
        <v>https://redcat-toys.ru/api/getInfo/item/0cfa80d5-cb2d-11ea-a249-ac1f6b442184</v>
      </c>
    </row>
    <row r="160" spans="2:21" ht="96" customHeight="1" outlineLevel="3">
      <c r="B160" s="9">
        <v>4220</v>
      </c>
      <c r="C160" s="7" t="s">
        <v>539</v>
      </c>
      <c r="D160" s="45" t="s">
        <v>540</v>
      </c>
      <c r="E160" s="45"/>
      <c r="F160" s="45"/>
      <c r="G160" s="45"/>
      <c r="H160" s="8" t="s">
        <v>541</v>
      </c>
      <c r="I160" s="18">
        <v>24</v>
      </c>
      <c r="J160" s="18">
        <v>144</v>
      </c>
      <c r="K160" s="20"/>
      <c r="L160" s="6">
        <v>1</v>
      </c>
      <c r="M160" s="26">
        <f>1092.4*(1-P3/100)</f>
        <v>1092.4</v>
      </c>
      <c r="N160" s="15"/>
      <c r="O160" s="19">
        <f t="shared" si="7"/>
        <v>0</v>
      </c>
      <c r="P160" s="22">
        <f>0.313*N160</f>
        <v>0</v>
      </c>
      <c r="Q160" s="31">
        <f>0.00275*N160</f>
        <v>0</v>
      </c>
      <c r="R160" s="32" t="s">
        <v>34</v>
      </c>
      <c r="S160" s="7"/>
      <c r="T160" s="7"/>
      <c r="U160" s="33"/>
    </row>
    <row r="161" spans="2:21" ht="96" customHeight="1" outlineLevel="3">
      <c r="B161" s="9">
        <v>4224</v>
      </c>
      <c r="C161" s="7" t="s">
        <v>542</v>
      </c>
      <c r="D161" s="45" t="s">
        <v>543</v>
      </c>
      <c r="E161" s="45"/>
      <c r="F161" s="45"/>
      <c r="G161" s="45"/>
      <c r="H161" s="8" t="s">
        <v>544</v>
      </c>
      <c r="I161" s="18">
        <v>24</v>
      </c>
      <c r="J161" s="18">
        <v>144</v>
      </c>
      <c r="K161" s="20"/>
      <c r="L161" s="6">
        <v>1</v>
      </c>
      <c r="M161" s="26">
        <f>1092.4*(1-P3/100)</f>
        <v>1092.4</v>
      </c>
      <c r="N161" s="15"/>
      <c r="O161" s="19">
        <f t="shared" si="7"/>
        <v>0</v>
      </c>
      <c r="P161" s="22">
        <f>0.313*N161</f>
        <v>0</v>
      </c>
      <c r="Q161" s="31">
        <f>0.00283*N161</f>
        <v>0</v>
      </c>
      <c r="R161" s="32" t="s">
        <v>34</v>
      </c>
      <c r="S161" s="7"/>
      <c r="T161" s="7"/>
      <c r="U161" s="33"/>
    </row>
    <row r="162" spans="2:21" ht="96" customHeight="1" outlineLevel="6">
      <c r="B162" s="9">
        <v>4315</v>
      </c>
      <c r="C162" s="7" t="s">
        <v>545</v>
      </c>
      <c r="D162" s="45" t="s">
        <v>546</v>
      </c>
      <c r="E162" s="45"/>
      <c r="F162" s="45"/>
      <c r="G162" s="45"/>
      <c r="H162" s="8" t="s">
        <v>547</v>
      </c>
      <c r="I162" s="18">
        <v>24</v>
      </c>
      <c r="J162" s="18">
        <v>72</v>
      </c>
      <c r="K162" s="20"/>
      <c r="L162" s="6">
        <v>1</v>
      </c>
      <c r="M162" s="21">
        <f>820.98*(1-P3/100)</f>
        <v>820.98</v>
      </c>
      <c r="N162" s="15"/>
      <c r="O162" s="19">
        <f t="shared" si="7"/>
        <v>0</v>
      </c>
      <c r="P162" s="22">
        <f>0.583*N162</f>
        <v>0</v>
      </c>
      <c r="Q162" s="31">
        <f>0.00563*N162</f>
        <v>0</v>
      </c>
      <c r="R162" s="32" t="s">
        <v>34</v>
      </c>
      <c r="S162" s="7"/>
      <c r="T162" s="7" t="str">
        <f>HYPERLINK("https://redcat-toys.ru/api/getInfo/item/4e6d77fd-329f-11ed-a216-ac1f6b442185")</f>
        <v>https://redcat-toys.ru/api/getInfo/item/4e6d77fd-329f-11ed-a216-ac1f6b442185</v>
      </c>
      <c r="U162" s="33"/>
    </row>
    <row r="163" spans="2:20" ht="96" customHeight="1" outlineLevel="6">
      <c r="B163" s="10">
        <v>4387</v>
      </c>
      <c r="C163" s="4" t="s">
        <v>548</v>
      </c>
      <c r="D163" s="44" t="s">
        <v>549</v>
      </c>
      <c r="E163" s="44"/>
      <c r="F163" s="44"/>
      <c r="G163" s="44"/>
      <c r="H163" s="5" t="s">
        <v>550</v>
      </c>
      <c r="I163" s="12">
        <v>48</v>
      </c>
      <c r="J163" s="12">
        <v>44</v>
      </c>
      <c r="K163" s="13"/>
      <c r="L163" s="3">
        <v>1</v>
      </c>
      <c r="M163" s="14">
        <f>523.45*(1-P3/100)</f>
        <v>523.45</v>
      </c>
      <c r="N163" s="15"/>
      <c r="O163" s="16">
        <f t="shared" si="7"/>
        <v>0</v>
      </c>
      <c r="P163" s="24">
        <f>0.36*N163</f>
        <v>0</v>
      </c>
      <c r="Q163" s="28">
        <f>0.00515*N163</f>
        <v>0</v>
      </c>
      <c r="R163" s="29"/>
      <c r="S163" s="4"/>
      <c r="T163" s="4" t="str">
        <f>HYPERLINK("https://redcat-toys.ru/api/getInfo/item/23738ae5-9c58-11eb-a201-ac1f6b442185")</f>
        <v>https://redcat-toys.ru/api/getInfo/item/23738ae5-9c58-11eb-a201-ac1f6b442185</v>
      </c>
    </row>
    <row r="164" spans="2:20" ht="96" customHeight="1" outlineLevel="4">
      <c r="B164" s="10">
        <v>4540</v>
      </c>
      <c r="C164" s="4" t="s">
        <v>551</v>
      </c>
      <c r="D164" s="44" t="s">
        <v>552</v>
      </c>
      <c r="E164" s="44"/>
      <c r="F164" s="44"/>
      <c r="G164" s="44"/>
      <c r="H164" s="5" t="s">
        <v>553</v>
      </c>
      <c r="I164" s="12">
        <v>12</v>
      </c>
      <c r="J164" s="12">
        <v>134</v>
      </c>
      <c r="K164" s="13"/>
      <c r="L164" s="3">
        <v>1</v>
      </c>
      <c r="M164" s="25">
        <f>1811.52*(1-P3/100)</f>
        <v>1811.52</v>
      </c>
      <c r="N164" s="15"/>
      <c r="O164" s="16">
        <f t="shared" si="7"/>
        <v>0</v>
      </c>
      <c r="P164" s="17">
        <f>1.562*N164</f>
        <v>0</v>
      </c>
      <c r="Q164" s="28">
        <f>0.01817*N164</f>
        <v>0</v>
      </c>
      <c r="R164" s="29"/>
      <c r="S164" s="4"/>
      <c r="T164" s="4" t="str">
        <f>HYPERLINK("https://redcat-toys.ru/api/getInfo/item/2055886d-f9b5-11ea-a254-ac1f6b442184")</f>
        <v>https://redcat-toys.ru/api/getInfo/item/2055886d-f9b5-11ea-a254-ac1f6b442184</v>
      </c>
    </row>
    <row r="165" spans="2:20" ht="96" customHeight="1" outlineLevel="4">
      <c r="B165" s="10">
        <v>4564</v>
      </c>
      <c r="C165" s="4" t="s">
        <v>554</v>
      </c>
      <c r="D165" s="44" t="s">
        <v>555</v>
      </c>
      <c r="E165" s="44"/>
      <c r="F165" s="44"/>
      <c r="G165" s="44"/>
      <c r="H165" s="5" t="s">
        <v>556</v>
      </c>
      <c r="I165" s="12">
        <v>4</v>
      </c>
      <c r="J165" s="12">
        <v>54</v>
      </c>
      <c r="K165" s="13"/>
      <c r="L165" s="3">
        <v>1</v>
      </c>
      <c r="M165" s="25">
        <f>5514.58*(1-P3/100)</f>
        <v>5514.58</v>
      </c>
      <c r="N165" s="15"/>
      <c r="O165" s="16">
        <f t="shared" si="7"/>
        <v>0</v>
      </c>
      <c r="P165" s="17">
        <f>3.825*N165</f>
        <v>0</v>
      </c>
      <c r="Q165" s="30">
        <f>0.0365*N165</f>
        <v>0</v>
      </c>
      <c r="R165" s="29"/>
      <c r="S165" s="4"/>
      <c r="T165" s="4" t="str">
        <f>HYPERLINK("https://redcat-toys.ru/api/getInfo/item/4e054074-9612-11eb-a200-ac1f6b442185")</f>
        <v>https://redcat-toys.ru/api/getInfo/item/4e054074-9612-11eb-a200-ac1f6b442185</v>
      </c>
    </row>
    <row r="166" spans="2:21" ht="96" customHeight="1" outlineLevel="4">
      <c r="B166" s="9">
        <v>4600</v>
      </c>
      <c r="C166" s="7" t="s">
        <v>557</v>
      </c>
      <c r="D166" s="45" t="s">
        <v>558</v>
      </c>
      <c r="E166" s="45"/>
      <c r="F166" s="45"/>
      <c r="G166" s="45"/>
      <c r="H166" s="8" t="s">
        <v>559</v>
      </c>
      <c r="I166" s="18">
        <v>18</v>
      </c>
      <c r="J166" s="18">
        <v>16</v>
      </c>
      <c r="K166" s="20"/>
      <c r="L166" s="6">
        <v>1</v>
      </c>
      <c r="M166" s="26">
        <f>1388.01*(1-P3/100)</f>
        <v>1388.01</v>
      </c>
      <c r="N166" s="15"/>
      <c r="O166" s="19">
        <f t="shared" si="7"/>
        <v>0</v>
      </c>
      <c r="P166" s="22">
        <f>1.174*N166</f>
        <v>0</v>
      </c>
      <c r="Q166" s="31">
        <f>0.01011*N166</f>
        <v>0</v>
      </c>
      <c r="R166" s="32" t="s">
        <v>34</v>
      </c>
      <c r="S166" s="7"/>
      <c r="T166" s="7" t="str">
        <f>HYPERLINK("https://redcat-toys.ru/api/getInfo/item/5d9ac3bc-a8c7-11eb-a201-ac1f6b442185")</f>
        <v>https://redcat-toys.ru/api/getInfo/item/5d9ac3bc-a8c7-11eb-a201-ac1f6b442185</v>
      </c>
      <c r="U166" s="33"/>
    </row>
    <row r="167" spans="2:21" ht="96" customHeight="1" outlineLevel="4">
      <c r="B167" s="9">
        <v>4613</v>
      </c>
      <c r="C167" s="7" t="s">
        <v>560</v>
      </c>
      <c r="D167" s="45" t="s">
        <v>561</v>
      </c>
      <c r="E167" s="45"/>
      <c r="F167" s="45"/>
      <c r="G167" s="45"/>
      <c r="H167" s="8" t="s">
        <v>562</v>
      </c>
      <c r="I167" s="18">
        <v>36</v>
      </c>
      <c r="J167" s="18">
        <v>181</v>
      </c>
      <c r="K167" s="20"/>
      <c r="L167" s="6">
        <v>1</v>
      </c>
      <c r="M167" s="26">
        <f>1192.25*(1-P3/100)</f>
        <v>1192.25</v>
      </c>
      <c r="N167" s="15"/>
      <c r="O167" s="19">
        <f t="shared" si="7"/>
        <v>0</v>
      </c>
      <c r="P167" s="22">
        <f>0.287*N167</f>
        <v>0</v>
      </c>
      <c r="Q167" s="31">
        <f>0.00308*N167</f>
        <v>0</v>
      </c>
      <c r="R167" s="32" t="s">
        <v>34</v>
      </c>
      <c r="S167" s="7"/>
      <c r="T167" s="7" t="str">
        <f>HYPERLINK("https://redcat-toys.ru/api/getInfo/item/f49805c6-f855-11ec-a213-ac1f6b442185")</f>
        <v>https://redcat-toys.ru/api/getInfo/item/f49805c6-f855-11ec-a213-ac1f6b442185</v>
      </c>
      <c r="U167" s="33"/>
    </row>
    <row r="168" spans="2:21" ht="96" customHeight="1" outlineLevel="5">
      <c r="B168" s="9">
        <v>4706</v>
      </c>
      <c r="C168" s="7" t="s">
        <v>563</v>
      </c>
      <c r="D168" s="45" t="s">
        <v>564</v>
      </c>
      <c r="E168" s="45"/>
      <c r="F168" s="45"/>
      <c r="G168" s="45"/>
      <c r="H168" s="8" t="s">
        <v>565</v>
      </c>
      <c r="I168" s="18">
        <v>12</v>
      </c>
      <c r="J168" s="18">
        <v>43</v>
      </c>
      <c r="K168" s="20"/>
      <c r="L168" s="6">
        <v>1</v>
      </c>
      <c r="M168" s="26">
        <f>1041.43*(1-P3/100)</f>
        <v>1041.43</v>
      </c>
      <c r="N168" s="15"/>
      <c r="O168" s="19">
        <f t="shared" si="7"/>
        <v>0</v>
      </c>
      <c r="P168" s="22">
        <f>0.823*N168</f>
        <v>0</v>
      </c>
      <c r="Q168" s="31">
        <f>0.00958*N168</f>
        <v>0</v>
      </c>
      <c r="R168" s="32" t="s">
        <v>34</v>
      </c>
      <c r="S168" s="7"/>
      <c r="T168" s="7" t="str">
        <f>HYPERLINK("https://redcat-toys.ru/api/getInfo/item/97ac4221-2d14-11ed-a216-ac1f6b442185")</f>
        <v>https://redcat-toys.ru/api/getInfo/item/97ac4221-2d14-11ed-a216-ac1f6b442185</v>
      </c>
      <c r="U168" s="33"/>
    </row>
    <row r="169" spans="2:20" ht="96" customHeight="1" outlineLevel="6">
      <c r="B169" s="10">
        <v>4856</v>
      </c>
      <c r="C169" s="4" t="s">
        <v>566</v>
      </c>
      <c r="D169" s="44" t="s">
        <v>567</v>
      </c>
      <c r="E169" s="44"/>
      <c r="F169" s="44"/>
      <c r="G169" s="44"/>
      <c r="H169" s="5" t="s">
        <v>568</v>
      </c>
      <c r="I169" s="12">
        <v>108</v>
      </c>
      <c r="J169" s="12">
        <v>25</v>
      </c>
      <c r="K169" s="13"/>
      <c r="L169" s="3">
        <v>1</v>
      </c>
      <c r="M169" s="14">
        <f>239.88*(1-P3/100)</f>
        <v>239.88</v>
      </c>
      <c r="N169" s="15"/>
      <c r="O169" s="16">
        <f t="shared" si="7"/>
        <v>0</v>
      </c>
      <c r="P169" s="17">
        <f>0.079*N169</f>
        <v>0</v>
      </c>
      <c r="Q169" s="30">
        <f>0.0007*N169</f>
        <v>0</v>
      </c>
      <c r="R169" s="29"/>
      <c r="S169" s="4"/>
      <c r="T169" s="4" t="str">
        <f>HYPERLINK("https://redcat-toys.ru/api/getInfo/item/8575b0b7-a68d-11eb-a201-ac1f6b442185")</f>
        <v>https://redcat-toys.ru/api/getInfo/item/8575b0b7-a68d-11eb-a201-ac1f6b442185</v>
      </c>
    </row>
    <row r="170" spans="2:20" ht="96" customHeight="1" outlineLevel="4">
      <c r="B170" s="10">
        <v>4955</v>
      </c>
      <c r="C170" s="4" t="s">
        <v>569</v>
      </c>
      <c r="D170" s="44" t="s">
        <v>570</v>
      </c>
      <c r="E170" s="44"/>
      <c r="F170" s="44"/>
      <c r="G170" s="44"/>
      <c r="H170" s="5" t="s">
        <v>571</v>
      </c>
      <c r="I170" s="12">
        <v>4</v>
      </c>
      <c r="J170" s="12">
        <v>24</v>
      </c>
      <c r="K170" s="13"/>
      <c r="L170" s="3">
        <v>1</v>
      </c>
      <c r="M170" s="25">
        <f>2690.53*(1-P3/100)</f>
        <v>2690.53</v>
      </c>
      <c r="N170" s="15"/>
      <c r="O170" s="16">
        <f>M170*N170</f>
        <v>0</v>
      </c>
      <c r="P170" s="17">
        <f>1.395*N170</f>
        <v>0</v>
      </c>
      <c r="Q170" s="30">
        <f>0.0215*N170</f>
        <v>0</v>
      </c>
      <c r="R170" s="29"/>
      <c r="S170" s="4"/>
      <c r="T170" s="4" t="str">
        <f>HYPERLINK("https://redcat-toys.ru/api/getInfo/item/2dddd7d2-a726-11eb-a201-ac1f6b442185")</f>
        <v>https://redcat-toys.ru/api/getInfo/item/2dddd7d2-a726-11eb-a201-ac1f6b442185</v>
      </c>
    </row>
    <row r="171" spans="2:21" ht="96" customHeight="1" outlineLevel="4">
      <c r="B171" s="9">
        <v>4975</v>
      </c>
      <c r="C171" s="7" t="s">
        <v>572</v>
      </c>
      <c r="D171" s="45" t="s">
        <v>573</v>
      </c>
      <c r="E171" s="45"/>
      <c r="F171" s="45"/>
      <c r="G171" s="45"/>
      <c r="H171" s="8" t="s">
        <v>574</v>
      </c>
      <c r="I171" s="18">
        <v>6</v>
      </c>
      <c r="J171" s="18">
        <v>90</v>
      </c>
      <c r="K171" s="20"/>
      <c r="L171" s="6">
        <v>1</v>
      </c>
      <c r="M171" s="26">
        <f>2296.03*(1-P3/100)</f>
        <v>2296.03</v>
      </c>
      <c r="N171" s="15"/>
      <c r="O171" s="19">
        <f>M171*N171</f>
        <v>0</v>
      </c>
      <c r="P171" s="22">
        <f>1.646*N171</f>
        <v>0</v>
      </c>
      <c r="Q171" s="31">
        <f>0.03317*N171</f>
        <v>0</v>
      </c>
      <c r="R171" s="32" t="s">
        <v>34</v>
      </c>
      <c r="S171" s="7"/>
      <c r="T171" s="7" t="str">
        <f>HYPERLINK("https://redcat-toys.ru/api/getInfo/item/c7c0b782-22ad-11ed-a216-ac1f6b442185")</f>
        <v>https://redcat-toys.ru/api/getInfo/item/c7c0b782-22ad-11ed-a216-ac1f6b442185</v>
      </c>
      <c r="U171" s="33"/>
    </row>
    <row r="172" spans="2:21" ht="96" customHeight="1" outlineLevel="4">
      <c r="B172" s="9">
        <v>4976</v>
      </c>
      <c r="C172" s="7" t="s">
        <v>575</v>
      </c>
      <c r="D172" s="45" t="s">
        <v>576</v>
      </c>
      <c r="E172" s="45"/>
      <c r="F172" s="45"/>
      <c r="G172" s="45"/>
      <c r="H172" s="8" t="s">
        <v>577</v>
      </c>
      <c r="I172" s="18">
        <v>6</v>
      </c>
      <c r="J172" s="18">
        <v>89</v>
      </c>
      <c r="K172" s="20"/>
      <c r="L172" s="6">
        <v>1</v>
      </c>
      <c r="M172" s="26">
        <f>2433.43*(1-P3/100)</f>
        <v>2433.43</v>
      </c>
      <c r="N172" s="15"/>
      <c r="O172" s="19">
        <f>M172*N172</f>
        <v>0</v>
      </c>
      <c r="P172" s="35">
        <f>2.1*N172</f>
        <v>0</v>
      </c>
      <c r="Q172" s="31">
        <f>0.04333*N172</f>
        <v>0</v>
      </c>
      <c r="R172" s="32" t="s">
        <v>34</v>
      </c>
      <c r="S172" s="7"/>
      <c r="T172" s="7" t="str">
        <f>HYPERLINK("https://redcat-toys.ru/api/getInfo/item/681b1789-22ae-11ed-a216-ac1f6b442185")</f>
        <v>https://redcat-toys.ru/api/getInfo/item/681b1789-22ae-11ed-a216-ac1f6b442185</v>
      </c>
      <c r="U172" s="33"/>
    </row>
    <row r="173" spans="2:21" ht="96" customHeight="1" outlineLevel="5">
      <c r="B173" s="9">
        <v>5015</v>
      </c>
      <c r="C173" s="7" t="s">
        <v>578</v>
      </c>
      <c r="D173" s="45" t="s">
        <v>579</v>
      </c>
      <c r="E173" s="45"/>
      <c r="F173" s="45"/>
      <c r="G173" s="45"/>
      <c r="H173" s="8" t="s">
        <v>580</v>
      </c>
      <c r="I173" s="18">
        <v>36</v>
      </c>
      <c r="J173" s="18">
        <v>53</v>
      </c>
      <c r="K173" s="20"/>
      <c r="L173" s="6">
        <v>1</v>
      </c>
      <c r="M173" s="21">
        <f>932.77*(1-P3/100)</f>
        <v>932.77</v>
      </c>
      <c r="N173" s="15"/>
      <c r="O173" s="19">
        <f>M173*N173</f>
        <v>0</v>
      </c>
      <c r="P173" s="22">
        <f>0.658*N173</f>
        <v>0</v>
      </c>
      <c r="Q173" s="31">
        <f>0.00711*N173</f>
        <v>0</v>
      </c>
      <c r="R173" s="32" t="s">
        <v>34</v>
      </c>
      <c r="S173" s="7"/>
      <c r="T173" s="7" t="str">
        <f>HYPERLINK("https://redcat-toys.ru/api/getInfo/item/94490c4b-f6d4-11ec-a213-ac1f6b442185")</f>
        <v>https://redcat-toys.ru/api/getInfo/item/94490c4b-f6d4-11ec-a213-ac1f6b442185</v>
      </c>
      <c r="U173" s="33"/>
    </row>
    <row r="174" spans="2:21" ht="96" customHeight="1" outlineLevel="5">
      <c r="B174" s="9">
        <v>5018</v>
      </c>
      <c r="C174" s="7" t="s">
        <v>581</v>
      </c>
      <c r="D174" s="45" t="s">
        <v>582</v>
      </c>
      <c r="E174" s="45"/>
      <c r="F174" s="45"/>
      <c r="G174" s="45"/>
      <c r="H174" s="8" t="s">
        <v>583</v>
      </c>
      <c r="I174" s="18">
        <v>24</v>
      </c>
      <c r="J174" s="18">
        <v>34</v>
      </c>
      <c r="K174" s="20"/>
      <c r="L174" s="6">
        <v>1</v>
      </c>
      <c r="M174" s="26">
        <f>1289.61*(1-P3/100)</f>
        <v>1289.61</v>
      </c>
      <c r="N174" s="15"/>
      <c r="O174" s="19">
        <f>M174*N174</f>
        <v>0</v>
      </c>
      <c r="P174" s="22">
        <f>0.928*N174</f>
        <v>0</v>
      </c>
      <c r="Q174" s="31">
        <f>0.01217*N174</f>
        <v>0</v>
      </c>
      <c r="R174" s="32" t="s">
        <v>34</v>
      </c>
      <c r="S174" s="7"/>
      <c r="T174" s="7" t="str">
        <f>HYPERLINK("https://redcat-toys.ru/api/getInfo/item/b3820e3b-f6d3-11ec-a213-ac1f6b442185")</f>
        <v>https://redcat-toys.ru/api/getInfo/item/b3820e3b-f6d3-11ec-a213-ac1f6b442185</v>
      </c>
      <c r="U174" s="33"/>
    </row>
    <row r="175" spans="2:21" ht="96" customHeight="1" outlineLevel="5">
      <c r="B175" s="9">
        <v>5033</v>
      </c>
      <c r="C175" s="7" t="s">
        <v>584</v>
      </c>
      <c r="D175" s="45" t="s">
        <v>585</v>
      </c>
      <c r="E175" s="45"/>
      <c r="F175" s="45"/>
      <c r="G175" s="45"/>
      <c r="H175" s="8" t="s">
        <v>586</v>
      </c>
      <c r="I175" s="18">
        <v>12</v>
      </c>
      <c r="J175" s="18">
        <v>25</v>
      </c>
      <c r="K175" s="20"/>
      <c r="L175" s="6">
        <v>1</v>
      </c>
      <c r="M175" s="26">
        <f>1806.46*(1-P3/100)</f>
        <v>1806.46</v>
      </c>
      <c r="N175" s="15"/>
      <c r="O175" s="19">
        <f>M175*N175</f>
        <v>0</v>
      </c>
      <c r="P175" s="22">
        <f>1.579*N175</f>
        <v>0</v>
      </c>
      <c r="Q175" s="31">
        <f>0.03508*N175</f>
        <v>0</v>
      </c>
      <c r="R175" s="32" t="s">
        <v>34</v>
      </c>
      <c r="S175" s="7"/>
      <c r="T175" s="7" t="str">
        <f>HYPERLINK("https://redcat-toys.ru/api/getInfo/item/0e72ad33-f6e7-11ec-a213-ac1f6b442185")</f>
        <v>https://redcat-toys.ru/api/getInfo/item/0e72ad33-f6e7-11ec-a213-ac1f6b442185</v>
      </c>
      <c r="U175" s="33"/>
    </row>
    <row r="176" spans="2:21" ht="96" customHeight="1" outlineLevel="5">
      <c r="B176" s="9">
        <v>5057</v>
      </c>
      <c r="C176" s="7" t="s">
        <v>587</v>
      </c>
      <c r="D176" s="45" t="s">
        <v>588</v>
      </c>
      <c r="E176" s="45"/>
      <c r="F176" s="45"/>
      <c r="G176" s="45"/>
      <c r="H176" s="8" t="s">
        <v>589</v>
      </c>
      <c r="I176" s="18">
        <v>18</v>
      </c>
      <c r="J176" s="18">
        <v>80</v>
      </c>
      <c r="K176" s="20"/>
      <c r="L176" s="6">
        <v>1</v>
      </c>
      <c r="M176" s="21">
        <f>833.99*(1-P3/100)</f>
        <v>833.99</v>
      </c>
      <c r="N176" s="15"/>
      <c r="O176" s="19">
        <f>M176*N176</f>
        <v>0</v>
      </c>
      <c r="P176" s="22">
        <f>0.544*N176</f>
        <v>0</v>
      </c>
      <c r="Q176" s="31">
        <f>0.00322*N176</f>
        <v>0</v>
      </c>
      <c r="R176" s="32" t="s">
        <v>34</v>
      </c>
      <c r="S176" s="7"/>
      <c r="T176" s="7" t="str">
        <f>HYPERLINK("https://redcat-toys.ru/api/getInfo/item/ffe87402-0af3-11ec-a20e-ac1f6b442185")</f>
        <v>https://redcat-toys.ru/api/getInfo/item/ffe87402-0af3-11ec-a20e-ac1f6b442185</v>
      </c>
      <c r="U176" s="33"/>
    </row>
    <row r="177" spans="2:21" ht="96" customHeight="1" outlineLevel="3">
      <c r="B177" s="9">
        <v>5177</v>
      </c>
      <c r="C177" s="7" t="s">
        <v>590</v>
      </c>
      <c r="D177" s="45" t="s">
        <v>591</v>
      </c>
      <c r="E177" s="45"/>
      <c r="F177" s="45"/>
      <c r="G177" s="45"/>
      <c r="H177" s="8" t="s">
        <v>592</v>
      </c>
      <c r="I177" s="18">
        <v>12</v>
      </c>
      <c r="J177" s="18">
        <v>33</v>
      </c>
      <c r="K177" s="20"/>
      <c r="L177" s="6">
        <v>1</v>
      </c>
      <c r="M177" s="26">
        <f>1237.49*(1-P3/100)</f>
        <v>1237.49</v>
      </c>
      <c r="N177" s="15"/>
      <c r="O177" s="19">
        <f>M177*N177</f>
        <v>0</v>
      </c>
      <c r="P177" s="22">
        <f>0.996*N177</f>
        <v>0</v>
      </c>
      <c r="Q177" s="31">
        <f>0.00392*N177</f>
        <v>0</v>
      </c>
      <c r="R177" s="32" t="s">
        <v>34</v>
      </c>
      <c r="S177" s="7"/>
      <c r="T177" s="7" t="str">
        <f>HYPERLINK("https://redcat-toys.ru/api/getInfo/item/d9c334d2-feb3-11ec-a213-ac1f6b442185")</f>
        <v>https://redcat-toys.ru/api/getInfo/item/d9c334d2-feb3-11ec-a213-ac1f6b442185</v>
      </c>
      <c r="U177" s="33"/>
    </row>
    <row r="178" spans="2:20" ht="96" customHeight="1" outlineLevel="3">
      <c r="B178" s="10">
        <v>5218</v>
      </c>
      <c r="C178" s="4" t="s">
        <v>593</v>
      </c>
      <c r="D178" s="44" t="s">
        <v>594</v>
      </c>
      <c r="E178" s="44"/>
      <c r="F178" s="44"/>
      <c r="G178" s="44"/>
      <c r="H178" s="5" t="s">
        <v>595</v>
      </c>
      <c r="I178" s="12">
        <v>64</v>
      </c>
      <c r="J178" s="12">
        <v>56</v>
      </c>
      <c r="K178" s="13"/>
      <c r="L178" s="3">
        <v>1</v>
      </c>
      <c r="M178" s="14">
        <f>155.12*(1-P3/100)</f>
        <v>155.12</v>
      </c>
      <c r="N178" s="15"/>
      <c r="O178" s="16">
        <f>M178*N178</f>
        <v>0</v>
      </c>
      <c r="P178" s="17">
        <f>0.073*N178</f>
        <v>0</v>
      </c>
      <c r="Q178" s="28">
        <f>0.00072*N178</f>
        <v>0</v>
      </c>
      <c r="R178" s="29"/>
      <c r="S178" s="4"/>
      <c r="T178" s="4" t="str">
        <f>HYPERLINK("https://redcat-toys.ru/api/getInfo/item/b4b39f0c-852e-11ea-a247-ac1f6b442184")</f>
        <v>https://redcat-toys.ru/api/getInfo/item/b4b39f0c-852e-11ea-a247-ac1f6b442184</v>
      </c>
    </row>
    <row r="179" spans="2:20" ht="96" customHeight="1" outlineLevel="3">
      <c r="B179" s="10">
        <v>5242</v>
      </c>
      <c r="C179" s="4" t="s">
        <v>596</v>
      </c>
      <c r="D179" s="44" t="s">
        <v>597</v>
      </c>
      <c r="E179" s="44"/>
      <c r="F179" s="44"/>
      <c r="G179" s="44"/>
      <c r="H179" s="5" t="s">
        <v>598</v>
      </c>
      <c r="I179" s="12">
        <v>16</v>
      </c>
      <c r="J179" s="12">
        <v>67</v>
      </c>
      <c r="K179" s="13"/>
      <c r="L179" s="3">
        <v>1</v>
      </c>
      <c r="M179" s="14">
        <f>784.34*(1-P3/100)</f>
        <v>784.34</v>
      </c>
      <c r="N179" s="15"/>
      <c r="O179" s="16">
        <f>M179*N179</f>
        <v>0</v>
      </c>
      <c r="P179" s="17">
        <f>0.473*N179</f>
        <v>0</v>
      </c>
      <c r="Q179" s="28">
        <f>0.00713*N179</f>
        <v>0</v>
      </c>
      <c r="R179" s="29"/>
      <c r="S179" s="4"/>
      <c r="T179" s="4" t="str">
        <f>HYPERLINK("https://redcat-toys.ru/api/getInfo/item/495aa311-c67f-11ea-a249-ac1f6b442184")</f>
        <v>https://redcat-toys.ru/api/getInfo/item/495aa311-c67f-11ea-a249-ac1f6b442184</v>
      </c>
    </row>
    <row r="180" spans="2:20" ht="96" customHeight="1" outlineLevel="3">
      <c r="B180" s="10">
        <v>5284</v>
      </c>
      <c r="C180" s="4" t="s">
        <v>599</v>
      </c>
      <c r="D180" s="44" t="s">
        <v>600</v>
      </c>
      <c r="E180" s="44"/>
      <c r="F180" s="44"/>
      <c r="G180" s="44"/>
      <c r="H180" s="5" t="s">
        <v>601</v>
      </c>
      <c r="I180" s="12">
        <v>72</v>
      </c>
      <c r="J180" s="12">
        <v>273</v>
      </c>
      <c r="K180" s="13"/>
      <c r="L180" s="3">
        <v>1</v>
      </c>
      <c r="M180" s="14">
        <f>308.22*(1-P3/100)</f>
        <v>308.22</v>
      </c>
      <c r="N180" s="15"/>
      <c r="O180" s="16">
        <f>M180*N180</f>
        <v>0</v>
      </c>
      <c r="P180" s="17">
        <f>0.194*N180</f>
        <v>0</v>
      </c>
      <c r="Q180" s="28">
        <f>0.00182*N180</f>
        <v>0</v>
      </c>
      <c r="R180" s="29"/>
      <c r="S180" s="4"/>
      <c r="T180" s="4" t="str">
        <f>HYPERLINK("https://redcat-toys.ru/api/getInfo/item/7a8cbe4e-dc98-11e9-a234-ac1f6b442184")</f>
        <v>https://redcat-toys.ru/api/getInfo/item/7a8cbe4e-dc98-11e9-a234-ac1f6b442184</v>
      </c>
    </row>
    <row r="181" spans="2:21" ht="96" customHeight="1" outlineLevel="3">
      <c r="B181" s="9">
        <v>5436</v>
      </c>
      <c r="C181" s="7" t="s">
        <v>602</v>
      </c>
      <c r="D181" s="45" t="s">
        <v>603</v>
      </c>
      <c r="E181" s="45"/>
      <c r="F181" s="45"/>
      <c r="G181" s="45"/>
      <c r="H181" s="8" t="s">
        <v>604</v>
      </c>
      <c r="I181" s="18">
        <v>60</v>
      </c>
      <c r="J181" s="18">
        <v>13</v>
      </c>
      <c r="K181" s="20"/>
      <c r="L181" s="6">
        <v>1</v>
      </c>
      <c r="M181" s="21">
        <f>336.19*(1-P3/100)</f>
        <v>336.19</v>
      </c>
      <c r="N181" s="15"/>
      <c r="O181" s="19">
        <f>M181*N181</f>
        <v>0</v>
      </c>
      <c r="P181" s="22">
        <f>0.258*N181</f>
        <v>0</v>
      </c>
      <c r="Q181" s="31">
        <f>0.00102*N181</f>
        <v>0</v>
      </c>
      <c r="R181" s="32" t="s">
        <v>34</v>
      </c>
      <c r="S181" s="7"/>
      <c r="T181" s="7" t="str">
        <f>HYPERLINK("https://redcat-toys.ru/api/getInfo/item/f5e78cb0-387f-11ec-a20f-ac1f6b442185")</f>
        <v>https://redcat-toys.ru/api/getInfo/item/f5e78cb0-387f-11ec-a20f-ac1f6b442185</v>
      </c>
      <c r="U181" s="33"/>
    </row>
    <row r="182" spans="2:21" ht="96" customHeight="1" outlineLevel="3">
      <c r="B182" s="9">
        <v>5482</v>
      </c>
      <c r="C182" s="7" t="s">
        <v>605</v>
      </c>
      <c r="D182" s="45" t="s">
        <v>606</v>
      </c>
      <c r="E182" s="45"/>
      <c r="F182" s="45"/>
      <c r="G182" s="45"/>
      <c r="H182" s="8" t="s">
        <v>607</v>
      </c>
      <c r="I182" s="18">
        <v>192</v>
      </c>
      <c r="J182" s="19" t="s">
        <v>33</v>
      </c>
      <c r="K182" s="20"/>
      <c r="L182" s="6">
        <v>1</v>
      </c>
      <c r="M182" s="21">
        <f>219.52*(1-P3/100)</f>
        <v>219.52</v>
      </c>
      <c r="N182" s="15"/>
      <c r="O182" s="19">
        <f>M182*N182</f>
        <v>0</v>
      </c>
      <c r="P182" s="23">
        <f>0.12*N182</f>
        <v>0</v>
      </c>
      <c r="Q182" s="31">
        <f>0.00056*N182</f>
        <v>0</v>
      </c>
      <c r="R182" s="32" t="s">
        <v>34</v>
      </c>
      <c r="S182" s="7"/>
      <c r="T182" s="7" t="str">
        <f>HYPERLINK("https://redcat-toys.ru/api/getInfo/item/e2cfd00a-9874-11ec-a211-ac1f6b442185")</f>
        <v>https://redcat-toys.ru/api/getInfo/item/e2cfd00a-9874-11ec-a211-ac1f6b442185</v>
      </c>
      <c r="U182" s="33"/>
    </row>
    <row r="183" spans="2:21" ht="96" customHeight="1" outlineLevel="5">
      <c r="B183" s="9">
        <v>5492</v>
      </c>
      <c r="C183" s="7" t="s">
        <v>608</v>
      </c>
      <c r="D183" s="45" t="s">
        <v>609</v>
      </c>
      <c r="E183" s="45"/>
      <c r="F183" s="45"/>
      <c r="G183" s="45"/>
      <c r="H183" s="8" t="s">
        <v>610</v>
      </c>
      <c r="I183" s="18">
        <v>36</v>
      </c>
      <c r="J183" s="19" t="s">
        <v>33</v>
      </c>
      <c r="K183" s="20"/>
      <c r="L183" s="6">
        <v>1</v>
      </c>
      <c r="M183" s="21">
        <f>645.98*(1-P3/100)</f>
        <v>645.98</v>
      </c>
      <c r="N183" s="15"/>
      <c r="O183" s="19">
        <f>M183*N183</f>
        <v>0</v>
      </c>
      <c r="P183" s="22">
        <f>0.161*N183</f>
        <v>0</v>
      </c>
      <c r="Q183" s="31">
        <f>0.00122*N183</f>
        <v>0</v>
      </c>
      <c r="R183" s="32" t="s">
        <v>34</v>
      </c>
      <c r="S183" s="7"/>
      <c r="T183" s="7" t="str">
        <f>HYPERLINK("https://redcat-toys.ru/api/getInfo/item/2b311019-041c-11ed-a213-ac1f6b442185")</f>
        <v>https://redcat-toys.ru/api/getInfo/item/2b311019-041c-11ed-a213-ac1f6b442185</v>
      </c>
      <c r="U183" s="33"/>
    </row>
    <row r="184" spans="2:21" ht="96" customHeight="1" outlineLevel="6">
      <c r="B184" s="9">
        <v>5564</v>
      </c>
      <c r="C184" s="7" t="s">
        <v>611</v>
      </c>
      <c r="D184" s="45" t="s">
        <v>612</v>
      </c>
      <c r="E184" s="45"/>
      <c r="F184" s="45"/>
      <c r="G184" s="45"/>
      <c r="H184" s="8" t="s">
        <v>613</v>
      </c>
      <c r="I184" s="18">
        <v>72</v>
      </c>
      <c r="J184" s="19" t="s">
        <v>33</v>
      </c>
      <c r="K184" s="20"/>
      <c r="L184" s="6">
        <v>1</v>
      </c>
      <c r="M184" s="21">
        <f>167.57*(1-P3/100)</f>
        <v>167.57</v>
      </c>
      <c r="N184" s="15"/>
      <c r="O184" s="19">
        <f>M184*N184</f>
        <v>0</v>
      </c>
      <c r="P184" s="22">
        <f>0.108*N184</f>
        <v>0</v>
      </c>
      <c r="Q184" s="31">
        <f>0.00156*N184</f>
        <v>0</v>
      </c>
      <c r="R184" s="32" t="s">
        <v>34</v>
      </c>
      <c r="S184" s="7"/>
      <c r="T184" s="7" t="str">
        <f>HYPERLINK("https://redcat-toys.ru/api/getInfo/item/63a480bf-d5ea-11ec-a213-ac1f6b442185")</f>
        <v>https://redcat-toys.ru/api/getInfo/item/63a480bf-d5ea-11ec-a213-ac1f6b442185</v>
      </c>
      <c r="U184" s="33"/>
    </row>
    <row r="185" spans="2:21" ht="96" customHeight="1" outlineLevel="6">
      <c r="B185" s="9">
        <v>5598</v>
      </c>
      <c r="C185" s="7" t="s">
        <v>614</v>
      </c>
      <c r="D185" s="45" t="s">
        <v>615</v>
      </c>
      <c r="E185" s="45"/>
      <c r="F185" s="45"/>
      <c r="G185" s="45"/>
      <c r="H185" s="8" t="s">
        <v>616</v>
      </c>
      <c r="I185" s="18">
        <v>20</v>
      </c>
      <c r="J185" s="19" t="s">
        <v>33</v>
      </c>
      <c r="K185" s="20"/>
      <c r="L185" s="6">
        <v>1</v>
      </c>
      <c r="M185" s="21">
        <f>241.99*(1-P3/100)</f>
        <v>241.99</v>
      </c>
      <c r="N185" s="15"/>
      <c r="O185" s="19">
        <f>M185*N185</f>
        <v>0</v>
      </c>
      <c r="P185" s="22">
        <f>0.123*N185</f>
        <v>0</v>
      </c>
      <c r="Q185" s="31">
        <f>0.00055*N185</f>
        <v>0</v>
      </c>
      <c r="R185" s="32" t="s">
        <v>34</v>
      </c>
      <c r="S185" s="7"/>
      <c r="T185" s="7" t="str">
        <f>HYPERLINK("https://redcat-toys.ru/api/getInfo/item/06899404-cddf-11eb-a209-ac1f6b442185")</f>
        <v>https://redcat-toys.ru/api/getInfo/item/06899404-cddf-11eb-a209-ac1f6b442185</v>
      </c>
      <c r="U185" s="33"/>
    </row>
    <row r="186" spans="2:21" s="55" customFormat="1" ht="96" customHeight="1" outlineLevel="5">
      <c r="B186" s="56">
        <v>1353</v>
      </c>
      <c r="C186" s="57" t="s">
        <v>174</v>
      </c>
      <c r="D186" s="58" t="s">
        <v>175</v>
      </c>
      <c r="E186" s="58"/>
      <c r="F186" s="58"/>
      <c r="G186" s="58"/>
      <c r="H186" s="59" t="s">
        <v>176</v>
      </c>
      <c r="I186" s="60">
        <v>1</v>
      </c>
      <c r="J186" s="60">
        <v>205</v>
      </c>
      <c r="K186" s="61"/>
      <c r="L186" s="62">
        <v>1</v>
      </c>
      <c r="M186" s="63">
        <v>284.2857142857143</v>
      </c>
      <c r="N186" s="64"/>
      <c r="O186" s="65">
        <v>0</v>
      </c>
      <c r="P186" s="66">
        <v>0</v>
      </c>
      <c r="Q186" s="67">
        <v>0</v>
      </c>
      <c r="R186" s="68"/>
      <c r="S186" s="57" t="s">
        <v>177</v>
      </c>
      <c r="T186" s="57" t="s">
        <v>617</v>
      </c>
      <c r="U186" s="69" t="s">
        <v>178</v>
      </c>
    </row>
    <row r="187" spans="2:21" s="55" customFormat="1" ht="96" customHeight="1" outlineLevel="5">
      <c r="B187" s="56">
        <v>1357</v>
      </c>
      <c r="C187" s="57" t="s">
        <v>179</v>
      </c>
      <c r="D187" s="58" t="s">
        <v>180</v>
      </c>
      <c r="E187" s="58"/>
      <c r="F187" s="58"/>
      <c r="G187" s="58"/>
      <c r="H187" s="59" t="s">
        <v>181</v>
      </c>
      <c r="I187" s="60">
        <v>1</v>
      </c>
      <c r="J187" s="60">
        <v>329</v>
      </c>
      <c r="K187" s="61"/>
      <c r="L187" s="62">
        <v>1</v>
      </c>
      <c r="M187" s="63">
        <v>600</v>
      </c>
      <c r="N187" s="64"/>
      <c r="O187" s="65">
        <v>0</v>
      </c>
      <c r="P187" s="67">
        <v>0</v>
      </c>
      <c r="Q187" s="70">
        <v>0</v>
      </c>
      <c r="R187" s="68"/>
      <c r="S187" s="57" t="s">
        <v>177</v>
      </c>
      <c r="T187" s="57" t="s">
        <v>618</v>
      </c>
      <c r="U187" s="69" t="s">
        <v>178</v>
      </c>
    </row>
    <row r="188" spans="2:21" s="55" customFormat="1" ht="96" customHeight="1" outlineLevel="4">
      <c r="B188" s="56">
        <v>1363</v>
      </c>
      <c r="C188" s="57" t="s">
        <v>182</v>
      </c>
      <c r="D188" s="58" t="s">
        <v>183</v>
      </c>
      <c r="E188" s="58"/>
      <c r="F188" s="58"/>
      <c r="G188" s="58"/>
      <c r="H188" s="59" t="s">
        <v>184</v>
      </c>
      <c r="I188" s="60">
        <v>14</v>
      </c>
      <c r="J188" s="65" t="s">
        <v>33</v>
      </c>
      <c r="K188" s="61"/>
      <c r="L188" s="62">
        <v>1</v>
      </c>
      <c r="M188" s="63">
        <v>357.14285714285717</v>
      </c>
      <c r="N188" s="64"/>
      <c r="O188" s="65">
        <v>0</v>
      </c>
      <c r="P188" s="67">
        <v>0</v>
      </c>
      <c r="Q188" s="70">
        <v>0</v>
      </c>
      <c r="R188" s="68"/>
      <c r="S188" s="57"/>
      <c r="T188" s="57" t="s">
        <v>619</v>
      </c>
      <c r="U188" s="69" t="s">
        <v>178</v>
      </c>
    </row>
    <row r="189" spans="2:21" s="55" customFormat="1" ht="96" customHeight="1" outlineLevel="5">
      <c r="B189" s="56">
        <v>2512</v>
      </c>
      <c r="C189" s="57" t="s">
        <v>411</v>
      </c>
      <c r="D189" s="58" t="s">
        <v>412</v>
      </c>
      <c r="E189" s="58"/>
      <c r="F189" s="58"/>
      <c r="G189" s="58"/>
      <c r="H189" s="59" t="s">
        <v>413</v>
      </c>
      <c r="I189" s="60">
        <v>20</v>
      </c>
      <c r="J189" s="60">
        <v>408</v>
      </c>
      <c r="K189" s="61"/>
      <c r="L189" s="62">
        <v>1</v>
      </c>
      <c r="M189" s="63">
        <v>176.71428571428572</v>
      </c>
      <c r="N189" s="64"/>
      <c r="O189" s="65">
        <v>0</v>
      </c>
      <c r="P189" s="67">
        <v>0</v>
      </c>
      <c r="Q189" s="70">
        <v>0</v>
      </c>
      <c r="R189" s="68"/>
      <c r="S189" s="57"/>
      <c r="T189" s="57" t="s">
        <v>620</v>
      </c>
      <c r="U189" s="69" t="s">
        <v>178</v>
      </c>
    </row>
    <row r="190" spans="2:21" s="55" customFormat="1" ht="96" customHeight="1" outlineLevel="6">
      <c r="B190" s="56">
        <v>2986</v>
      </c>
      <c r="C190" s="57" t="s">
        <v>472</v>
      </c>
      <c r="D190" s="58" t="s">
        <v>473</v>
      </c>
      <c r="E190" s="58"/>
      <c r="F190" s="58"/>
      <c r="G190" s="58"/>
      <c r="H190" s="59" t="s">
        <v>474</v>
      </c>
      <c r="I190" s="60">
        <v>30</v>
      </c>
      <c r="J190" s="60">
        <v>120</v>
      </c>
      <c r="K190" s="61"/>
      <c r="L190" s="62">
        <v>1</v>
      </c>
      <c r="M190" s="63">
        <v>311.27142857142854</v>
      </c>
      <c r="N190" s="64"/>
      <c r="O190" s="65">
        <v>0</v>
      </c>
      <c r="P190" s="67">
        <v>0</v>
      </c>
      <c r="Q190" s="70">
        <v>0</v>
      </c>
      <c r="R190" s="68"/>
      <c r="S190" s="57"/>
      <c r="T190" s="57" t="s">
        <v>621</v>
      </c>
      <c r="U190" s="69" t="s">
        <v>475</v>
      </c>
    </row>
    <row r="191" spans="2:21" s="55" customFormat="1" ht="96" customHeight="1" outlineLevel="6">
      <c r="B191" s="56">
        <v>2990</v>
      </c>
      <c r="C191" s="57" t="s">
        <v>476</v>
      </c>
      <c r="D191" s="58" t="s">
        <v>477</v>
      </c>
      <c r="E191" s="58"/>
      <c r="F191" s="58"/>
      <c r="G191" s="58"/>
      <c r="H191" s="59" t="s">
        <v>478</v>
      </c>
      <c r="I191" s="60">
        <v>30</v>
      </c>
      <c r="J191" s="60">
        <v>219</v>
      </c>
      <c r="K191" s="61"/>
      <c r="L191" s="62">
        <v>1</v>
      </c>
      <c r="M191" s="63">
        <v>199.34285714285716</v>
      </c>
      <c r="N191" s="64"/>
      <c r="O191" s="65">
        <v>0</v>
      </c>
      <c r="P191" s="67">
        <v>0</v>
      </c>
      <c r="Q191" s="70">
        <v>0</v>
      </c>
      <c r="R191" s="68"/>
      <c r="S191" s="57"/>
      <c r="T191" s="57" t="s">
        <v>622</v>
      </c>
      <c r="U191" s="69" t="s">
        <v>475</v>
      </c>
    </row>
    <row r="192" spans="2:21" s="55" customFormat="1" ht="96" customHeight="1" outlineLevel="6">
      <c r="B192" s="56">
        <v>2992</v>
      </c>
      <c r="C192" s="57" t="s">
        <v>479</v>
      </c>
      <c r="D192" s="58" t="s">
        <v>480</v>
      </c>
      <c r="E192" s="58"/>
      <c r="F192" s="58"/>
      <c r="G192" s="58"/>
      <c r="H192" s="59" t="s">
        <v>481</v>
      </c>
      <c r="I192" s="60">
        <v>30</v>
      </c>
      <c r="J192" s="60">
        <v>191</v>
      </c>
      <c r="K192" s="61"/>
      <c r="L192" s="62">
        <v>1</v>
      </c>
      <c r="M192" s="63">
        <v>199.34285714285716</v>
      </c>
      <c r="N192" s="64"/>
      <c r="O192" s="65">
        <v>0</v>
      </c>
      <c r="P192" s="67">
        <v>0</v>
      </c>
      <c r="Q192" s="71">
        <v>0</v>
      </c>
      <c r="R192" s="68"/>
      <c r="S192" s="57"/>
      <c r="T192" s="57" t="s">
        <v>623</v>
      </c>
      <c r="U192" s="69" t="s">
        <v>475</v>
      </c>
    </row>
    <row r="193" spans="2:21" s="55" customFormat="1" ht="96" customHeight="1" outlineLevel="6">
      <c r="B193" s="56">
        <v>3020</v>
      </c>
      <c r="C193" s="57" t="s">
        <v>482</v>
      </c>
      <c r="D193" s="58" t="s">
        <v>483</v>
      </c>
      <c r="E193" s="58"/>
      <c r="F193" s="58"/>
      <c r="G193" s="58"/>
      <c r="H193" s="59" t="s">
        <v>484</v>
      </c>
      <c r="I193" s="60">
        <v>30</v>
      </c>
      <c r="J193" s="60">
        <v>20</v>
      </c>
      <c r="K193" s="61"/>
      <c r="L193" s="62">
        <v>1</v>
      </c>
      <c r="M193" s="63">
        <v>349.6</v>
      </c>
      <c r="N193" s="64"/>
      <c r="O193" s="65">
        <v>0</v>
      </c>
      <c r="P193" s="67">
        <v>0</v>
      </c>
      <c r="Q193" s="71">
        <v>0</v>
      </c>
      <c r="R193" s="68"/>
      <c r="S193" s="57"/>
      <c r="T193" s="57" t="s">
        <v>624</v>
      </c>
      <c r="U193" s="69" t="s">
        <v>475</v>
      </c>
    </row>
    <row r="194" spans="2:21" s="55" customFormat="1" ht="96" customHeight="1" outlineLevel="6">
      <c r="B194" s="56">
        <v>3045</v>
      </c>
      <c r="C194" s="57" t="s">
        <v>485</v>
      </c>
      <c r="D194" s="58" t="s">
        <v>486</v>
      </c>
      <c r="E194" s="58"/>
      <c r="F194" s="58"/>
      <c r="G194" s="58"/>
      <c r="H194" s="59" t="s">
        <v>487</v>
      </c>
      <c r="I194" s="60">
        <v>20</v>
      </c>
      <c r="J194" s="60">
        <v>189</v>
      </c>
      <c r="K194" s="61"/>
      <c r="L194" s="62">
        <v>1</v>
      </c>
      <c r="M194" s="63">
        <v>276.50000000000006</v>
      </c>
      <c r="N194" s="64"/>
      <c r="O194" s="65">
        <v>0</v>
      </c>
      <c r="P194" s="67">
        <v>0</v>
      </c>
      <c r="Q194" s="71">
        <v>0</v>
      </c>
      <c r="R194" s="68"/>
      <c r="S194" s="57"/>
      <c r="T194" s="57" t="s">
        <v>625</v>
      </c>
      <c r="U194" s="69" t="s">
        <v>475</v>
      </c>
    </row>
    <row r="195" spans="2:21" s="55" customFormat="1" ht="96" customHeight="1" outlineLevel="6">
      <c r="B195" s="56">
        <v>3098</v>
      </c>
      <c r="C195" s="57" t="s">
        <v>488</v>
      </c>
      <c r="D195" s="58" t="s">
        <v>489</v>
      </c>
      <c r="E195" s="58"/>
      <c r="F195" s="58"/>
      <c r="G195" s="58"/>
      <c r="H195" s="59" t="s">
        <v>490</v>
      </c>
      <c r="I195" s="60">
        <v>20</v>
      </c>
      <c r="J195" s="60">
        <v>106</v>
      </c>
      <c r="K195" s="61"/>
      <c r="L195" s="62">
        <v>1</v>
      </c>
      <c r="M195" s="63">
        <v>399.57142857142856</v>
      </c>
      <c r="N195" s="64"/>
      <c r="O195" s="65">
        <v>0</v>
      </c>
      <c r="P195" s="67">
        <v>0</v>
      </c>
      <c r="Q195" s="70">
        <v>0</v>
      </c>
      <c r="R195" s="68"/>
      <c r="S195" s="57"/>
      <c r="T195" s="57" t="s">
        <v>626</v>
      </c>
      <c r="U195" s="69" t="s">
        <v>475</v>
      </c>
    </row>
    <row r="196" spans="2:21" s="55" customFormat="1" ht="96" customHeight="1" outlineLevel="7">
      <c r="B196" s="56">
        <v>3241</v>
      </c>
      <c r="C196" s="57" t="s">
        <v>491</v>
      </c>
      <c r="D196" s="58" t="s">
        <v>492</v>
      </c>
      <c r="E196" s="58"/>
      <c r="F196" s="58"/>
      <c r="G196" s="58"/>
      <c r="H196" s="59" t="s">
        <v>493</v>
      </c>
      <c r="I196" s="60">
        <v>10</v>
      </c>
      <c r="J196" s="60">
        <v>274</v>
      </c>
      <c r="K196" s="61"/>
      <c r="L196" s="62">
        <v>1</v>
      </c>
      <c r="M196" s="63">
        <v>485.2142857142857</v>
      </c>
      <c r="N196" s="64"/>
      <c r="O196" s="65">
        <v>0</v>
      </c>
      <c r="P196" s="67">
        <v>0</v>
      </c>
      <c r="Q196" s="71">
        <v>0</v>
      </c>
      <c r="R196" s="68"/>
      <c r="S196" s="57"/>
      <c r="T196" s="57" t="s">
        <v>627</v>
      </c>
      <c r="U196" s="69" t="s">
        <v>475</v>
      </c>
    </row>
    <row r="197" spans="2:21" s="55" customFormat="1" ht="96" customHeight="1" outlineLevel="7">
      <c r="B197" s="56">
        <v>3299</v>
      </c>
      <c r="C197" s="57" t="s">
        <v>494</v>
      </c>
      <c r="D197" s="58" t="s">
        <v>495</v>
      </c>
      <c r="E197" s="58"/>
      <c r="F197" s="58"/>
      <c r="G197" s="58"/>
      <c r="H197" s="59" t="s">
        <v>496</v>
      </c>
      <c r="I197" s="60">
        <v>10</v>
      </c>
      <c r="J197" s="60">
        <v>426</v>
      </c>
      <c r="K197" s="61"/>
      <c r="L197" s="62">
        <v>1</v>
      </c>
      <c r="M197" s="63">
        <v>532.7142857142857</v>
      </c>
      <c r="N197" s="64"/>
      <c r="O197" s="65">
        <v>0</v>
      </c>
      <c r="P197" s="67">
        <v>0</v>
      </c>
      <c r="Q197" s="71">
        <v>0</v>
      </c>
      <c r="R197" s="68"/>
      <c r="S197" s="57"/>
      <c r="T197" s="57" t="s">
        <v>628</v>
      </c>
      <c r="U197" s="69" t="s">
        <v>475</v>
      </c>
    </row>
    <row r="198" spans="2:21" s="55" customFormat="1" ht="96" customHeight="1" outlineLevel="7">
      <c r="B198" s="56">
        <v>3368</v>
      </c>
      <c r="C198" s="57" t="s">
        <v>497</v>
      </c>
      <c r="D198" s="58" t="s">
        <v>498</v>
      </c>
      <c r="E198" s="58"/>
      <c r="F198" s="58"/>
      <c r="G198" s="58"/>
      <c r="H198" s="59" t="s">
        <v>499</v>
      </c>
      <c r="I198" s="60">
        <v>10</v>
      </c>
      <c r="J198" s="60">
        <v>196</v>
      </c>
      <c r="K198" s="61"/>
      <c r="L198" s="62">
        <v>1</v>
      </c>
      <c r="M198" s="63">
        <v>570.6</v>
      </c>
      <c r="N198" s="64"/>
      <c r="O198" s="65">
        <v>0</v>
      </c>
      <c r="P198" s="67">
        <v>0</v>
      </c>
      <c r="Q198" s="71">
        <v>0</v>
      </c>
      <c r="R198" s="68" t="s">
        <v>34</v>
      </c>
      <c r="S198" s="57"/>
      <c r="T198" s="57" t="s">
        <v>629</v>
      </c>
      <c r="U198" s="69" t="s">
        <v>475</v>
      </c>
    </row>
    <row r="199" spans="2:21" s="55" customFormat="1" ht="96" customHeight="1" outlineLevel="7">
      <c r="B199" s="56">
        <v>3413</v>
      </c>
      <c r="C199" s="57" t="s">
        <v>500</v>
      </c>
      <c r="D199" s="58" t="s">
        <v>501</v>
      </c>
      <c r="E199" s="58"/>
      <c r="F199" s="58"/>
      <c r="G199" s="58"/>
      <c r="H199" s="59" t="s">
        <v>502</v>
      </c>
      <c r="I199" s="60">
        <v>10</v>
      </c>
      <c r="J199" s="60">
        <v>310</v>
      </c>
      <c r="K199" s="61"/>
      <c r="L199" s="62">
        <v>1</v>
      </c>
      <c r="M199" s="63">
        <v>595.6714285714287</v>
      </c>
      <c r="N199" s="64"/>
      <c r="O199" s="65">
        <v>0</v>
      </c>
      <c r="P199" s="67">
        <v>0</v>
      </c>
      <c r="Q199" s="71">
        <v>0</v>
      </c>
      <c r="R199" s="68"/>
      <c r="S199" s="57"/>
      <c r="T199" s="57" t="s">
        <v>630</v>
      </c>
      <c r="U199" s="69" t="s">
        <v>475</v>
      </c>
    </row>
    <row r="200" spans="2:21" s="55" customFormat="1" ht="96" customHeight="1" outlineLevel="7">
      <c r="B200" s="56">
        <v>3494</v>
      </c>
      <c r="C200" s="57" t="s">
        <v>503</v>
      </c>
      <c r="D200" s="58" t="s">
        <v>504</v>
      </c>
      <c r="E200" s="58"/>
      <c r="F200" s="58"/>
      <c r="G200" s="58"/>
      <c r="H200" s="59" t="s">
        <v>505</v>
      </c>
      <c r="I200" s="60">
        <v>10</v>
      </c>
      <c r="J200" s="60">
        <v>276</v>
      </c>
      <c r="K200" s="61"/>
      <c r="L200" s="62">
        <v>1</v>
      </c>
      <c r="M200" s="63">
        <v>677.2714285714286</v>
      </c>
      <c r="N200" s="64"/>
      <c r="O200" s="65">
        <v>0</v>
      </c>
      <c r="P200" s="67">
        <v>0</v>
      </c>
      <c r="Q200" s="67">
        <v>0</v>
      </c>
      <c r="R200" s="68"/>
      <c r="S200" s="57"/>
      <c r="T200" s="57" t="s">
        <v>631</v>
      </c>
      <c r="U200" s="69" t="s">
        <v>475</v>
      </c>
    </row>
    <row r="201" spans="2:21" s="55" customFormat="1" ht="96" customHeight="1" outlineLevel="6">
      <c r="B201" s="56">
        <v>3584</v>
      </c>
      <c r="C201" s="57" t="s">
        <v>506</v>
      </c>
      <c r="D201" s="58" t="s">
        <v>507</v>
      </c>
      <c r="E201" s="58"/>
      <c r="F201" s="58"/>
      <c r="G201" s="58"/>
      <c r="H201" s="59" t="s">
        <v>508</v>
      </c>
      <c r="I201" s="60">
        <v>20</v>
      </c>
      <c r="J201" s="60">
        <v>233</v>
      </c>
      <c r="K201" s="61"/>
      <c r="L201" s="62">
        <v>1</v>
      </c>
      <c r="M201" s="63">
        <v>427.14285714285717</v>
      </c>
      <c r="N201" s="64"/>
      <c r="O201" s="65">
        <v>0</v>
      </c>
      <c r="P201" s="67">
        <v>0</v>
      </c>
      <c r="Q201" s="67">
        <v>0</v>
      </c>
      <c r="R201" s="68"/>
      <c r="S201" s="57"/>
      <c r="T201" s="57" t="s">
        <v>632</v>
      </c>
      <c r="U201" s="69" t="s">
        <v>178</v>
      </c>
    </row>
    <row r="202" spans="2:21" s="55" customFormat="1" ht="96" customHeight="1" outlineLevel="6">
      <c r="B202" s="56">
        <v>3588</v>
      </c>
      <c r="C202" s="57" t="s">
        <v>509</v>
      </c>
      <c r="D202" s="58" t="s">
        <v>510</v>
      </c>
      <c r="E202" s="58"/>
      <c r="F202" s="58"/>
      <c r="G202" s="58"/>
      <c r="H202" s="59" t="s">
        <v>511</v>
      </c>
      <c r="I202" s="60">
        <v>20</v>
      </c>
      <c r="J202" s="60">
        <v>303</v>
      </c>
      <c r="K202" s="61"/>
      <c r="L202" s="62">
        <v>1</v>
      </c>
      <c r="M202" s="63">
        <v>427.14285714285717</v>
      </c>
      <c r="N202" s="64"/>
      <c r="O202" s="65">
        <v>0</v>
      </c>
      <c r="P202" s="67">
        <v>0</v>
      </c>
      <c r="Q202" s="67">
        <v>0</v>
      </c>
      <c r="R202" s="68"/>
      <c r="S202" s="57"/>
      <c r="T202" s="57" t="s">
        <v>633</v>
      </c>
      <c r="U202" s="69" t="s">
        <v>178</v>
      </c>
    </row>
  </sheetData>
  <sheetProtection/>
  <mergeCells count="215">
    <mergeCell ref="D202:G202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T6:T7"/>
    <mergeCell ref="D6:G7"/>
    <mergeCell ref="D186:G186"/>
    <mergeCell ref="D187:G187"/>
    <mergeCell ref="D188:G188"/>
    <mergeCell ref="D189:G18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D182:G182"/>
    <mergeCell ref="D183:G183"/>
    <mergeCell ref="D184:G184"/>
    <mergeCell ref="D185:G185"/>
    <mergeCell ref="B6:B7"/>
    <mergeCell ref="C6:C7"/>
    <mergeCell ref="D176:G176"/>
    <mergeCell ref="D177:G177"/>
    <mergeCell ref="D178:G178"/>
    <mergeCell ref="D179:G179"/>
    <mergeCell ref="D180:G180"/>
    <mergeCell ref="D181:G181"/>
    <mergeCell ref="D170:G170"/>
    <mergeCell ref="D171:G171"/>
    <mergeCell ref="D172:G172"/>
    <mergeCell ref="D173:G173"/>
    <mergeCell ref="D174:G174"/>
    <mergeCell ref="D175:G175"/>
    <mergeCell ref="D164:G164"/>
    <mergeCell ref="D165:G165"/>
    <mergeCell ref="D166:G166"/>
    <mergeCell ref="D167:G167"/>
    <mergeCell ref="D168:G168"/>
    <mergeCell ref="D169:G169"/>
    <mergeCell ref="D158:G158"/>
    <mergeCell ref="D159:G159"/>
    <mergeCell ref="D160:G160"/>
    <mergeCell ref="D161:G161"/>
    <mergeCell ref="D162:G162"/>
    <mergeCell ref="D163:G163"/>
    <mergeCell ref="D152:G152"/>
    <mergeCell ref="D153:G153"/>
    <mergeCell ref="D154:G154"/>
    <mergeCell ref="D155:G155"/>
    <mergeCell ref="D156:G156"/>
    <mergeCell ref="D157:G157"/>
    <mergeCell ref="D151:G151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46:G146"/>
    <mergeCell ref="D135:G135"/>
    <mergeCell ref="D136:G136"/>
    <mergeCell ref="D137:G137"/>
    <mergeCell ref="D138:G138"/>
    <mergeCell ref="D139:G139"/>
    <mergeCell ref="D140:G140"/>
    <mergeCell ref="D130:G130"/>
    <mergeCell ref="D131:G131"/>
    <mergeCell ref="D132:G132"/>
    <mergeCell ref="D133:G133"/>
    <mergeCell ref="D134:G134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61:G61"/>
    <mergeCell ref="D62:G62"/>
    <mergeCell ref="D63:G63"/>
    <mergeCell ref="D55:G55"/>
    <mergeCell ref="D56:G56"/>
    <mergeCell ref="D57:G57"/>
    <mergeCell ref="D58:G58"/>
    <mergeCell ref="D59:G59"/>
    <mergeCell ref="D60:G60"/>
    <mergeCell ref="D49:G49"/>
    <mergeCell ref="D50:G50"/>
    <mergeCell ref="D51:G51"/>
    <mergeCell ref="D52:G52"/>
    <mergeCell ref="D53:G53"/>
    <mergeCell ref="D54:G54"/>
    <mergeCell ref="D43:G43"/>
    <mergeCell ref="D44:G44"/>
    <mergeCell ref="D45:G45"/>
    <mergeCell ref="D46:G46"/>
    <mergeCell ref="D47:G47"/>
    <mergeCell ref="D48:G48"/>
    <mergeCell ref="D37:G37"/>
    <mergeCell ref="D38:G38"/>
    <mergeCell ref="D39:G39"/>
    <mergeCell ref="D40:G40"/>
    <mergeCell ref="D41:G41"/>
    <mergeCell ref="D42:G42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D19:G19"/>
    <mergeCell ref="D20:G20"/>
    <mergeCell ref="D21:G21"/>
    <mergeCell ref="D22:G22"/>
    <mergeCell ref="D23:G23"/>
    <mergeCell ref="D24:G24"/>
    <mergeCell ref="D13:G13"/>
    <mergeCell ref="D14:G14"/>
    <mergeCell ref="D15:G15"/>
    <mergeCell ref="D16:G16"/>
    <mergeCell ref="D17:G17"/>
    <mergeCell ref="D18:G18"/>
    <mergeCell ref="B8:G8"/>
    <mergeCell ref="B9:G9"/>
    <mergeCell ref="B10:G10"/>
    <mergeCell ref="B11:G11"/>
    <mergeCell ref="D12:G12"/>
    <mergeCell ref="B3:C3"/>
    <mergeCell ref="D3:G3"/>
    <mergeCell ref="N3:O3"/>
    <mergeCell ref="C4:G4"/>
  </mergeCells>
  <dataValidations count="96">
    <dataValidation type="decimal" allowBlank="1" showErrorMessage="1" errorTitle="Неверно указано Количество" error="минимальное количество для заказа = 1" sqref="N115:N117">
      <formula1>1</formula1>
      <formula2>12</formula2>
    </dataValidation>
    <dataValidation type="decimal" allowBlank="1" showErrorMessage="1" errorTitle="Неверно указано Количество" error="минимальное количество для заказа = 1" sqref="N30 N165">
      <formula1>1</formula1>
      <formula2>54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1" sqref="L12 L14:L17 L20:L25 L27:L48 L59:L61 L67:L77 L79 L81:L84 L86:L89 L92:L93 L99 L101:L104 L109:L121 L129:L130 L134:L141 L143 L146:L150 L152:L202">
      <formula1>1</formula1>
    </dataValidation>
    <dataValidation type="decimal" allowBlank="1" showErrorMessage="1" errorTitle="Неверно указано Количество" error="минимальное количество для заказа = 1" sqref="N12 N121">
      <formula1>1</formula1>
      <formula2>22</formula2>
    </dataValidation>
    <dataValidation type="decimal" allowBlank="1" showErrorMessage="1" errorTitle="Неверно указано Количество" error="минимальное количество для заказа = 1" sqref="N41 N181">
      <formula1>1</formula1>
      <formula2>13</formula2>
    </dataValidation>
    <dataValidation type="decimal" allowBlank="1" showErrorMessage="1" errorTitle="Неверно указано Количество" error="минимальное количество для заказа = 1" sqref="N109">
      <formula1>1</formula1>
      <formula2>59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4" sqref="L18 L58">
      <formula1>4</formula1>
    </dataValidation>
    <dataValidation type="decimal" allowBlank="1" showErrorMessage="1" errorTitle="Неверно указано Количество" error="минимальное количество для заказа = 1" sqref="N147">
      <formula1>1</formula1>
      <formula2>49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3" sqref="L49:L50 L55:L57 L108 L124">
      <formula1>3</formula1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2" sqref="L13 L51:L54 L64:L66 L78 L80 L85 L91 L94:L98 L100 L105:L106 L125:L128 L131:L133 L142 L144:L145 L151">
      <formula1>2</formula1>
    </dataValidation>
    <dataValidation type="decimal" allowBlank="1" showErrorMessage="1" errorTitle="Неверно указано Количество" error="минимальное количество для заказа = 2" sqref="N13">
      <formula1>2</formula1>
      <formula2>326</formula2>
    </dataValidation>
    <dataValidation type="decimal" allowBlank="1" showErrorMessage="1" errorTitle="Неверно указано Количество" error="минимальное количество для заказа = 1" sqref="N37">
      <formula1>1</formula1>
      <formula2>480</formula2>
    </dataValidation>
    <dataValidation type="decimal" allowBlank="1" showErrorMessage="1" errorTitle="Неверно указано Количество" error="минимальное количество для заказа = 6" sqref="N19">
      <formula1>6</formula1>
      <formula2>16</formula2>
    </dataValidation>
    <dataValidation type="decimal" operator="greaterThanOrEqual" allowBlank="1" showErrorMessage="1" errorTitle="Нельзя заказать меньше чем :" error="минимальное количество для заказа = 1" sqref="N14 N33 N35 N38 N42:N44 N47:N48 N59:N61 N68:N77 N79 N81 N83:N84 N86:N89 N99 N101:N104 N112 N114 N129:N130 N134:N141 N143 N146 N152:N153 N155 N182:N185 N188">
      <formula1>1</formula1>
    </dataValidation>
    <dataValidation type="decimal" allowBlank="1" showErrorMessage="1" errorTitle="Неверно указано Количество" error="минимальное количество для заказа = 1" sqref="N17">
      <formula1>1</formula1>
      <formula2>48</formula2>
    </dataValidation>
    <dataValidation type="decimal" allowBlank="1" showErrorMessage="1" errorTitle="Неверно указано Количество" error="минимальное количество для заказа = 1" sqref="N15 N148">
      <formula1>1</formula1>
      <formula2>77</formula2>
    </dataValidation>
    <dataValidation type="decimal" allowBlank="1" showErrorMessage="1" errorTitle="Неверно указано Количество" error="минимальное количество для заказа = 1" sqref="N16">
      <formula1>1</formula1>
      <formula2>57</formula2>
    </dataValidation>
    <dataValidation type="decimal" allowBlank="1" showErrorMessage="1" errorTitle="Неверно указано Количество" error="минимальное количество для заказа = 1" sqref="N171">
      <formula1>1</formula1>
      <formula2>90</formula2>
    </dataValidation>
    <dataValidation type="decimal" allowBlank="1" showErrorMessage="1" errorTitle="Неверно указано Количество" error="минимальное количество для заказа = 4" sqref="N18">
      <formula1>4</formula1>
      <formula2>69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6" sqref="L19 L62">
      <formula1>6</formula1>
    </dataValidation>
    <dataValidation type="decimal" allowBlank="1" showErrorMessage="1" errorTitle="Неверно указано Количество" error="минимальное количество для заказа = 1" sqref="N20 N31">
      <formula1>1</formula1>
      <formula2>21</formula2>
    </dataValidation>
    <dataValidation type="decimal" allowBlank="1" showErrorMessage="1" errorTitle="Неверно указано Количество" error="минимальное количество для заказа = 1" sqref="N21">
      <formula1>1</formula1>
      <formula2>229</formula2>
    </dataValidation>
    <dataValidation type="decimal" allowBlank="1" showErrorMessage="1" errorTitle="Неверно указано Количество" error="минимальное количество для заказа = 5" sqref="N122">
      <formula1>5</formula1>
      <formula2>395</formula2>
    </dataValidation>
    <dataValidation type="decimal" allowBlank="1" showErrorMessage="1" errorTitle="Неверно указано Количество" error="минимальное количество для заказа = 1" sqref="N22 N29">
      <formula1>1</formula1>
      <formula2>14</formula2>
    </dataValidation>
    <dataValidation type="decimal" operator="greaterThanOrEqual" allowBlank="1" showErrorMessage="1" errorTitle="Нельзя заказать меньше чем :" error="минимальное количество для заказа = 2" sqref="N51:N54 N64:N66 N78 N80 N85 N91 N94:N98 N100 N105:N106 N125:N128 N131:N133 N142 N144:N145">
      <formula1>2</formula1>
    </dataValidation>
    <dataValidation type="decimal" operator="greaterThanOrEqual" allowBlank="1" showErrorMessage="1" errorTitle="Нельзя заказать меньше чем :" error="минимальное количество для заказа = 3" sqref="N49:N50 N55:N56">
      <formula1>3</formula1>
    </dataValidation>
    <dataValidation type="decimal" allowBlank="1" showErrorMessage="1" errorTitle="Неверно указано Количество" error="минимальное количество для заказа = 1" sqref="N23">
      <formula1>1</formula1>
      <formula2>88</formula2>
    </dataValidation>
    <dataValidation type="decimal" allowBlank="1" showErrorMessage="1" errorTitle="Неверно указано Количество" error="минимальное количество для заказа = 1" sqref="N24">
      <formula1>1</formula1>
      <formula2>36</formula2>
    </dataValidation>
    <dataValidation type="decimal" allowBlank="1" showErrorMessage="1" errorTitle="Неверно указано Количество" error="минимальное количество для заказа = 1" sqref="N25 N170">
      <formula1>1</formula1>
      <formula2>24</formula2>
    </dataValidation>
    <dataValidation type="decimal" allowBlank="1" showErrorMessage="1" errorTitle="Неверно указано Количество" error="минимальное количество для заказа = 1" sqref="N92">
      <formula1>1</formula1>
      <formula2>27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48" sqref="L26">
      <formula1>48</formula1>
    </dataValidation>
    <dataValidation type="decimal" operator="greaterThanOrEqual" allowBlank="1" showErrorMessage="1" errorTitle="Нельзя заказать меньше чем :" error="минимальное количество для заказа = 48" sqref="N26">
      <formula1>48</formula1>
    </dataValidation>
    <dataValidation type="decimal" allowBlank="1" showErrorMessage="1" errorTitle="Неверно указано Количество" error="минимальное количество для заказа = 1" sqref="N150">
      <formula1>1</formula1>
      <formula2>46</formula2>
    </dataValidation>
    <dataValidation type="decimal" allowBlank="1" showErrorMessage="1" errorTitle="Неверно указано Количество" error="минимальное количество для заказа = 1" sqref="N46">
      <formula1>1</formula1>
      <formula2>38</formula2>
    </dataValidation>
    <dataValidation type="decimal" allowBlank="1" showErrorMessage="1" errorTitle="Неверно указано Количество" error="минимальное количество для заказа = 1" sqref="N27">
      <formula1>1</formula1>
      <formula2>95</formula2>
    </dataValidation>
    <dataValidation type="decimal" operator="greaterThanOrEqual" allowBlank="1" showErrorMessage="1" errorTitle="Нельзя заказать меньше чем :" error="минимальное количество для заказа = 6" sqref="N62">
      <formula1>6</formula1>
    </dataValidation>
    <dataValidation type="decimal" allowBlank="1" showErrorMessage="1" errorTitle="Неверно указано Количество" error="минимальное количество для заказа = 1" sqref="N28">
      <formula1>1</formula1>
      <formula2>69</formula2>
    </dataValidation>
    <dataValidation type="decimal" allowBlank="1" showErrorMessage="1" errorTitle="Неверно указано Количество" error="минимальное количество для заказа = 1" sqref="N32">
      <formula1>1</formula1>
      <formula2>29</formula2>
    </dataValidation>
    <dataValidation type="decimal" allowBlank="1" showErrorMessage="1" errorTitle="Неверно указано Количество" error="минимальное количество для заказа = 1" sqref="N157">
      <formula1>1</formula1>
      <formula2>28</formula2>
    </dataValidation>
    <dataValidation type="decimal" allowBlank="1" showErrorMessage="1" errorTitle="Неверно указано Количество" error="минимальное количество для заказа = 1" sqref="N34 N39">
      <formula1>1</formula1>
      <formula2>30</formula2>
    </dataValidation>
    <dataValidation type="decimal" allowBlank="1" showErrorMessage="1" errorTitle="Неверно указано Количество" error="минимальное количество для заказа = 1" sqref="N36">
      <formula1>1</formula1>
      <formula2>161</formula2>
    </dataValidation>
    <dataValidation type="decimal" allowBlank="1" showErrorMessage="1" errorTitle="Неверно указано Количество" error="минимальное количество для заказа = 1" sqref="N40">
      <formula1>1</formula1>
      <formula2>64</formula2>
    </dataValidation>
    <dataValidation type="decimal" allowBlank="1" showErrorMessage="1" errorTitle="Неверно указано Количество" error="минимальное количество для заказа = 1" sqref="N45 N196">
      <formula1>1</formula1>
      <formula2>274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5" sqref="L90 L122:L123">
      <formula1>5</formula1>
    </dataValidation>
    <dataValidation type="decimal" allowBlank="1" showErrorMessage="1" errorTitle="Неверно указано Количество" error="минимальное количество для заказа = 3" sqref="N57">
      <formula1>3</formula1>
      <formula2>388</formula2>
    </dataValidation>
    <dataValidation type="decimal" operator="greaterThanOrEqual" allowBlank="1" showErrorMessage="1" errorTitle="Нельзя заказать меньше чем :" error="минимальное количество для заказа = 4" sqref="N58">
      <formula1>4</formula1>
    </dataValidation>
    <dataValidation type="decimal" allowBlank="1" showErrorMessage="1" errorTitle="Неверно указано Количество" error="минимальное количество для заказа = 1" sqref="N82">
      <formula1>1</formula1>
      <formula2>124</formula2>
    </dataValidation>
    <dataValidation type="decimal" allowBlank="1" showErrorMessage="1" errorTitle="Неверно указано Количество" error="минимальное количество для заказа = 32" sqref="N107">
      <formula1>32</formula1>
      <formula2>32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30" sqref="L63">
      <formula1>30</formula1>
    </dataValidation>
    <dataValidation type="decimal" operator="greaterThanOrEqual" allowBlank="1" showErrorMessage="1" errorTitle="Нельзя заказать меньше чем :" error="минимальное количество для заказа = 30" sqref="N63">
      <formula1>30</formula1>
    </dataValidation>
    <dataValidation type="decimal" allowBlank="1" showErrorMessage="1" errorTitle="Неверно указано Количество" error="минимальное количество для заказа = 1" sqref="N149">
      <formula1>1</formula1>
      <formula2>110</formula2>
    </dataValidation>
    <dataValidation type="decimal" allowBlank="1" showErrorMessage="1" errorTitle="Неверно указано Количество" error="минимальное количество для заказа = 1" sqref="N118">
      <formula1>1</formula1>
      <formula2>15</formula2>
    </dataValidation>
    <dataValidation type="decimal" allowBlank="1" showErrorMessage="1" errorTitle="Неверно указано Количество" error="минимальное количество для заказа = 1" sqref="N67">
      <formula1>1</formula1>
      <formula2>11</formula2>
    </dataValidation>
    <dataValidation type="decimal" operator="greaterThanOrEqual" allowBlank="1" showErrorMessage="1" errorTitle="Нельзя заказать меньше чем :" error="минимальное количество для заказа = 5" sqref="N90 N123">
      <formula1>5</formula1>
    </dataValidation>
    <dataValidation type="decimal" allowBlank="1" showErrorMessage="1" errorTitle="Неверно указано Количество" error="минимальное количество для заказа = 1" sqref="N93">
      <formula1>1</formula1>
      <formula2>424</formula2>
    </dataValidation>
    <dataValidation type="decimal" allowBlank="1" showErrorMessage="1" errorTitle="Неверно указано Количество" error="минимальное количество для заказа = 1" sqref="N120 N193">
      <formula1>1</formula1>
      <formula2>20</formula2>
    </dataValidation>
    <dataValidation type="decimal" operator="equal" allowBlank="1" showErrorMessage="1" errorTitle="Не нужно менять минимальное количество для заказа:" error="минимальное количество для заказа = 32" sqref="L107">
      <formula1>32</formula1>
    </dataValidation>
    <dataValidation type="decimal" allowBlank="1" showErrorMessage="1" errorTitle="Неверно указано Количество" error="минимальное количество для заказа = 3" sqref="N108">
      <formula1>3</formula1>
      <formula2>325</formula2>
    </dataValidation>
    <dataValidation type="decimal" allowBlank="1" showErrorMessage="1" errorTitle="Неверно указано Количество" error="минимальное количество для заказа = 1" sqref="N110">
      <formula1>1</formula1>
      <formula2>488</formula2>
    </dataValidation>
    <dataValidation type="decimal" allowBlank="1" showErrorMessage="1" errorTitle="Неверно указано Количество" error="минимальное количество для заказа = 1" sqref="N111">
      <formula1>1</formula1>
      <formula2>343</formula2>
    </dataValidation>
    <dataValidation type="decimal" allowBlank="1" showErrorMessage="1" errorTitle="Неверно указано Количество" error="минимальное количество для заказа = 1" sqref="N113">
      <formula1>1</formula1>
      <formula2>78</formula2>
    </dataValidation>
    <dataValidation type="decimal" allowBlank="1" showErrorMessage="1" errorTitle="Неверно указано Количество" error="минимальное количество для заказа = 1" sqref="N119 N166">
      <formula1>1</formula1>
      <formula2>16</formula2>
    </dataValidation>
    <dataValidation type="decimal" allowBlank="1" showErrorMessage="1" errorTitle="Неверно указано Количество" error="минимальное количество для заказа = 3" sqref="N124">
      <formula1>3</formula1>
      <formula2>272</formula2>
    </dataValidation>
    <dataValidation type="decimal" allowBlank="1" showErrorMessage="1" errorTitle="Неверно указано Количество" error="минимальное количество для заказа = 1" sqref="N158 N191">
      <formula1>1</formula1>
      <formula2>219</formula2>
    </dataValidation>
    <dataValidation type="decimal" allowBlank="1" showErrorMessage="1" errorTitle="Неверно указано Количество" error="минимальное количество для заказа = 2" sqref="N151">
      <formula1>2</formula1>
      <formula2>198</formula2>
    </dataValidation>
    <dataValidation type="decimal" allowBlank="1" showErrorMessage="1" errorTitle="Неверно указано Количество" error="минимальное количество для заказа = 1" sqref="N154">
      <formula1>1</formula1>
      <formula2>157</formula2>
    </dataValidation>
    <dataValidation type="decimal" allowBlank="1" showErrorMessage="1" errorTitle="Неверно указано Количество" error="минимальное количество для заказа = 1" sqref="N156">
      <formula1>1</formula1>
      <formula2>397</formula2>
    </dataValidation>
    <dataValidation type="decimal" allowBlank="1" showErrorMessage="1" errorTitle="Неверно указано Количество" error="минимальное количество для заказа = 1" sqref="N159">
      <formula1>1</formula1>
      <formula2>82</formula2>
    </dataValidation>
    <dataValidation type="decimal" allowBlank="1" showErrorMessage="1" errorTitle="Неверно указано Количество" error="минимальное количество для заказа = 1" sqref="N160:N161">
      <formula1>1</formula1>
      <formula2>144</formula2>
    </dataValidation>
    <dataValidation type="decimal" allowBlank="1" showErrorMessage="1" errorTitle="Неверно указано Количество" error="минимальное количество для заказа = 1" sqref="N163">
      <formula1>1</formula1>
      <formula2>44</formula2>
    </dataValidation>
    <dataValidation type="decimal" allowBlank="1" showErrorMessage="1" errorTitle="Неверно указано Количество" error="минимальное количество для заказа = 1" sqref="N162">
      <formula1>1</formula1>
      <formula2>72</formula2>
    </dataValidation>
    <dataValidation type="decimal" allowBlank="1" showErrorMessage="1" errorTitle="Неверно указано Количество" error="минимальное количество для заказа = 1" sqref="N164">
      <formula1>1</formula1>
      <formula2>134</formula2>
    </dataValidation>
    <dataValidation type="decimal" allowBlank="1" showErrorMessage="1" errorTitle="Неверно указано Количество" error="минимальное количество для заказа = 1" sqref="N167">
      <formula1>1</formula1>
      <formula2>181</formula2>
    </dataValidation>
    <dataValidation type="decimal" allowBlank="1" showErrorMessage="1" errorTitle="Неверно указано Количество" error="минимальное количество для заказа = 1" sqref="N168">
      <formula1>1</formula1>
      <formula2>43</formula2>
    </dataValidation>
    <dataValidation type="decimal" allowBlank="1" showErrorMessage="1" errorTitle="Неверно указано Количество" error="минимальное количество для заказа = 1" sqref="N169 N175">
      <formula1>1</formula1>
      <formula2>25</formula2>
    </dataValidation>
    <dataValidation type="decimal" allowBlank="1" showErrorMessage="1" errorTitle="Неверно указано Количество" error="минимальное количество для заказа = 1" sqref="N172">
      <formula1>1</formula1>
      <formula2>89</formula2>
    </dataValidation>
    <dataValidation type="decimal" allowBlank="1" showErrorMessage="1" errorTitle="Неверно указано Количество" error="минимальное количество для заказа = 1" sqref="N173">
      <formula1>1</formula1>
      <formula2>53</formula2>
    </dataValidation>
    <dataValidation type="decimal" allowBlank="1" showErrorMessage="1" errorTitle="Неверно указано Количество" error="минимальное количество для заказа = 1" sqref="N174">
      <formula1>1</formula1>
      <formula2>34</formula2>
    </dataValidation>
    <dataValidation type="decimal" allowBlank="1" showErrorMessage="1" errorTitle="Неверно указано Количество" error="минимальное количество для заказа = 1" sqref="N176">
      <formula1>1</formula1>
      <formula2>80</formula2>
    </dataValidation>
    <dataValidation type="decimal" allowBlank="1" showErrorMessage="1" errorTitle="Неверно указано Количество" error="минимальное количество для заказа = 1" sqref="N177">
      <formula1>1</formula1>
      <formula2>33</formula2>
    </dataValidation>
    <dataValidation type="decimal" allowBlank="1" showErrorMessage="1" errorTitle="Неверно указано Количество" error="минимальное количество для заказа = 1" sqref="N178">
      <formula1>1</formula1>
      <formula2>56</formula2>
    </dataValidation>
    <dataValidation type="decimal" allowBlank="1" showErrorMessage="1" errorTitle="Неверно указано Количество" error="минимальное количество для заказа = 1" sqref="N179">
      <formula1>1</formula1>
      <formula2>67</formula2>
    </dataValidation>
    <dataValidation type="decimal" allowBlank="1" showErrorMessage="1" errorTitle="Неверно указано Количество" error="минимальное количество для заказа = 1" sqref="N180">
      <formula1>1</formula1>
      <formula2>273</formula2>
    </dataValidation>
    <dataValidation type="decimal" allowBlank="1" showErrorMessage="1" errorTitle="Неверно указано Количество" error="минимальное количество для заказа = 1" sqref="N202">
      <formula1>1</formula1>
      <formula2>303</formula2>
    </dataValidation>
    <dataValidation type="decimal" allowBlank="1" showErrorMessage="1" errorTitle="Неверно указано Количество" error="минимальное количество для заказа = 1" sqref="N190">
      <formula1>1</formula1>
      <formula2>120</formula2>
    </dataValidation>
    <dataValidation type="decimal" allowBlank="1" showErrorMessage="1" errorTitle="Неверно указано Количество" error="минимальное количество для заказа = 1" sqref="N192">
      <formula1>1</formula1>
      <formula2>191</formula2>
    </dataValidation>
    <dataValidation type="decimal" allowBlank="1" showErrorMessage="1" errorTitle="Неверно указано Количество" error="минимальное количество для заказа = 1" sqref="N194">
      <formula1>1</formula1>
      <formula2>189</formula2>
    </dataValidation>
    <dataValidation type="decimal" allowBlank="1" showErrorMessage="1" errorTitle="Неверно указано Количество" error="минимальное количество для заказа = 1" sqref="N195">
      <formula1>1</formula1>
      <formula2>106</formula2>
    </dataValidation>
    <dataValidation type="decimal" allowBlank="1" showErrorMessage="1" errorTitle="Неверно указано Количество" error="минимальное количество для заказа = 1" sqref="N197">
      <formula1>1</formula1>
      <formula2>426</formula2>
    </dataValidation>
    <dataValidation type="decimal" allowBlank="1" showErrorMessage="1" errorTitle="Неверно указано Количество" error="минимальное количество для заказа = 1" sqref="N198">
      <formula1>1</formula1>
      <formula2>196</formula2>
    </dataValidation>
    <dataValidation type="decimal" allowBlank="1" showErrorMessage="1" errorTitle="Неверно указано Количество" error="минимальное количество для заказа = 1" sqref="N199">
      <formula1>1</formula1>
      <formula2>310</formula2>
    </dataValidation>
    <dataValidation type="decimal" allowBlank="1" showErrorMessage="1" errorTitle="Неверно указано Количество" error="минимальное количество для заказа = 1" sqref="N200">
      <formula1>1</formula1>
      <formula2>276</formula2>
    </dataValidation>
    <dataValidation type="decimal" allowBlank="1" showErrorMessage="1" errorTitle="Неверно указано Количество" error="минимальное количество для заказа = 1" sqref="N201">
      <formula1>1</formula1>
      <formula2>233</formula2>
    </dataValidation>
    <dataValidation type="decimal" allowBlank="1" showErrorMessage="1" errorTitle="Неверно указано Количество" error="минимальное количество для заказа = 1" sqref="N189">
      <formula1>1</formula1>
      <formula2>408</formula2>
    </dataValidation>
    <dataValidation type="decimal" allowBlank="1" showErrorMessage="1" errorTitle="Неверно указано Количество" error="минимальное количество для заказа = 1" sqref="N187">
      <formula1>1</formula1>
      <formula2>329</formula2>
    </dataValidation>
    <dataValidation type="decimal" allowBlank="1" showErrorMessage="1" errorTitle="Неверно указано Количество" error="минимальное количество для заказа = 1" sqref="N186">
      <formula1>1</formula1>
      <formula2>205</formula2>
    </dataValidation>
  </dataValidations>
  <printOptions/>
  <pageMargins left="0.39" right="0.39" top="0.39" bottom="0.39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Белоцерковская Вика</dc:creator>
  <cp:keywords/>
  <dc:description/>
  <cp:lastModifiedBy>Белашова Ирина</cp:lastModifiedBy>
  <cp:lastPrinted>2023-01-26T07:10:41Z</cp:lastPrinted>
  <dcterms:created xsi:type="dcterms:W3CDTF">2023-01-26T07:10:41Z</dcterms:created>
  <dcterms:modified xsi:type="dcterms:W3CDTF">2023-02-22T06:57:43Z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